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9D16174E-2DFC-2B4D-AF81-94AA3D9140FF}"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T769" i="1"/>
  <c r="BT770" i="1"/>
  <c r="BT771" i="1"/>
  <c r="BT772" i="1"/>
  <c r="BT773"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<sst xmlns="http://schemas.openxmlformats.org/spreadsheetml/2006/main" count="60142" uniqueCount="18797">
  <si>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</si>
  <si>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</si>
  <si>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</si>
  <si>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</si>
  <si>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</si>
  <si>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</si>
  <si>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</si>
  <si>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</si>
  <si>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</si>
  <si>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</si>
  <si>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</si>
  <si>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</si>
  <si>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</si>
  <si>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</si>
  <si>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</si>
  <si>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</si>
  <si>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</si>
  <si>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</si>
  <si>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</si>
  <si>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</si>
  <si>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</si>
  <si>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</si>
  <si>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</si>
  <si>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</si>
  <si>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</si>
  <si>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</si>
  <si>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</si>
  <si>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</si>
  <si>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</si>
  <si>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</si>
  <si>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</si>
  <si>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</si>
  <si>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</si>
  <si>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</si>
  <si>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</si>
  <si>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</si>
  <si>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</si>
  <si>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</si>
  <si>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</si>
  <si>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</si>
  <si>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</si>
  <si>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</si>
  <si>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</si>
  <si>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</si>
  <si>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</si>
  <si>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</si>
  <si>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</si>
  <si>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</si>
  <si>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</si>
  <si>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</si>
  <si>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</si>
  <si>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</si>
  <si>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</si>
  <si>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</si>
  <si>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</si>
  <si>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</si>
  <si>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</si>
  <si>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</si>
  <si>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</si>
  <si>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</si>
  <si>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</si>
  <si>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</si>
  <si>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</si>
  <si>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</si>
  <si>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</si>
  <si>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</si>
  <si>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</si>
  <si>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</si>
  <si>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</si>
  <si>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</si>
  <si>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</si>
  <si>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</si>
  <si>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</si>
  <si>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Liu, J; Li, R; Li, S; Meucci, A; Young, IR</t>
  </si>
  <si>
    <t/>
  </si>
  <si>
    <t>Liu, Jin; Li, Rui; Li, Shuo; Meucci, Alberto; Young, Ian R.</t>
  </si>
  <si>
    <t>Increasing wave power due to global climate change and intensification of Antarctic Oscillation</t>
  </si>
  <si>
    <t>APPLIED ENERGY</t>
  </si>
  <si>
    <t>English</t>
  </si>
  <si>
    <t>Article</t>
  </si>
  <si>
    <t>Wave power; Satellite altimeter; AAO; Global climate change; Wind wave; Swell</t>
  </si>
  <si>
    <t>PROJECTED CHANGES; ENERGY; RESOURCE; TRENDS; WIND; DEFINITION; IMPACTS; MODE</t>
  </si>
  <si>
    <t>In this study, our objective is to evaluate the long -term variability of global wave power and its underlying mechanisms, utilizing the longest wave reanalysis available (ERA5, 1940-2022). We introduce a novel validation of the global wave power of the ERA5 wave reanalysis against measurements from multi-platform satellite altimeters from 1985 to 2022. This validation shows good agreement over the period. Our analysis shows a consistent increase in global wave power throughout the study period. This rise in global wave power predominantly stems from the influences of global climate change and the intensification of Antarctic Oscillation (AAO) events. As low-pressure systems move southward in the Southern Hemisphere over this period, they generate an increase in wave power 2.6 times larger than the global average increase. This energetic wave power propagates towards the mid and low-latitude regions of the Pacific, Indian, and Atlantic Oceans. This conclusion is verified by an examination of wind wave and swell contributions to wave power. Specifically, the wind wave component (swell) is more (less) important in the Southern Ocean than in the low and mid-latitude regions.</t>
  </si>
  <si>
    <t>[Liu, Jin] DOE Environm &amp; Climate Act, Melbourne, Vic, Australia; [Liu, Jin; Li, Rui; Li, Shuo; Meucci, Alberto; Young, Ian R.] Univ Melbourne, Dept Infrastruct Engn, Melbourne, Vic, Australia; [Li, Rui] Ocean Univ China, Phys Oceanog Lab, Qingdao, Shandong, Peoples R China</t>
  </si>
  <si>
    <t>Melbourne Genomics Health Alliance; Melbourne Genomics Health Alliance; University of Melbourne; Ocean University of China</t>
  </si>
  <si>
    <t>Young, IR (corresponding author), Univ Melbourne, Dept Infrastruct Engn, Melbourne, Vic, Australia.</t>
  </si>
  <si>
    <t>ian.young@unimelb.edu.au</t>
  </si>
  <si>
    <t>Liu, Jin/HJO-8978-2023; Young, Ian/E-7385-2011</t>
  </si>
  <si>
    <t>Liu, Jin/0000-0001-7415-3729; Li, Rui/0000-0003-2042-7813; Young, Ian/0000-0003-2233-9227</t>
  </si>
  <si>
    <t>ELSEVIER SCI LTD</t>
  </si>
  <si>
    <t>London</t>
  </si>
  <si>
    <t>125 London Wall, London, ENGLAND</t>
  </si>
  <si>
    <t>0306-2619</t>
  </si>
  <si>
    <t>1872-9118</t>
  </si>
  <si>
    <t>APPL ENERG</t>
  </si>
  <si>
    <t>Appl. Energy</t>
  </si>
  <si>
    <t>MAR 15</t>
  </si>
  <si>
    <t>10.1016/j.apenergy.2023.122572</t>
  </si>
  <si>
    <t>DEC 2023</t>
  </si>
  <si>
    <t>Energy &amp; Fuels; Engineering, Chemical</t>
  </si>
  <si>
    <t>Science Citation Index Expanded (SCI-EXPANDED)</t>
  </si>
  <si>
    <t>Energy &amp; Fuels; Engineering</t>
  </si>
  <si>
    <t>GJ1L9</t>
  </si>
  <si>
    <t>hybrid</t>
  </si>
  <si>
    <t>2024-04-21</t>
  </si>
  <si>
    <t>WOS:001152208600001</t>
  </si>
  <si>
    <t>Schuler, CG; Mikucki, JA</t>
  </si>
  <si>
    <t>Schuler, Caleb G.; Mikucki, Jill A.</t>
  </si>
  <si>
    <t>Microbial ecology and activity of snow algae within a Pacific Northwest snowpack</t>
  </si>
  <si>
    <t>ARCTIC ANTARCTIC AND ALPINE RESEARCH</t>
  </si>
  <si>
    <t>Snow algae; Chloromonas; snowpack microbial activity; primary production</t>
  </si>
  <si>
    <t>ULTRAVIOLET-RADIATION; NOV CHLOROPHYTA; GLACIER; BIODIVERSITY; ALBEDO; ICE; PRODUCTIVITY; VARIABILITY; VOLVOCALES; DIVERSITY</t>
  </si>
  <si>
    <t>Snow algae blooms are common occurrences in alpine systems and contribute to increasing snow and glacial ice melt rates. Despite the cosmopolitan distribution of snow algae, little is known about the role their life cycle plays in community composition and activity in snowpack. Mount Baker, in Washington, USA, is a rapidly changing alpine ecosystem. Here we present estimates of cellular biomass, microbial community composition, and primary productivity measurements associated with surficial snow algae blooms and a vertical profile within a snow pit to characterize the microbial ecology of this snowpack system. Chloromonas was the most abundant algae detected in our samples. Sphingobacteriaceae were the most dominant bacteria in samples where fungi were the most abundant eukaryote, whereas Chitinophagaceae dominated when Chlorophyceae were the most abundant eukaryote. In a snow pit vertical profile, we observed more algae in the green-pigmented, flagellated life cycle stage at depth (similar to 30 cm below the surface) than at the surface where the astaxanthin-rich, aplanospore life cycle stage dominated. Higher resolution analyses revealed that Chloromonas-associated photosynthesis transcripts were more abundant at depth than at the surface of the snowpack. These results suggest that there is a photosynthetic niche within alpine snowpack that has unknown effects on the carbon budget and provides potentially undetected primary productivity resulting in a cryptic photosynthetic system.</t>
  </si>
  <si>
    <t>[Schuler, Caleb G.; Mikucki, Jill A.] Univ Tennessee, Dept Microbiol, 307 Mossman Bldg,1311 Cumberland Ave, Knoxville, TN 37996 USA</t>
  </si>
  <si>
    <t>University of Tennessee System; University of Tennessee Knoxville</t>
  </si>
  <si>
    <t>Mikucki, JA (corresponding author), Univ Tennessee, Dept Microbiol, 307 Mossman Bldg,1311 Cumberland Ave, Knoxville, TN 37996 USA.</t>
  </si>
  <si>
    <t>jmikucki@utk.edu</t>
  </si>
  <si>
    <t>NASA Astrobiology Early Career Collaboration Award; UW APL shipping department</t>
  </si>
  <si>
    <t>We are grateful to Abigail Jarratt, Justin Burnett, Oliva Husted, Nick Wogan, Keith Magness, David Shean, and the Northwest Glacier Cruisers snowmobile club for their assistance in the field. We also thank Jake Shaffer for laboratory assistance and Anthony Faiia at the UTK stable isotopes lab for assistance in running the EA IR-MS. Additional support was provided by the UW APL shipping department and Dale Winebrenner.</t>
  </si>
  <si>
    <t>TAYLOR &amp; FRANCIS LTD</t>
  </si>
  <si>
    <t>ABINGDON</t>
  </si>
  <si>
    <t>2-4 PARK SQUARE, MILTON PARK, ABINGDON OR14 4RN, OXON, ENGLAND</t>
  </si>
  <si>
    <t>1523-0430</t>
  </si>
  <si>
    <t>1938-4246</t>
  </si>
  <si>
    <t>ARCT ANTARCT ALP RES</t>
  </si>
  <si>
    <t>Arct. Antarct. Alp. Res.</t>
  </si>
  <si>
    <t>DEC 31</t>
  </si>
  <si>
    <t>10.1080/15230430.2023.2233785</t>
  </si>
  <si>
    <t>Environmental Sciences; Geography, Physical</t>
  </si>
  <si>
    <t>Environmental Sciences &amp; Ecology; Physical Geography</t>
  </si>
  <si>
    <t>CX7G1</t>
  </si>
  <si>
    <t>gold</t>
  </si>
  <si>
    <t>WOS:001128590900001</t>
  </si>
  <si>
    <t>Welch, AM; Pedron, SA; Jespersen, RG; Xu, XM; Martinez, B; Khazindar, Y; Fiore, NM; Goulden, ML; Czimczik, CI</t>
  </si>
  <si>
    <t>Welch, Allison M.; Pedron, Shawn A.; Jespersen, Robert Gus; Xu, Xiaomei; Martinez, Brittney; Khazindar, Yezzen; Fiore, Nicole M.; Goulden, Michael L.; Czimczik, Claudia I.</t>
  </si>
  <si>
    <t>Implications of alder shrub growth for alpine tundra soil properties in Interior Alaska</t>
  </si>
  <si>
    <t>Soil organic carbon; NDVI; active layer thickness; shrubification; permafrost</t>
  </si>
  <si>
    <t>ARCTIC TUNDRA; THERMAL REGIMES; PERMAFROST THAW; LICHEN DECLINE; CO2 UPTAKE; EXPANSION; VEGETATION; CLIMATE; BOREAL; CARBON</t>
  </si>
  <si>
    <t>The increase in deciduous shrub growth in response to climate change throughout the Arctic tundra has uncertain implications, in part due to a lack of field observations. Here we investigate how increasing alder shrub growth in alpine tundra in Interior Alaska corresponds to active layer thickness and soil physical properties. We documented increased alder growth by combining biomass harvests and dendrochronology with the analysis of remotely sensed Normalized Difference Vegetation Index and fire history. Active layer thickness was measured with a tile probe and carbon and nitrogen pools were assessed via elemental analysis. Shallower organic layers under increasing alder growth indicate that nitrogen-rich, deciduous litter inputs may play a role in accelerating decomposition. Despite the observed reduction in organic carbon stocks, active layer thickness was the same under alder and adjacent graminoid tundra, implying deeper thaw of the underlying mineral soil. This study provides further evidence that the widely observed expansion of deciduous shrubs into graminoid tundra will reduce ecosystem carbon stocks and intensify soil-atmosphere thermal coupling. Two consequences of rapid climate warming in the Arctic, where grass-like plants dominate under very cold conditions, are an increased growth and occurrence of shrubs and associated thaw of frozen ground. This exposes organic matter in soils to microbes that can decompose it into carbonaceous greenhouse gases, but some of this carbon loss may be offset by the increased plant growth. Here, we investigate the impacts of greater shrub presence on soil properties at five sites in Alaska. We documented shrub growth by analyzing satellite images, which can help us understand the productivity and/or leaf coverage at each site back in time, and annual growth rings in shrub stems, which show how old the shrubs are and how much they grow each year. We also measured the depth of soil thaw in the field and its organic matter content in a laboratory. Where shrubs were more common, we found a thinner layer of organic matter at the soil surface. Thaw depth remained the same, which may indicate that the presence of shrubs results in deeper thaw of the mineral soil. Our findings support the hypothesis that shrub expansion will further enhance warming-driven increases of greenhouse gas emissions from Arctic landscapes. Trends in dendrochronology and Normalized Difference Vegetation Index reveal increasing growth of alder shrubs in Interior Alaska.More alder cover results in the loss of the soil organic layer and thus soil C and N that is not offset by more shrub biomass.Increasing alder growth may promote permafrost thaw not captured by tile probe active layer thickness monitoring.</t>
  </si>
  <si>
    <t>[Welch, Allison M.; Pedron, Shawn A.; Xu, Xiaomei; Martinez, Brittney; Khazindar, Yezzen; Fiore, Nicole M.; Goulden, Michael L.; Czimczik, Claudia I.] Univ Calif Irvine, Dept Earth Syst Sci, Irvine, CA 92697 USA; [Jespersen, Robert Gus] Univ Alaska Anchorage, Biol Sci, Anchorage, AK USA; [Czimczik, Claudia I.] Univ Calif Irvine, Dept Earth Syst Sci, 3200 Croul Hall, Irvine, CA 92697 USA</t>
  </si>
  <si>
    <t>University of California System; University of California Irvine; University of Alaska System; University of Alaska Anchorage; University of California System; University of California Irvine</t>
  </si>
  <si>
    <t>Welch, AM; Czimczik, CI (corresponding author), Univ Calif Irvine, Dept Earth Syst Sci, Irvine, CA 92697 USA.;Czimczik, CI (corresponding author), Univ Calif Irvine, Dept Earth Syst Sci, 3200 Croul Hall, Irvine, CA 92697 USA.</t>
  </si>
  <si>
    <t>awelch1@uci.edu; czimczik@uci.edu</t>
  </si>
  <si>
    <t>Goulden, Michael/0000-0002-9379-3948; Pedron, Shawn Alexander/0000-0001-7999-6119; Welch, Allison M./0000-0002-2314-7625</t>
  </si>
  <si>
    <t>NASA ABoVE [NNX15AU16A]; NSF-OPP [1836873]; Ridge to Reef Research Traineeship [NSF-DGE 1735040]; University of California, Irvine Undergraduate Research Opportunities Program</t>
  </si>
  <si>
    <t>NASA ABoVE; NSF-OPP(National Science Foundation (NSF)NSF - Directorate for Geosciences (GEO)); Ridge to Reef Research Traineeship; University of California, Irvine Undergraduate Research Opportunities Program(University of California System)</t>
  </si>
  <si>
    <t>This work was funded by NASA ABoVE [#NNX15AU16A] (to MLG and CIC). Further, RGJ was supported by NSF-OPP [1836873] (to J. M. Welker), AMW by the Ridge to Reef Research Traineeship [NSF-DGE 1735040], and BM and YK by University of California, Irvine Undergraduate Research Opportunities Program.</t>
  </si>
  <si>
    <t>10.1080/15230430.2023.2285334</t>
  </si>
  <si>
    <t>CX0Q3</t>
  </si>
  <si>
    <t>WOS:001128418700001</t>
  </si>
  <si>
    <t>Sapper, SE; Jorgensen, CJ; Schroll, M; Keppler, F; Christiansen, JR</t>
  </si>
  <si>
    <t>Sapper, Sarah Elise; Jorgensen, Christian Juncher; Schroll, Moritz; Keppler, Frank; Christiansen, Jesper Riis</t>
  </si>
  <si>
    <t>Methane emissions from subglacial meltwater of three alpine glaciers in Yukon, Canada</t>
  </si>
  <si>
    <t>Methane emissions; subglacial meltwater; alpine glacier; carbon isotopes</t>
  </si>
  <si>
    <t>GREENLAND ICE-SHEET; BENEATH; CARBON; OXIDATION; FRACTIONATION; EXPORT; WATER</t>
  </si>
  <si>
    <t>Subglacial meltwater of land-terminating glaciers in Greenland and Iceland are sources of methane (CH4) to the atmosphere, but sparse empirical data exist about the spatial distribution of subglacial CH4 production and emission from glaciers in other regions of the world. This study presents the first measurements of CH4 emissions from the subglacial meltwater of three outlet glaciers of the St. Elias Mountains in Yukon, Canada. Dissolved CH4 concentrations were highly elevated at 45, 135, and 250 times compared to the atmospheric equilibrium concentration in the meltwater of Dusty, Kluane, and Donjek glaciers, respectively. Dissolved CO2 concentrations were depleted relative to the atmospheric equilibrium. This points to the meltwater being a source of CH4 and a sink of CO2. Stable carbon (C-13) and hydrogen (H-2) isotopic signatures of the subglacial CH4 were depleted compared to atmospheric CH4 at all sites, indicating both biotic and abiotic sources and possible alteration from bacterial CH4 oxidation in the meltwater. No relation was found between CH4 concentrations in the meltwater and the meltwater chemistry or the size of the glaciers in this study. These findings suggest that CH4 emissions from subglacial environments under alpine glaciers may be a more common phenomenon than previously thought.</t>
  </si>
  <si>
    <t>[Sapper, Sarah Elise; Christiansen, Jesper Riis] Univ Copenhagen, Dept Geosci &amp; Nat Resource Management, Rolighedsvej 23, DK-1958 Frederiksberg, Denmark; [Jorgensen, Christian Juncher] Aarhus Univ, Dept Ecosci, Aarhus, Denmark; [Schroll, Moritz; Keppler, Frank] Heidelberg Univ, Inst Earth Sci, Heidelberg, Germany; [Keppler, Frank] Heidelberg Univ, Heidelberg Ctr Environm HCE, Heidelberg, Germany</t>
  </si>
  <si>
    <t>University of Copenhagen; Aarhus University; Ruprecht Karls University Heidelberg; Ruprecht Karls University Heidelberg</t>
  </si>
  <si>
    <t>Sapper, SE (corresponding author), Univ Copenhagen, Dept Geosci &amp; Nat Resource Management, Rolighedsvej 23, DK-1958 Frederiksberg, Denmark.</t>
  </si>
  <si>
    <t>ses@ign.ku.dk</t>
  </si>
  <si>
    <t>Keppler, Frank/F-4401-2012; Schroll, Moritz/JAE-2974-2023; Christiansen, Jesper/L-7961-2014</t>
  </si>
  <si>
    <t>Keppler, Frank/0000-0003-2766-8812; Schroll, Moritz/0000-0002-4416-1610; Jorgensen, Christian Juncher/0000-0002-5184-7063; Sapper, Sarah Elise/0000-0001-7386-8933; Christiansen, Jesper/0000-0002-3277-0734</t>
  </si>
  <si>
    <t>Independent Research Fund Denmark [KLU-2022-42520, 22-RC-34]; Kluane Lake Research Station; Maja Holm Wahlgren from the laboratory of the Department of Geosciences and Natural Resource Management</t>
  </si>
  <si>
    <t>Independent Research Fund Denmark(Det Frie Forskningsrad (DFF)); Kluane Lake Research Station; Maja Holm Wahlgren from the laboratory of the Department of Geosciences and Natural Resource Management</t>
  </si>
  <si>
    <t>We thank the Kluane First Nations and Champagne &amp; Aishihik First Nations for allowing us to conduct research on their land, the Kluane National Park and Reserve for issuing the research and collection permit (No. KLU-2022-42520) and the aircraft access permit (No. 22-RC-34), and the Kluane Lake Research Station and Capitol Helicopter for help with logistics. We thank Maja Holm Wahlgren from the laboratory of the Department of Geosciences and Natural Resource Management, University of Copenhagen, for help with gas analyses. We are thankful for the comments and suggestions of two anonymous reviewers that improved the article.</t>
  </si>
  <si>
    <t>10.1080/15230430.2023.2284456</t>
  </si>
  <si>
    <t>CN1Y3</t>
  </si>
  <si>
    <t>WOS:001125848500001</t>
  </si>
  <si>
    <t>Henke, M; Cassalho, F; Miesse, T; Ferreira, CM; Zhang, JL; Ravens, TM</t>
  </si>
  <si>
    <t>Henke, Martin; Cassalho, Felicio; Miesse, Tyler; Ferreira, Celso M.; Zhang, Jinlun; Ravens, Thomas M.</t>
  </si>
  <si>
    <t>Assessment of Arctic sea ice and surface climate conditions in nine CMIP6 climate models</t>
  </si>
  <si>
    <t>Climate model assessment; sea ice; Arctic</t>
  </si>
  <si>
    <t>AIR-TEMPERATURE; ERA-INTERIM; THICKNESS; OCEAN; REANALYSES; COVER; VARIABILITY; CIRCULATION; PROJECTIONS; SIMULATION</t>
  </si>
  <si>
    <t>The observed retreat and anticipated further decline in Arctic sea ice holds strong climate, environmental, and societal implications. In predicting climate evolution, ensembles of coupled climate models have demonstrated appreciable accuracy in simulating sea-ice area trends throughout the historical period, yet individual climate models still show significant differences in accurately representing the sea-ice thickness distribution. To better understand individual model performance in sea-ice simulation, nine climate models were evaluated in comparison with Arctic satellite and reanalysis-derived sea-ice thickness data, sea-ice area records, and atmospheric reanalysis data of surface wind and air temperature. This assessment found that the simulated spatial distribution of historical sea-ice thickness varies greatly between models and that several key limitations persist among models. Primarily, most models do not capture the thickest regimes of multiyear ice present in the Wandel and Lincoln seas; those that do often possess erroneous positive bias in other regions such as the Laptev Sea or along the Eurasian Arctic Shelf. This analysis provides enhanced understanding of individual model historical simulation performance, which is critical in informing the selection of coupled climate model projections for dependent future modeling efforts.</t>
  </si>
  <si>
    <t>[Henke, Martin; Cassalho, Felicio; Miesse, Tyler; Ferreira, Celso M.] George Mason Univ, Dept Civil Environm &amp; Infrastruct Engn, 4400 Univ Dr, Fairfax, VA 22030 USA; [Zhang, Jinlun] Univ Washington, Polar Sci Ctr, Appl Phys Lab, Seattle, WA USA; [Ravens, Thomas M.] Univ Alaska Anchorage, Coll Engn, Anchorage, AK USA</t>
  </si>
  <si>
    <t>George Mason University; University of Washington; University of Washington Seattle; University of Alaska System; University of Alaska Anchorage</t>
  </si>
  <si>
    <t>Henke, M (corresponding author), George Mason Univ, Dept Civil Environm &amp; Infrastruct Engn, 4400 Univ Dr, Fairfax, VA 22030 USA.</t>
  </si>
  <si>
    <t>mhenke@gmu.edu</t>
  </si>
  <si>
    <t>National Science Foundation [1927785]; NSF</t>
  </si>
  <si>
    <t>National Science Foundation(National Science Foundation (NSF)); NSF(National Science Foundation (NSF))</t>
  </si>
  <si>
    <t>This material is based on work supported by the National Science Foundation under Grant No. 1927785. This funding is gratefully acknowledged but implies no endorsement of the findings. The authors also thank NSF for the scholarships to the MH, FC, and TM.</t>
  </si>
  <si>
    <t>10.1080/15230430.2023.2271592</t>
  </si>
  <si>
    <t>Z9LW8</t>
  </si>
  <si>
    <t>gold, Green Submitted</t>
  </si>
  <si>
    <t>WOS:001115233500001</t>
  </si>
  <si>
    <t>Lepori, F; Tolotti, M</t>
  </si>
  <si>
    <t>Lepori, Fabio; Tolotti, Monica</t>
  </si>
  <si>
    <t>Effects of nitrogen on benthic diatom assemblages in high-elevation central and eastern alpine lakes</t>
  </si>
  <si>
    <t>Atmospheric deposition; critical load; mountain lake; nutrient enrichment; diatoms</t>
  </si>
  <si>
    <t>HIGH-MOUNTAIN LAKES; PHYTOPLANKTON NUTRIENT LIMITATION; ATMOSPHERIC DEPOSITION; CRITICAL LOADS; EPILITHIC DIATOMS; HIGH-ALTITUDE; FRESH-WATER; ACIDIFICATION; PH; TEMPERATURE</t>
  </si>
  <si>
    <t>We explored patterns of benthic diatom composition across sixty-two high-elevation alpine lakes spanning a wide range of nitrogen (N) concentrations due to atmospheric deposition and background variation in lake and watershed characteristics. Our goals were to (1) assess the effect of lake water N concentration on benthic diatom composition during late summer or fall conditions and (2) identify policy-relevant response thresholds. The analyses were carried out on a large set of diatom and water chemistry data, integrated with new data. Multivariate and correlation analyses revealed associations between pH, N concentration, and benthic diatom composition, but the effects of pH and N were confounded. However, partial correlation analysis allowed us to identify N-responsive diatoms; that is, diatom taxa with nonspurious associations with N. Focusing on these taxa, we detected a decline in the abundance of taxa preferring low N concentrations and an increase in the abundance of taxa preferring high N concentrations starting at NO3 concentrations of approximately 5 mu mol L-1. We interpreted this shift as an effect of watershed N saturation due to atmospheric deposition. Based on the results, we suggest a late-summer or fall concentration threshold of 5 mu mol NO3 L-1 to prevent change in benthic diatoms in high-elevation alpine lakes.</t>
  </si>
  <si>
    <t>[Lepori, Fabio] Univ Appl Sci &amp; Arts Southern Switzerland, Dept Environm Construct &amp; Design, Mendrisio, Switzerland; [Tolotti, Monica] Fdn Edmund Mach FEM, Res &amp; Innovat Ctr CRI, Dept Sustainable Agroecosyst &amp; Bioresources, San Michele All Adige, Italy; [Lepori, Fabio] Insitute Earth Sci, Campus Mendrisio,Via Flora Ruchat Roncati 15, CH-6850 Mendrisio, Switzerland</t>
  </si>
  <si>
    <t>Fondazione Edmund Mach</t>
  </si>
  <si>
    <t>Lepori, F (corresponding author), Insitute Earth Sci, Campus Mendrisio,Via Flora Ruchat Roncati 15, CH-6850 Mendrisio, Switzerland.</t>
  </si>
  <si>
    <t>fabio.lepori@supsi.ch</t>
  </si>
  <si>
    <t>Tolotti, Monica/D-4441-2018</t>
  </si>
  <si>
    <t>Effects of Nitrogen Enrichment on Diatom Assemblages in High Alpine Lakes - Swiss Federal Office for the Environment (FOEn)</t>
  </si>
  <si>
    <t>FL's contribution to this study was financed through the research project Effects of Nitrogen Enrichment on Diatom Assemblages in High Alpine Lakes funded by the Swiss Federal Office for the Environment (FOEn).</t>
  </si>
  <si>
    <t>10.1080/15230430.2023.2270821</t>
  </si>
  <si>
    <t>Z2KD5</t>
  </si>
  <si>
    <t>Green Published, gold</t>
  </si>
  <si>
    <t>WOS:001110409100001</t>
  </si>
  <si>
    <t>Suehring, N; Chambers, C; Koenigk, T; Kruschke, T; Einarsson, N; Ogilvie, AEJ</t>
  </si>
  <si>
    <t>Suehring, Nicole; Chambers, Catherine; Koenigk, Torben; Kruschke, Tim; Einarsson, Niels; Ogilvie, A. E. J.</t>
  </si>
  <si>
    <t>Effects of storms on fisheries and aquaculture: An Icelandic case study on climate change adaptation</t>
  </si>
  <si>
    <t>Aquaculture; climate change adaptation; coastal communities; extreme storm events; fisheries; North Atlantic</t>
  </si>
  <si>
    <t>NORTH-ATLANTIC OSCILLATION; SEA-ICE; MODEL; VULNERABILITY; COMMUNITIES; MANAGEMENT; IMPACTS; WINTERS</t>
  </si>
  <si>
    <t>Climate change research on fisheries is often focused on changes in species abundance and distribution, yet the impacts of severe weather events are also important. Climate models indicate that storm frequency and intensity may increase in the North Atlantic; however, uncertainties remain and consequences in Iceland are not well studied. This research represents a first attempt to understand local to regional implications of storminess on Icelandic fisheries industries. Using an interdisciplinary approach, the analysis (1) provides regional future wind speed projections in Iceland and surroundings under the Shared Socioeconomic Pathway (SSP) 3-7.0 scenario, (2) documents current local experiences using exploratory interviews with various stakeholders in fisheries and aquaculture, and (3) explores research priorities for understanding climate-change adaptations in coastal communities. Projections show that whereas areas of the west, south, and east of Iceland may experience fewer storm days, the region north/northeast of Iceland features an increase in storm days. Potential adaptations include a flexible management system that does not punish fishers for lost time due to bad weather, cooperative market arrangements among sectors, and job security considerations for fishers and fish processing workers. Future projections are needed for other variables such as precipitation, and future socioeconomic studies should address the predictions and impacts of storminess. Using a state-of-the-art climate model, this study suggests that wind speed will increase north of Iceland, whereas the south will be calmer in the future under the SSP3-7.0 emission scenario. Impacts of storm events on fisheries including infrastructure damage, personal safety, land-based transportation disruptions, or temporary income losses can have disproportionate impacts on small-scale operations and rural communities. Future climate model research should focus on assessing changes in the most extreme storms, wind direction, and precipitation over land, as well as evaluating the robustness of results across different climate models. Future socioeconomic adaptation research should focus on the combined impacts of fish stock movements and changing weather conditions, and regional variations across Iceland as some areas are projected to be calmer.</t>
  </si>
  <si>
    <t>[Suehring, Nicole; Chambers, Catherine; Einarsson, Niels; Ogilvie, A. E. J.] Stefansson Arctic Inst, Akureyri, Iceland; [Chambers, Catherine] Univ Ctr Westfjords, Isafjordur, Iceland; [Koenigk, Torben; Kruschke, Tim] Swedish Meteorol &amp; Hydrol Inst, Norrkoping, Sweden; [Kruschke, Tim] Fed Maritime &amp; Hydrog Agcy BSH, Hamburg, Germany; [Ogilvie, A. E. J.] Univ Colorado, Inst Arctic &amp; Alpine Res INSTAAR, Boulder, CO USA; [Chambers, Catherine] Univ Ctr Westfjords, Sudurgata 12, IS-400 Isafjordur, Iceland</t>
  </si>
  <si>
    <t>Swedish Meteorological &amp; Hydrological Institute; University of Colorado System; University of Colorado Boulder</t>
  </si>
  <si>
    <t>Chambers, C (corresponding author), Univ Ctr Westfjords, Sudurgata 12, IS-400 Isafjordur, Iceland.</t>
  </si>
  <si>
    <t>cat@uw.is</t>
  </si>
  <si>
    <t>Kruschke, Tim/F-2052-2014</t>
  </si>
  <si>
    <t>Kruschke, Tim/0000-0002-1205-3754</t>
  </si>
  <si>
    <t>NordForsk Nordic Centre of Excellence project Arctic Climate Predications: Pathways to Resilient, Sustainable Societies (ARCPATH) [766654]</t>
  </si>
  <si>
    <t>NordForsk Nordic Centre of Excellence project Arctic Climate Predications: Pathways to Resilient, Sustainable Societies (ARCPATH)</t>
  </si>
  <si>
    <t>The research described was funded by the NordForsk Nordic Centre of Excellence project Arctic Climate Predications: Pathways to Resilient, Sustainable Societies (ARCPATH) (Award 766654; http://www.svs.is/en/projects/arcpath).</t>
  </si>
  <si>
    <t>10.1080/15230430.2023.2269689</t>
  </si>
  <si>
    <t>Y3VF0</t>
  </si>
  <si>
    <t>WOS:001104569800001</t>
  </si>
  <si>
    <t>Jerand, P; Klaminder, J; Linderholm, J</t>
  </si>
  <si>
    <t>Jerand, Philip; Klaminder, Jonatan; Linderholm, Johan</t>
  </si>
  <si>
    <t>The legacy of ecological imperialism in the Scandes: Earthworms and their implications for Arctic research</t>
  </si>
  <si>
    <t>Archaeology; bioturbation; historical sources; phosphate analysis; soil classification</t>
  </si>
  <si>
    <t>INVASIVE EARTHWORMS; HARDWOOD FOREST; NORTHERN</t>
  </si>
  <si>
    <t>In the nineteenth century, numerous settlements were established in the alpine region of Fennoscandia (the Scandes), an area that later became a major international scene for Arctic research. Here we raise awareness of this era and show that earthworm-driven bioturbation in pristine soils around contemporary Arctic research infrastructure is caused by soil fauna left behind during early land use. We use soil preserved under an alpine settlement to highlight that soils were not bioturbated when the first house was built at a site where bioturbation is now widespread. A review of archived material with unique site-specific chronology constrained the onset of bioturbation to the post-1871 era. Our results suggest that small-scale land use introduced earthworms that now thrive far beyond the realms of former cultivated fields. The legacy of soil fauna from this example of ecological imperialism still lingers and should be considered when studying soils of the Scandes.</t>
  </si>
  <si>
    <t>[Jerand, Philip; Linderholm, Johan] Umea Univ, Dept Hist Philosoph &amp; Religious Studies, Umea, Sweden; [Klaminder, Jonatan] Umea Univ, Dept Ecol &amp; Environm Sci, Umea, Sweden; [Jerand, Philip] Umea Univ, Dept Hist Philosoph &amp; Religious Studies, S-90736 Umea, Sweden</t>
  </si>
  <si>
    <t>Umea University; Umea University; Umea University</t>
  </si>
  <si>
    <t>Jerand, P (corresponding author), Umea Univ, Dept Hist Philosoph &amp; Religious Studies, S-90736 Umea, Sweden.</t>
  </si>
  <si>
    <t>philip.jerand@umu.se</t>
  </si>
  <si>
    <t>Klaminder, Jonatan/0000-0001-8814-0013</t>
  </si>
  <si>
    <t>EMG Call for Strategic Research Initiatives 2019 at CIRC</t>
  </si>
  <si>
    <t>This work was supported by the EMG Call for Strategic Research Initiatives 2019 at CIRC.</t>
  </si>
  <si>
    <t>10.1080/15230430.2023.2274650</t>
  </si>
  <si>
    <t>Y5OX0</t>
  </si>
  <si>
    <t>WOS:001105759300001</t>
  </si>
  <si>
    <t>Grettenberger, CL; Sumner, DY; Wall, K; Hawes, I; Mackey, T; Jungblut, AD</t>
  </si>
  <si>
    <t>Grettenberger, Christen L.; Sumner, Dawn Y.; Wall, Kate; Hawes, Ian; Mackey, Tyler; Jungblut, Anne D.</t>
  </si>
  <si>
    <t>Bacterial community structure of microbial pinnacles in ice-covered Lake Vanda, Antarctica</t>
  </si>
  <si>
    <t>Antarctic; microbial ecology; biofilms; 16S rRNA</t>
  </si>
  <si>
    <t>MCMURDO DRY VALLEYS; ENVIRONMENTAL-CHANGE; CYANOBACTERIAL MATS; GROWTH; HOARE; IRRADIANCE; DIVERSITY; PATTERNS; BIOMASS; JOYCE</t>
  </si>
  <si>
    <t>The McMurdo Dry Valleys are a cold and arid environment with low biomass relative to most ice-free environments. The ice-covered lakes in the valleys, however, provide a refuge for diverse microbial communities where liquid water persists year-round. Within these lakes, benthic microbial assemblages form ornate structures in the absence of burrowing and grazing organisms. In Lake Vanda, the microbial communities create pinnacles with features including tip, web, and ridge ornaments and brown, green, purple, and beige pigmented zones. Bacterial 16S rRNA gene composition differed between lake depths for all sampled features. Within each depth, community composition correlated with the relative distance into the pinnacle and there were also some significant differences between assemblages in certain zones. The bacterial community composition in the zones may reflect how they respond to environmental changes as the mat is buried, altering the internal light environment and affecting 16S rRNA gene assemblages across niches from the surface to the interior.</t>
  </si>
  <si>
    <t>[Grettenberger, Christen L.; Sumner, Dawn Y.; Wall, Kate] Univ Calif Davis, Dept Earth &amp; Planetary Sci, Davis, CA USA; [Grettenberger, Christen L.] Univ Calif Davis, Dept Ecotoxicol, Davis, CA USA; [Hawes, Ian] Univ Waikato, Coastal Marine Field Stn, Tauranga, New Zealand; [Mackey, Tyler] Univ New Mexico, Life Sci Dept, Dept Earth &amp; Planetary Sci, Albuquerque, NM USA; [Jungblut, Anne D.] Nat Hist Museum, London, England; [Grettenberger, Christen L.] Univ Calif Davis, 2119 Earth &amp; Phys Sci Bldg, Davis, CA 95616 USA</t>
  </si>
  <si>
    <t>University of California System; University of California Davis; University of California System; University of California Davis; University of Waikato; University of New Mexico; Natural History Museum London; University of California System; University of California Davis</t>
  </si>
  <si>
    <t>Grettenberger, CL (corresponding author), Univ Calif Davis, 2119 Earth &amp; Phys Sci Bldg, Davis, CA 95616 USA.</t>
  </si>
  <si>
    <t>clgrett@ucdavis.edu</t>
  </si>
  <si>
    <t>We thank Dr. Blythe Durbin-Johnson at the University of California Davis Bioinformatics Core Facility for helpful advice regarding the statistical analyses. We thank the reviewers for their insightful comments and suggestions.</t>
  </si>
  <si>
    <t>10.1080/15230430.2023.2276578</t>
  </si>
  <si>
    <t>Y2ZQ8</t>
  </si>
  <si>
    <t>WOS:001104004600001</t>
  </si>
  <si>
    <t>Siegfried, L; Vittoz, P; Lane, SN</t>
  </si>
  <si>
    <t>Siegfried, Lila; Vittoz, Pascal; Lane, Stuart N.</t>
  </si>
  <si>
    <t>Hydrological heterogeneity and the plant colonization of recently deglaciated terrain</t>
  </si>
  <si>
    <t>Vegetation community; glacier forefield; primary succession; climate change; Swiss Alps</t>
  </si>
  <si>
    <t>STORBREEN GLACIER FORELAND; VEGETATION SUCCESSION; BIOGEOMORPHIC INTERACTIONS; CLIMATE-CHANGE; JOTUNHEIMEN; FOREFIELD; DYNAMICS; NORWAY; GLETSCHERVORFELD; IMPACTS</t>
  </si>
  <si>
    <t>Climate change accelerates glacier retreat, leading to extensive exposure of sediment to light and ecological succession. Succession has traditionally been studied as a chronosequence, where vegetation development is directly correlated with time since glacier retreat or distance from the retreating glacier margin. More recent work has challenged this model, arguing that succession seems to be mainly influenced by heterogeneous conditions at the local scale. The aim of this study was to identify the factors influencing the local-scale establishment of plant communities following glacier recession. Vascular plants and their cover were inventoried in 100 plots (1 m(2)) for a thirty-year-old alluvial plain in front of the Otemma glacier (Swiss Alps). Depth to water table, distance to the glacial main river and to the nearest channel, sediment size, moss, lichen, and biological soil crust cover were measured. Results showed that proglacial margins develop hydrological heterogeneity over a small scale, reflected in the four observed plant communities. These range from the dry Sempervivum-dominated community, on gravel-rich sediments with a deep water table, to the Trifolium-dominated community, close to secondary channels, with the highest plant cover and species richness and incorporating grassland species. Heterogeneity in water availability exerted a critical control on vegetation development.</t>
  </si>
  <si>
    <t>[Siegfried, Lila; Vittoz, Pascal; Lane, Stuart N.] Univ Lausanne, Inst Earth Surface Dynam, Fac Geosci &amp; Environm, CH-1015 Lausanne, Switzerland</t>
  </si>
  <si>
    <t>University of Lausanne</t>
  </si>
  <si>
    <t>Siegfried, L (corresponding author), Univ Lausanne, Inst Earth Surface Dynam, Fac Geosci &amp; Environm, CH-1015 Lausanne, Switzerland.</t>
  </si>
  <si>
    <t>lila.siegfried@unil.ch</t>
  </si>
  <si>
    <t>Lane, Stuart/M-7934-2014</t>
  </si>
  <si>
    <t>Lane, Stuart/0000-0002-6077-6076</t>
  </si>
  <si>
    <t>We thank Luca Miserere and Mathias Vust for their help in identifying some lichen and bryophyte species. A big thank you to Hannah Miller for helping with the fieldwork at Otemma glacier.</t>
  </si>
  <si>
    <t>10.1080/15230430.2023.2259677</t>
  </si>
  <si>
    <t>U6DC1</t>
  </si>
  <si>
    <t>gold, Green Published</t>
  </si>
  <si>
    <t>WOS:001085677300001</t>
  </si>
  <si>
    <t>Reji Chacko, M; Oehri, J; Plekhanova, E; Schaepman-Strub, G</t>
  </si>
  <si>
    <t>Reji Chacko, Merin; Oehri, Jacqueline; Plekhanova, Elena; Schaepman-Strub, Gabriela</t>
  </si>
  <si>
    <t>Will current protected areas harbor refugia for threatened Arctic vegetation types until 2050? A first assessment</t>
  </si>
  <si>
    <t>Global change; Arctic conservation; tundra vegetation; CAVM; vegetation shifts; climate change refugia</t>
  </si>
  <si>
    <t>GREENLAND ICE-SHEET; CLIMATE-CHANGE; SHRUB EXPANSION; BIODIVERSITY; MANAGEMENT; PERMAFROST; ECOSYSTEMS; RESPONSES; TIME; CONSERVATION</t>
  </si>
  <si>
    <t>Arctic vegetation is crucial for fauna and the livelihoods of Northern peoples and is tightly linked to climate, permafrost soils, and water. Yet, a comprehensive understanding of climate change effects on Arctic vegetation is lacking. Protected areas cannot halt climate change but could reduce future pressure from additional drivers, like land use change and local industrial pollution. Therefore, it is crucial to understand the contribution of protected areas in safeguarding threatened Arctic vegetation types. We compare the present baseline with 2050 predictions of circumpolar Arctic vegetation type distributions and demonstrate an overrepresentation of dominant vegetation types and an underrepresentation of declining vegetation types within protected areas. Our study predicts five of eight assessed tundra vegetation types to be threatened by 2050, following International Union for Conservation of Nature criteria. Further, we mapped potential climate change refugia, areas with the highest potential for safeguarding threatened vegetation types. This study provides an essential first step assessing vegetation type vulnerability based on predictions covering 42 percent of Arctic landscapes. The co-development of new protective measures by policymakers and Indigenous peoples at a pan-Arctic scale requires more robust and spatially complete vegetation predictions, as increasing pressures from resource exploration and infrastructure development threaten the sustainable development of the rapidly thawing and greening Arctic.</t>
  </si>
  <si>
    <t>[Reji Chacko, Merin; Oehri, Jacqueline; Plekhanova, Elena; Schaepman-Strub, Gabriela] Univ Zurich, Dept Evolutionary Biol &amp; Environm Studies, Winterthurerstr 190, CH-8057 Zurich, Switzerland; [Reji Chacko, Merin] Swiss Fed Inst Technol, Inst Terr Ecosyst, Dept Environm Syst Sci, Zurich, Switzerland; [Reji Chacko, Merin] Swiss Fed Res Inst WSL, Land Change Sci Unit, Birmensdorf, Switzerland; [Oehri, Jacqueline] McGill Univ, Dept Biol, Montreal, PQ, Canada</t>
  </si>
  <si>
    <t>University of Zurich; Swiss Federal Institutes of Technology Domain; ETH Zurich; Swiss Federal Institutes of Technology Domain; Swiss Federal Institute for Forest, Snow &amp; Landscape Research; McGill University</t>
  </si>
  <si>
    <t>Reji Chacko, M; Schaepman-Strub, G (corresponding author), Univ Zurich, Dept Evolutionary Biol &amp; Environm Studies, Winterthurerstr 190, CH-8057 Zurich, Switzerland.</t>
  </si>
  <si>
    <t>merin.rejichacko@gmail.com; gabriela.schaepman@ieu.uzh.ch</t>
  </si>
  <si>
    <t>Reji Chacko, Merin/GRS-4193-2022; Schaepman-Strub, Gabriela/D-8785-2011; Oehri, Jacqueline/AAV-2366-2020</t>
  </si>
  <si>
    <t>Reji Chacko, Merin/0000-0002-6069-4281; Schaepman-Strub, Gabriela/0000-0002-4069-1884; Oehri, Jacqueline/0000-0002-2981-9402; Plekhanova, Elena/0000-0002-5727-9175</t>
  </si>
  <si>
    <t>University Research Priority Programme Global Change and Biodiversity of the University of Zurich; University Research Priority Programme Global Change and Biodiversity of the University of Zurich</t>
  </si>
  <si>
    <t>This work was supported by the University Research Priority Programme Global Change and Biodiversity of the University of Zurich.</t>
  </si>
  <si>
    <t>10.1080/15230430.2023.2203478</t>
  </si>
  <si>
    <t>G0EI3</t>
  </si>
  <si>
    <t>WOS:000985983300001</t>
  </si>
  <si>
    <t>Hichens-Bergström, M; Sannel, ABK</t>
  </si>
  <si>
    <t>Hichens-Bergstrom, Marit; Sannel, A. Britta K.</t>
  </si>
  <si>
    <t>Permafrost development in northern Fennoscandian peatlands since the mid-Holocene</t>
  </si>
  <si>
    <t>Sub-Arctic peatlands; plant macrofossils; carbon/nitrogen ratio; stable isotopes; late Holocene</t>
  </si>
  <si>
    <t>ISOTOPE DEPTH PROFILES; ARCTIC PEAT PLATEAUS; HOLOCENE DEVELOPMENT; CLIMATE-CHANGE; CARBON; AGGRADATION; VARIABILITY; NITROGEN; SWEDEN; SOIL</t>
  </si>
  <si>
    <t>Increased permafrost temperatures have been reported in the circum-Arctic, and widespread degradation of permafrost peatlands has occurred in recent decades. The timing of permafrost aggradation in these ecosystems could have implications for the soil carbon lability upon thawing, and an increased understanding of the permafrost history is therefore needed to better project future carbon feedbacks. In this study, we have conducted high-resolution plant macrofossil and geochemical analyses and accelerator mass spectrometry radiocarbon dating of active layer cores from four permafrost peatlands in northern Sweden and Norway. In the mid-Holocene, all four sites were wet fens, and at least three of them remained permafrost-free until a shift in vegetation toward bog species was recorded around 800 to 400 cal. BP, suggesting permafrost aggradation during the Little Ice Age. At one site, Karlebotn, the plant macrofossil record also indicated a period of dry bog conditions between 3300 and 2900 cal. BP, followed by a rapid shift toward species growing in waterlogged fens or open pools, suggesting that permafrost possibly was present around 3000 cal. BP but thawed and was replaced by thermokarst.</t>
  </si>
  <si>
    <t>[Hichens-Bergstrom, Marit; Sannel, A. Britta K.] Stockholm Univ, Dept Phys Geog, S-10691 Stockholm, Sweden; [Hichens-Bergstrom, Marit; Sannel, A. Britta K.] Stockholm Univ, Bolin Ctr Climate Res, Stockholm, Sweden</t>
  </si>
  <si>
    <t>Stockholm University</t>
  </si>
  <si>
    <t>Sannel, ABK (corresponding author), Stockholm Univ, Dept Phys Geog, S-10691 Stockholm, Sweden.;Sannel, ABK (corresponding author), Stockholm Univ, Bolin Ctr Climate Res, Stockholm, Sweden.</t>
  </si>
  <si>
    <t>britta.sannel@natgeo.su.se</t>
  </si>
  <si>
    <t>Swedish Research Council [2017- 06037]; Bolin Centre for Climate Research; Albert &amp; Maria Bergstroem Foundation; Swedish Research Council [2017-06037] Funding Source: Swedish Research Council</t>
  </si>
  <si>
    <t>Swedish Research Council(Swedish Research Council); Bolin Centre for Climate Research; Albert &amp; Maria Bergstroem Foundation; Swedish Research Council(Swedish Research Council)</t>
  </si>
  <si>
    <t>This study was funded by the Swedish Research Council (2017- 06037). Financial support was also provided by the Bolin Centre for Climate Research and the Ahlmann, Lagrelius, Mannerfelt and Albert &amp; Maria Bergstroem Foundation.</t>
  </si>
  <si>
    <t>10.1080/15230430.2023.2250035</t>
  </si>
  <si>
    <t>T2RM6</t>
  </si>
  <si>
    <t>WOS:001076508100001</t>
  </si>
  <si>
    <t>Utevsky, A; Utevsky, S; Cichocka, JM; Bielecki, A; Santoro, M; Trontelj, P</t>
  </si>
  <si>
    <t>Utevsky, Andriy; Utevsky, Serge; Cichocka, Joanna M.; Bielecki, Aleksander; Santoro, Mario; Trontelj, Peter</t>
  </si>
  <si>
    <t>Return of the prodigal son: morphology and molecular phylogenetic relationships of a new Antarctic fish leech (Hirudinea: Piscicolidae) imply a bipolar biogeographic pattern</t>
  </si>
  <si>
    <t>SYSTEMATICS AND BIODIVERSITY</t>
  </si>
  <si>
    <t>Annelida; Austroplatybdellina prodiga; biogeography; Clitellata; evolution; parasites; phylogeny; Southern Ocean</t>
  </si>
  <si>
    <t>DISPERSAL; SEQUENCES; MARINE; ORIGIN; TOOL</t>
  </si>
  <si>
    <t>The bipolar distribution of fish leeches (Piscicolidae) has been considered and discussed by leech biologists for a long time. All cases of putative bipolar ranges of related taxa that occur in cold and temperate waters of both hemispheres and are absent in the tropics have been morphology-based hypotheses. Here, we present, for the first time, an instance of bipolar distribution substantiated by morphological and molecular data. The latter include the mitochondrial genes 12S rRNA, COI, ND1 and tRNA Leu, and the nuclear 28S rRNA. A new genus and species of Antarctic piscicolids, Austroplatybdellina prodiga, is described. The new leech was part of a Boreal-Arctic monophyletic group that is informally called 'classic platybdellins'. That clade is the core of the non-monophyletic subfamily Platybdellinae. Austroplatybdellina prodiga gen. nov. sp. nov. was further classified as a member of a monophyletic group along with two Boreal genera, Crangonobdella and Beringobdella, which share a number of systematically important morphological features with its newly described relative. It is hypothesized that the Boreal ancestor of the new leech crossed warm tropical waters and colonized the Antarctic. The colonization was relatively recent as the low genetic distance between A. prodiga and its Boreal sister species suggests. This migration can be viewed as a return of a Boreal descendant of the Antarctic ancestor of Piscicolidae to the area of origin of the entire family, which follows from the basal position of the Antarctic Megaliobdella szidati in the family phylogenetic tree. This evolutionary scenario is reflected in the species epithet of the new leech.</t>
  </si>
  <si>
    <t>[Utevsky, Andriy; Utevsky, Serge] V N Karazin Kharkiv Natl Univ, Dept Zool &amp; Anim Ecol, Maidan Svobody 4, UA-61022 Kharkiv, Ukraine; [Cichocka, Joanna M.; Bielecki, Aleksander] Uniwersytet Warminsko Mazurski Olsztynie, Wydzial Biologii &amp; Biotechnologii, Katedra Zoologii, Olsztyn, Poland; [Cichocka, Joanna M.] XI High Sch Olsztyn, Kolobrzeska St 9, PL-10444 Olsztyn, Poland; [Santoro, Mario] Stn Zool Anton Dohrn, Dept Integrat Marine Ecol, Villa Comunale 1, I-80121 Naples, Italy; [Trontelj, Peter] Univ Ljubljana, Biotech Fac, Dept Biol, Jamnikarjeva 101, Ljubljana 1000, Slovenia</t>
  </si>
  <si>
    <t>Stazione Zoologica Anton Dohrn di Napoli; University of Ljubljana</t>
  </si>
  <si>
    <t>Utevsky, A (corresponding author), V N Karazin Kharkiv Natl Univ, Dept Zool &amp; Anim Ecol, Maidan Svobody 4, UA-61022 Kharkiv, Ukraine.</t>
  </si>
  <si>
    <t>andriy.utevsky@karazin.ua</t>
  </si>
  <si>
    <t>Utevsky, Andriy/0000-0002-8336-1105; Santoro, Mario/0000-0002-6483-3103</t>
  </si>
  <si>
    <t>The specimens from the Cosmonauts and Riiser-Larsen Seas were obtained during the Belorussia Antarctic expedition thanks to O.I. Borodin and Yu. G. Giginiak. Our special thanks go to Lidiya Utevska and Georgiy Utevsky for their kind help in preparing the d</t>
  </si>
  <si>
    <t>The specimens from the Cosmonauts and Riiser-Larsen Seas were obtained during the Belorussia Antarctic expedition thanks to O.I. Borodin and Yu. G. Giginiak. Our special thanks go to Lidiya Utevska and Georgiy Utevsky for their kind help in preparing the drawings.</t>
  </si>
  <si>
    <t>1477-2000</t>
  </si>
  <si>
    <t>1478-0933</t>
  </si>
  <si>
    <t>SYST BIODIVERS</t>
  </si>
  <si>
    <t>Syst. Biodivers.</t>
  </si>
  <si>
    <t>10.1080/14772000.2023.2246476</t>
  </si>
  <si>
    <t>Biodiversity Conservation; Biology</t>
  </si>
  <si>
    <t>Biodiversity &amp; Conservation; Life Sciences &amp; Biomedicine - Other Topics</t>
  </si>
  <si>
    <t>R6QF9</t>
  </si>
  <si>
    <t>Green Submitted</t>
  </si>
  <si>
    <t>WOS:001065575400001</t>
  </si>
  <si>
    <t>Neal, WJ; Werner, A; Waythomas, CF</t>
  </si>
  <si>
    <t>Neal, William J.; Werner, Alan; Waythomas, Christopher F.</t>
  </si>
  <si>
    <t>IN MEMORIAM Memorial to Norman W. Ten Brink (1943-2023)</t>
  </si>
  <si>
    <t>Biographical-Item</t>
  </si>
  <si>
    <t>[Neal, William J.] Grand Valley State Univ, Allendale, MI USA; [Werner, Alan] Mt Holyoke Coll, South Hadley, MA USA; [Waythomas, Christopher F.] US Geol Survey, Alaska Volcano Observ, Anchorage, AK 20192 USA</t>
  </si>
  <si>
    <t>Grand Valley State University; Mount Holyoke College; United States Department of the Interior; United States Geological Survey</t>
  </si>
  <si>
    <t>Waythomas, CF (corresponding author), US Geol Survey, Alaska Volcano Observ, Anchorage, AK 20192 USA.</t>
  </si>
  <si>
    <t>cwaythomas@usgs.gov</t>
  </si>
  <si>
    <t>10.1080/15230430.2023.2248844</t>
  </si>
  <si>
    <t>R2YU3</t>
  </si>
  <si>
    <t>WOS:001063064600001</t>
  </si>
  <si>
    <t>Sperduto, DD; Nichols, WF; Jones, MT</t>
  </si>
  <si>
    <t>Sperduto, Daniel D.; Nichols, William F.; Jones, Michael T.</t>
  </si>
  <si>
    <t>Non-native vascular flora of alpine areas in the White Mountains, New Hampshire, USA</t>
  </si>
  <si>
    <t>Arctic-alpine vegetation; climate change; human disturbance; invasive; Presidential Range; recreation impacts</t>
  </si>
  <si>
    <t>PLANT INVASIONS; HIGH-ANDES; TARAXACUM-OFFICINALE; SPECIES-RICHNESS; PROTECTED AREAS; CUSHION PLANTS; LAND-USE; PATTERNS; CORRIDORS; SEED</t>
  </si>
  <si>
    <t>Arctic-alpine vegetation in the eastern United States is unique to northern New England and New York and is disjunct from similar areas in eastern Canada. We present the first study of the non-native flora in the region, specifically focusing on New Hampshire's White Mountains. By combining literature and herbaria searches, field surveys, and a seventeen-year evaluation at an alpine hut in a hypothesis-driven framework, we document the composition, chronology, and persistence of non-native plant species establishments, regress richness in relation to elevation and disturbed area, and evaluate similarities to nineteen other alpine floras globally. Our results indicate that the White Mountains support one of the most species-rich non-native alpine floras known in the world, with 58 species detected at thirty-one sites since 1874, comprising 19 percent of 300 species documented in New Hampshire's 22 km2 of alpine tundra. There is a negative relationship between non-native alpine plant richness and elevation along a mountain road on Mt. Washington. Moreover, elevation predicts richness per unit area in proximity to clusters of built structures in alpine areas. The compositions, geographic origins, and dominant ruderal strategies of non-native species are similar to those of Arctic and other alpine non-native floras globally. Sorenson similarity index and nonmetric multidimensional scaling ordination of twenty alpine regions reveals the White Mountains have highest similarity with widely separated mountain regions in Australia, Hawaii, the Rocky Mountains, the Andes, Southern Africa, and Iceland, driven by shared species of Eurasian origin. We report the unexpected discovery of Plagiobothrys hispidulus, a borage native to western North America not previously reported from New Hampshire. These findings have important implications for managers of alpine areas in eastern North America and may facilitate the early detection, monitoring, and control of non-native species, minimizing their establishment and spread.</t>
  </si>
  <si>
    <t>[Sperduto, Daniel D.] USDA Forest Serv, White Mt Natl Forest, 71 White Mountain Dr, Campton, NH 03223 USA; [Nichols, William F.] NH Nat Heritage Bur, Dept Nat &amp; Cultural Resources, Div Forests &amp; Lands, Concord, NH USA; [Jones, Michael T.] Div Fisheries &amp; Wildlife, Massachusetts Nat Heritage &amp; Endangered Species Pr, Westborough, MA USA</t>
  </si>
  <si>
    <t>United States Department of Agriculture (USDA); United States Forest Service</t>
  </si>
  <si>
    <t>Sperduto, DD (corresponding author), USDA Forest Serv, White Mt Natl Forest, 71 White Mountain Dr, Campton, NH 03223 USA.</t>
  </si>
  <si>
    <t>daniel.d.sperduto@usda.gov</t>
  </si>
  <si>
    <t>The Mt. Washington Auto Road provided access to the summit during our surveys. Thanks to Erica Duda for assistance with mapmaking and to the anonymous reviewers and editors for their critical review and comments. The authors thank Doug Weihrauch, Charlie C</t>
  </si>
  <si>
    <t>The Mt. Washington Auto Road provided access to the summit during our surveys. Thanks to Erica Duda for assistance with mapmaking and to the anonymous reviewers and editors for their critical review and comments. The authors thank Doug Weihrauch, Charlie Cogbill, Matt Peters, and Brett Engstrom for information and field assistance.</t>
  </si>
  <si>
    <t>10.1080/15230430.2023.2243704</t>
  </si>
  <si>
    <t>Q7UN8</t>
  </si>
  <si>
    <t>Green Submitted, gold</t>
  </si>
  <si>
    <t>WOS:001059539600001</t>
  </si>
  <si>
    <t>Brown, DRN; Arp, CD; Brinkman, TJ; Cellarius, BA; Engram, M; Miller, ME; Spellman, KV</t>
  </si>
  <si>
    <t>Brown, Dana R. N.; Arp, Christopher D.; Brinkman, Todd J.; Cellarius, Barbara A.; Engram, Melanie; Miller, Mark E.; Spellman, Katie V.</t>
  </si>
  <si>
    <t>Long-term change and geospatial patterns of river ice cover and navigability in Southcentral Alaska detected with remote sensing</t>
  </si>
  <si>
    <t>Climate change; citizen science; Copper River; remote sensing; river ice; subsistence</t>
  </si>
  <si>
    <t>LAKE; FUTURE; HYDROLOGY; GEOGRAPHY; FOOD</t>
  </si>
  <si>
    <t>People who travel on ice-covered rivers to access traditional lands and resources can be profoundly impacted by effects of climate change on river ice seasonality. We used remote sensing, bolstered by citizen science, to assess trends and geospatial patterns of the ice cover in the Copper River Basin of Southcentral Alaska. Our analysis of Landsat imagery from water years (WYs) 1973 to 2021 suggests a severely diminishing season of river ice travel (delayed or incomplete freezeup, early breakup) due to increasing air temperatures. The weekly probability of an adequate ice cover for river crossings declined by an average of 53 percentage points. Ice extent was closely related to accumulated freezing degree days (AFDD). AFDD(Oct-Apr) decreased by 15% since WY 1943, a significant warming trend. We mapped the spatiotemporal variation of ice and open water extent with multispectral and synthetic aperture radar (SAR) imagery (Sentinel-2, Sentinel-1). We identified reaches with more reliable opportunities for winter access and others susceptible to extensive open water, differences related to flow energy and channel form. The results of this study can support local decision making and adaptation in response to rapidly changing river ice conditions, and our approach can be applied elsewhere to document change and improve travel safety.</t>
  </si>
  <si>
    <t>[Brown, Dana R. N.; Spellman, Katie V.] Univ Alaska Fairbanks, Int Arctic Res Ctr, Fairbanks, AK USA; [Arp, Christopher D.; Engram, Melanie] Univ Alaska Fairbanks, Inst Northern Engn, Water &amp; Environm Res Ctr, Fairbanks, AK USA; [Brinkman, Todd J.] Univ Alaska Fairbanks, Inst Arctic Biol, Fairbanks, AK USA; [Cellarius, Barbara A.; Miller, Mark E.] Natl Pk Serv, Wrangell St Elias Natl Pk &amp; Preserve, Copper Ctr, AK USA; [Brown, Dana R. N.] Univ Alaska Fairbanks, Int Arctic Res Ctr, POB 757340,2160 Koyukuk Dr, Fairbanks, AK 99775 USA</t>
  </si>
  <si>
    <t>University of Alaska System; University of Alaska Fairbanks; University of Alaska System; University of Alaska Fairbanks; University of Alaska System; University of Alaska Fairbanks; United States Department of the Interior; University of Alaska System; University of Alaska Fairbanks</t>
  </si>
  <si>
    <t>Brown, DRN (corresponding author), Univ Alaska Fairbanks, Int Arctic Res Ctr, POB 757340,2160 Koyukuk Dr, Fairbanks, AK 99775 USA.</t>
  </si>
  <si>
    <t>dana.brown@alaska.edu</t>
  </si>
  <si>
    <t>Arp, Christopher/0000-0002-6485-6225; Brown, Dana/0000-0002-1195-7161; Miller, Mark/0000-0002-4691-7469; Spellman, Katie/0000-0002-2291-0190; Engram, Melanie/0000-0002-1144-1827</t>
  </si>
  <si>
    <t>We thank Allen Bondurant, Caroline Ketron, and Paul Atkinson for maintaining cameras; all of the citizen science ice observers; the Fresh Eyes on Ice team; and the NASA GLOBE Observer program.; NASA GLOBE Observer program</t>
  </si>
  <si>
    <t>We thank Allen Bondurant, Caroline Ketron, and Paul Atkinson for maintaining cameras; all of the citizen science ice observers; the Fresh Eyes on Ice team; and the NASA GLOBE Observer program.</t>
  </si>
  <si>
    <t>10.1080/15230430.2023.2241279</t>
  </si>
  <si>
    <t>Q0EC1</t>
  </si>
  <si>
    <t>WOS:001054315100001</t>
  </si>
  <si>
    <t>Pang, A; Liang, Q; Li, WJ; Zheng, L; Li, T; Cheng, X</t>
  </si>
  <si>
    <t>Pang, Ao; Liang, Qi; Li, Weijia; Zheng, Lei; Li, Teng; Cheng, Xiao</t>
  </si>
  <si>
    <t>The distribution and evolution of surface fractures on pan-Antarctic ice shelves</t>
  </si>
  <si>
    <t>INTERNATIONAL JOURNAL OF DIGITAL EARTH</t>
  </si>
  <si>
    <t>Surface fractures; Antarctic ice shelf; ResUNet; MOA</t>
  </si>
  <si>
    <t>BASAL CREVASSES; MELTWATER; GLACIER; DAMAGE; LAND; VULNERABILITY; PROPAGATION; STABILITY; MECHANICS; FRAMEWORK</t>
  </si>
  <si>
    <t>Surface fractures have a great impact on ice shelf stability in Antarctica and can be considered precursors of ice shelf calving. However, our understanding of the spatial distribution and temporal evolution of surface fractures on the Antarctic ice shelf is limited. In this study, a ResUNet model was implemented on the Moderate Resolution Imaging Spectroradiometer (MODIS)-based Mosaic of Antarctica (MOA) to identify the spatial distribution of Antarctic ice shelf surface fractures in 2004, 2009, and 2014. The accuracy of identification had an F1 value of 0.771. Our model identified 44744.59 &amp; PLUSMN; 2619.61 km(2) of surface fractures in 2004, 43737.15 &amp; PLUSMN; 2644.60 km(2) in 2009, and 42978.67 &amp; PLUSMN; 2639.33 km(2) in 2014. The reduction is primarily attributed to the variation in surface fractures within 20 km of the ice front, paratactically in the Amundsen and Wilkes sectors. Ice shelves in the Amundsen sector typically have a widespread distribution of surface fractures, with particularly high concentrations found in the Thwaites Ice Shelf, Crosson Ice Shelf and Getz Ice Shelf. The Brunt Ice Shelf also exhibits numerous surface fractures. This study provides comprehensive and detailed information about surface fractures on Antarctic ice shelves, carrying implications for evaluating ice shelf vulnerability.</t>
  </si>
  <si>
    <t>[Pang, Ao; Liang, Qi; Li, Weijia; Zheng, Lei; Li, Teng; Cheng, Xiao] Sun Yat Sen Univ, Southern Marine Sci &amp; Engn Guangdong Lab Zhuhai, Zhuhai, Peoples R China; [Pang, Ao; Liang, Qi; Li, Weijia; Zheng, Lei; Li, Teng; Cheng, Xiao] Southern Marine Sci &amp; Engn Guangdong Lab Zhuhai, Zhuhai, Peoples R China; [Pang, Ao; Liang, Qi; Li, Weijia; Zheng, Lei; Li, Teng; Cheng, Xiao] Sun Yat sen Univ, Key Lab Comprehens Observat Polar Environm, Minist Educ, Zhuhai, Peoples R China</t>
  </si>
  <si>
    <t>Sun Yat Sen University; Southern Marine Science &amp; Engineering Guangdong Laboratory; Southern Marine Science &amp; Engineering Guangdong Laboratory (Zhuhai); Southern Marine Science &amp; Engineering Guangdong Laboratory; Southern Marine Science &amp; Engineering Guangdong Laboratory (Zhuhai); Sun Yat Sen University</t>
  </si>
  <si>
    <t>Liang, Q; Cheng, X (corresponding author), Sun Yat Sen Univ, Southern Marine Sci &amp; Engn Guangdong Lab Zhuhai, Zhuhai, Peoples R China.;Liang, Q; Cheng, X (corresponding author), Southern Marine Sci &amp; Engn Guangdong Lab Zhuhai, Zhuhai, Peoples R China.;Liang, Q; Cheng, X (corresponding author), Sun Yat sen Univ, Key Lab Comprehens Observat Polar Environm, Minist Educ, Zhuhai, Peoples R China.</t>
  </si>
  <si>
    <t>liangq57@mail.sysu.edu.cn; chengxiao9@mail.sysu.edu.cn</t>
  </si>
  <si>
    <t>Liang, Qi/AAI-4973-2020</t>
  </si>
  <si>
    <t>Li, Teng/0000-0002-5620-3662</t>
  </si>
  <si>
    <t>The authors thank the NSIDC for providing MOA data.</t>
  </si>
  <si>
    <t>1753-8947</t>
  </si>
  <si>
    <t>1753-8955</t>
  </si>
  <si>
    <t>INT J DIGIT EARTH</t>
  </si>
  <si>
    <t>Int. J. Digit. Earth</t>
  </si>
  <si>
    <t>10.1080/17538947.2023.2246436</t>
  </si>
  <si>
    <t>Geography, Physical; Remote Sensing</t>
  </si>
  <si>
    <t>Physical Geography; Remote Sensing</t>
  </si>
  <si>
    <t>P8RR5</t>
  </si>
  <si>
    <t>WOS:001053292900001</t>
  </si>
  <si>
    <t>Liao, ZL; Cheng, YB; Jiang, Y; Li, MM; Cheng, B; Sandven, S</t>
  </si>
  <si>
    <t>Liao, Zeliang; Cheng, Yubing; Jiang, Ying; Li, Mengmeng; Cheng, Bin; Sandven, Stein</t>
  </si>
  <si>
    <t>Ice bottom evolution derived from thermistor string-based ice mass balance buoy observations</t>
  </si>
  <si>
    <t>Sea ice thickness; lake ice thickness; ice-bottom evolution; nonlinear filtering</t>
  </si>
  <si>
    <t>ARCTIC SEA-ICE; WARMER WINTERS; EDGE-DETECTION; KALMAN FILTER; SNOW-ICE; THICKNESS; MODEL; AMPLIFICATION; SIMULATIONS; MELT</t>
  </si>
  <si>
    <t>Digital information on sea ice extent, thickness, volume, and distribution is crucial for understanding Earth's climate system. The Snow and Ice Mass Balance Apparatus (SIMBA) is used to determine snow and ice temperatures in Arctic, Antarctic, ice-covered seas, and boreal lakes. Snow depth and ice thickness are derived from SIMBA temperature regimes (SIMBA_ET and SIMBA_HT). In warm conditions, SIMBA_ET temperature-based ice thickness may have errors due to the isothermal vertical profile. SIMBA_HT provides a visible ice-bottom interface for manual quantification. We propose an unmanned approach, combining neural networks, wavelet analysis, and Kalman filtering (NWK), to mathematically establish NWK and retrieve ice bottoms from various SIMBA_HT datasets. In the Arctic, NWK-derived total thickness showed a bias range of -5.64 cm to 4.01 cm and a correlation coefficient of 95%-99%. For Baltic Sea ice, values ranged from 1.31 cm to 2.41 cm (88%-98% correlation), and for boreal lake ice, -0.7 cm to 2.6 cm (75%-83% correlation). During ice growth, thermal equilibrium, and melting, the bias varied from -3.93 cm to 2.37 cm, -1.92 cm to 0.04 cm, and -4.90 cm to 3.96 cm, with correlation coefficients of 76%-99%. These results demonstrate NWK's robustness in retrieving ice bottom evolution in different water environments.</t>
  </si>
  <si>
    <t>[Liao, Zeliang; Jiang, Ying] Sun Yat Sen Univ, Sch Comp Sci &amp; Engn, Guangzhou, Peoples R China; [Cheng, Yubing] Chinese Acad Sci, Inst Atmospher Phys, Beijing, Peoples R China; [Li, Mengmeng] Zhengzhou Univ, Henan Acad Big Data, Zhengzhou, Peoples R China; [Cheng, Bin] Finnish Meteorol Inst, Meteorol Dept, Helsinki, Finland; [Sandven, Stein] Nansen Environm &amp; Remote Sensing Ctr, Acoust &amp; Oceanog Dept, Bergen, Norway; [Jiang, Ying] Sun Yat Sen Univ, Sch Comp Sci &amp; Engn, Guangzhou 510006, Peoples R China</t>
  </si>
  <si>
    <t>Sun Yat Sen University; Chinese Academy of Sciences; Institute of Atmospheric Physics, CAS; Zhengzhou University; Finnish Meteorological Institute; Nansen Environmental &amp; Remote Sensing Center (NERSC); Sun Yat Sen University</t>
  </si>
  <si>
    <t>Jiang, Y (corresponding author), Sun Yat Sen Univ, Sch Comp Sci &amp; Engn, Guangzhou 510006, Peoples R China.</t>
  </si>
  <si>
    <t>jiangy32@mail.sysu.edu.cn</t>
  </si>
  <si>
    <t>Cheng, Yubing/0000-0002-1341-5913</t>
  </si>
  <si>
    <t>Key-Area Research and Development Program of Guangdong Province, China [2021B0101190003]; Natural Science Foundation of Guangdong Province, China [2022A1515010831]; European Union [727890-INTAROS]; Polar Regions in the Earth System project (PolarRES) [101003590]</t>
  </si>
  <si>
    <t>Key-Area Research and Development Program of Guangdong Province, China; Natural Science Foundation of Guangdong Province, China(National Natural Science Foundation of Guangdong Province); European Union(European Union (EU)); Polar Regions in the Earth System project (PolarRES)</t>
  </si>
  <si>
    <t>ZL and YJ were supported by the Key-Area Research and Development Program of Guangdong Province, China (No.2021B0101190003) and the Natural Science Foundation of Guangdong Province, China (No. 2022A1515010831). BC was partly supported by the European Union's Horizon 2020 research and innovation program (727890-INTAROS) in the early phase of SIMBA data analyzes and partly by Polar Regions in the Earth System project (PolarRES, grant 101003590) during the finalization stage of this work.</t>
  </si>
  <si>
    <t>10.1080/17538947.2023.2242326</t>
  </si>
  <si>
    <t>O8UT9</t>
  </si>
  <si>
    <t>WOS:001046522100001</t>
  </si>
  <si>
    <t>Lapointe, F; Retelle, M; Bradley, RS; Farnsworth, WR; Storen, E; Cook, T; Rosario, J</t>
  </si>
  <si>
    <t>Lapointe, Francois; Retelle, Michael; Bradley, Raymond S.; Farnsworth, Wesley R.; Storen, Eivind; Cook, Timothy; Rosario, Josiane</t>
  </si>
  <si>
    <t>Multi-proxy evidence of unprecedented hydroclimatic change in a high Arctic proglacial lake: Linnevatnet, Svalbard</t>
  </si>
  <si>
    <t>Linnevatnet; Linnebreen; grain size; sediment provenance; micro-X-ray fluorescence; climate</t>
  </si>
  <si>
    <t>SEA-SURFACE TEMPERATURE; ATLANTIC WATER; GLACIER ACTIVITY; NORTH-ATLANTIC; CLIMATE; ICE; SEDIMENTS; WESTERN; VARIABILITY; SPITSBERGEN</t>
  </si>
  <si>
    <t>Svalbard is at the forefront of sea ice, marine, and terrestrial environmental change in the Arctic and so can be viewed as an example of what may be expected in other high latitude regions influenced by the North Atlantic Current. However, there are few highly resolved (subdecadal) paleoclimate records from this area that provide a long-term perspective on recent climatic changes. Here, we investigate a new composite sedimentary sequence from Linnevatnet, western Spitsbergen, spanning the last similar to 2,000 years. The chronology of this new composite laminated sequence is supported by four radiometric dates. Prior to conducting paleoclimate investigations on these lake sediments, we investigated the sediment sources entering Linnevatnet. Sediment samples collected around the lake's watershed indicate that the main sediment sources come from the eastern carbonate valley wall as well as Linneelva, the main river system. Micro-X-ray fluorescence (mu-XRF) results indicate that calcium is the largest component of sediment delivered to the delta-proximal basin, where the sedimentary record was collected. Percentage organics deduced from loss-on-ignition measurements reveal an antiphased relationship with calcium and magnetic susceptibility, implying that the sediment loading at the core site is largely modulated by the alternation of calcium derived from carbonates of the eastern flanks of the valley and by coal-bearing sandstone from Linneelva, derived from the main river inflow that drains the central valley. Linneelva is mainly fed by snow and glacier meltwaters from Linnebreen, the small valley glacier now located 7 km south of Linnevatnet. Because Linnebreen is underlain by coal-bearing sandstone, organic content in Linnevatnet lake sediments can be used as an indicator of glacier activity. Annually resolved parameters-that is, calcium and grain size-were found to be strongly correlated to temperature inferred from nearby Lomonosovfonna delta O-18 ice record as well as the wider reconstructed Northern Hemisphere winter temperature. The coarsest grain size, highest calcium values, and lowest concentration of organics occurred just in recent years, suggesting that glacier influence on the sedimentary input to Linnevatnet is now at an all-time low in the context of the past millennia.</t>
  </si>
  <si>
    <t>[Lapointe, Francois; Bradley, Raymond S.; Cook, Timothy; Rosario, Josiane] Univ Massachusetts Amherst, Dept Geosci, Amherst, MA USA; [Lapointe, Francois; Bradley, Raymond S.; Cook, Timothy] Univ Massachusetts Amherst, Climate Syst Res Ctr, Amherst, MA USA; [Retelle, Michael] Bates Coll, Dept Geol, Lewiston, ME USA; [Retelle, Michael] Univ Ctr Svalbard, Dept Arctic Geol, Longyearbyen, Norway; [Farnsworth, Wesley R.] Univ Iceland, Nord Volcanol Ctr, Nordvulk, Reykjavik, Iceland; [Farnsworth, Wesley R.] Univ Copenhagen, Globe Inst, Copenhagen, Denmark; [Storen, Eivind] Univ Bergen, Dept Earth Sci, Bergen, Norway; [Storen, Eivind] COWI, Bergen, Norway; [Lapointe, Francois] 134 Morrill Sci Ctr,627 North Pleasant St, Amherst, MA 01003 USA</t>
  </si>
  <si>
    <t>University of Massachusetts System; University of Massachusetts Amherst; University of Massachusetts System; University of Massachusetts Amherst; University Centre Svalbard (UNIS); University of Iceland; University of Copenhagen; University of Bergen; COWI A/S</t>
  </si>
  <si>
    <t>Lapointe, F (corresponding author), 134 Morrill Sci Ctr,627 North Pleasant St, Amherst, MA 01003 USA.</t>
  </si>
  <si>
    <t>flapointe@umass.edu</t>
  </si>
  <si>
    <t>Farnsworth, Wesley/0000-0001-7375-2228</t>
  </si>
  <si>
    <t>10.1080/15230430.2023.2223403</t>
  </si>
  <si>
    <t>L5QW5</t>
  </si>
  <si>
    <t>WOS:001023820400001</t>
  </si>
  <si>
    <t>Miller, BL; La Farge, C</t>
  </si>
  <si>
    <t>Miller, Brittney L.; La Farge, Catherine</t>
  </si>
  <si>
    <t>Yukon ice patches: Bryophyte generation from ancient ice-entombed assemblages</t>
  </si>
  <si>
    <t>Ancient bryophyte generation; alpine ecosystem resilience; alpine biodiversity</t>
  </si>
  <si>
    <t>BIOLOGICAL SOIL CRUSTS; ALPINE ICE; NORTHWEST-TERRITORIES; SOUTHWEST YUKON; ARCHAEOLOGICAL INVESTIGATIONS; DESICCATION-TOLERANCE; SELWYN MOUNTAINS; GLACIER; MOSS; FRAGMENTS</t>
  </si>
  <si>
    <t>In Southwestern Yukon, ice patches have shown substantial retreat since the Little Ice Age (1600-1900 AD) in response to warming trends. These ice patches support unique alpine wetlands that have formed habitats for diverse flora and fauna over millennia. With ice retreat, pristine bryophyte populations are exposed beneath accumulated ancient dung. Given that bryophytes have been shown to survive extreme conditions including ice entombment and can regenerate from viable cells, emergent ice margin bryophyte and dung samples from the Granger and Gladstone ice patches were assayed for regrowth potential under growth chamber conditions. Diaspore (spore/fragment) generation of species found in the original subfossil material was indicated in 68 percent of assays, emphasizing the cyclical establishment of ancient ice patch vegetation. One of the oldest samples, dating 4036 calibrated years BP from the Gladstone ice patch margin, showed remarkable bryophyte generation from diaspores in dung. These Yukon ice patches form reservoirs of cryopreserved biota and have a critical role in maintaining alpine diversity, which provides summer refuge for caribou and other alpine fauna. Ice margin fluctuations, which bury and release populations through time, are part of a complex revegetation sequence in alpine regions that has followed deglaciation.</t>
  </si>
  <si>
    <t>[Miller, Brittney L.; La Farge, Catherine] Univ Alberta, Dept Biol Sci, Edmonton, AB T6G 2E9, Canada</t>
  </si>
  <si>
    <t>University of Alberta</t>
  </si>
  <si>
    <t>Miller, BL (corresponding author), Univ Alberta, Dept Biol Sci, Edmonton, AB T6G 2E9, Canada.</t>
  </si>
  <si>
    <t>bmiller3@ualberta.ca</t>
  </si>
  <si>
    <t>La Farge, Catherine/A-2656-2014</t>
  </si>
  <si>
    <t>Polar Knowledge Canada; University of Alberta [UANRA Grant]</t>
  </si>
  <si>
    <t>Polar Knowledge Canada provided the Northern Scientific Training Program (NSTP) award to this project. Additional support as provided by the University of Alberta [UANRA Grant].</t>
  </si>
  <si>
    <t>10.1080/15230430.2023.2222034</t>
  </si>
  <si>
    <t>M5CF6</t>
  </si>
  <si>
    <t>WOS:001030385100001</t>
  </si>
  <si>
    <t>Tissot, C; Lecordier, M; Hitier, M</t>
  </si>
  <si>
    <t>Tissot, Cecile; Lecordier, Manon; Hitier, Martin</t>
  </si>
  <si>
    <t>Surgical epidemiology of Antarctic stations from 1904 to 2022: A scoping review</t>
  </si>
  <si>
    <t>INTERNATIONAL JOURNAL OF CIRCUMPOLAR HEALTH</t>
  </si>
  <si>
    <t>Review</t>
  </si>
  <si>
    <t>Surgery; medicine; epidemiology; surgical epidemiology; dentistry; Antarctica</t>
  </si>
  <si>
    <t>In Antarctica, it is extremely difficult to organise medical evacuations in winter. Antarctic physicians are often alone and must be prepared to perform surgery and dentistry, even if they are not specialists. This scoping review summarises epidemiological data on the types of surgical procedures performed in Antarctica and identifies gaps in the literature in this area. We searched PubMed and Google Scholar, without language restriction, for papers published between 1 January 1904, and 1 February 2022. Of the 35 papers on 12 Antarctic programs, very few were retrospective observational epidemiological studies; the majority were medical reports. The search identified 41 surgical procedures or reasons for surgical consultation, 19 different reasons for medical evacuations, and 12 causes of death that may have required surgical management. The diagnostic classifications used and the prevalence of each reported surgical speciality were heterogeneous. The most cited specialities were orthopaedics, dentistry, and digestive surgery. Telemedicine was integrated into on-site care or medical evacuation decisions. The current literature is poor, and most studies do not apply to surgical issues. The heterogeneous data collection methodologies limit their interpretation. A standardised diagnostic classification and detailed and systematic epidemiological registers will help define the contours of surgical management in Antarctica.</t>
  </si>
  <si>
    <t>[Tissot, Cecile; Lecordier, Manon] UBO, Fac Med &amp; Hlth Sci, Brest, France; [Hitier, Martin] Normandie Univ, Dept Otolaryngol Head &amp; Neck Surg, Caen, France; [Hitier, Martin] CHU Caen, Dept Otolaryngol Head &amp; Neck Surg, Caen, France; [Hitier, Martin] UNICAEN, Dept Anat, Caen, France; [Hitier, Martin] Inserm, Mobil Aging, Pathol, Hlth, Caen, France; [Tissot, Cecile] UBO, Fac Med &amp; Hlth Sci, 32 Rue Gen Gaulle,14970 St Aubin Arquenay, F-29200 Normandy, France</t>
  </si>
  <si>
    <t>Universite de Bretagne Occidentale; Universite de Caen Normandie; CHU de Caen NORMANDIE; Universite de Caen Normandie; Institut National de la Sante et de la Recherche Medicale (Inserm); Universite de Bretagne Occidentale</t>
  </si>
  <si>
    <t>Tissot, C (corresponding author), UBO, Fac Med &amp; Hlth Sci, 32 Rue Gen Gaulle,14970 St Aubin Arquenay, F-29200 Normandy, France.</t>
  </si>
  <si>
    <t>ceciletissot@orange.fr</t>
  </si>
  <si>
    <t>Tissot, Cecile/GPT-0221-2022</t>
  </si>
  <si>
    <t>Hitier, Martin/0000-0002-1323-133X; Lecordier, Manon/0000-0001-9023-6700; Tissot, Cecile/0000-0002-5022-2213</t>
  </si>
  <si>
    <t>1239-9736</t>
  </si>
  <si>
    <t>2242-3982</t>
  </si>
  <si>
    <t>INT J CIRCUMPOL HEAL</t>
  </si>
  <si>
    <t>Int. J. Circumpolar Health</t>
  </si>
  <si>
    <t>10.1080/22423982.2023.2235736</t>
  </si>
  <si>
    <t>Public, Environmental &amp; Occupational Health</t>
  </si>
  <si>
    <t>Science Citation Index Expanded (SCI-EXPANDED); Social Science Citation Index (SSCI)</t>
  </si>
  <si>
    <t>M4ZG1</t>
  </si>
  <si>
    <t>WOS:001030305500001</t>
  </si>
  <si>
    <t>Suzuki, T; Takeuchi, N</t>
  </si>
  <si>
    <t>Suzuki, Takumi; Takeuchi, Nozomu</t>
  </si>
  <si>
    <t>Influence of vegetation on occurrence and color of snow algal blooms in Mt. Gassan, Yamagata Prefecture, Japan (vol 55, 2173138, 2023)</t>
  </si>
  <si>
    <t>Correction</t>
  </si>
  <si>
    <t>Takeuchi, Nozomu/Q-7869-2016</t>
  </si>
  <si>
    <t>Takeuchi, Nozomu/0000-0002-3267-5534</t>
  </si>
  <si>
    <t>10.1080/15230430.2023.2230052</t>
  </si>
  <si>
    <t>L1VA9</t>
  </si>
  <si>
    <t>WOS:001021191100001</t>
  </si>
  <si>
    <t>Kruse, S; Shevtsova, I; Heim, B; Pestryakova, LA; Zakharov, ES; Herzschuh, U</t>
  </si>
  <si>
    <t>Kruse, Stefan; Shevtsova, Iuliia; Heim, Birgit; Pestryakova, Luidmila A.; Zakharov, Evgeniy S.; Herzschuh, Ulrike</t>
  </si>
  <si>
    <t>Tundra conservation challenged by forest expansion in a complex mountainous treeline ecotone as revealed by spatially explicit tree aboveground biomass modeling</t>
  </si>
  <si>
    <t>Response lags; RCPs; climate sensitivity study; Siberia; tundra-taiga ecotone; individual-based model</t>
  </si>
  <si>
    <t>TRANSIENT CLIMATIC-CHANGE; VEGETATION MODELS; ARCTIC CLIMATE; ECOSYSTEMS; SIBERIA; GROWTH; AMPLIFICATION; FEEDBACKS; DISPERSAL; HERBIVORY</t>
  </si>
  <si>
    <t>The subarctic forest tundra transition zone is one of the most vulnerable ecological regions worldwide and susceptible to climate change. Forest changes could lead to biodiversity losses when tundra areas become colonized. However, the impact of complex landscapes with barriers and channels for seed dispersal is highly understudied. Hence, we investigated potential tree above-ground biomass (AGB) change in mountainous central Chukotka (Siberia) with the individual-based spatially explicit vegetation model Larix vegetation simulator (LAVESI). In a climate sensitivity study, we simulate forest dynamics until 3000 CE for Representative Concentration Pathways (RCPs) with and without hypothetical cooling after 2300 CE to twentieth-century levels. The current state and spatiotemporal dynamics of tree AGB are validated against field and satellite-derived data. Our results suggest densification of existing tree stands and a lagged forest expansion depending on the distance to the current tree line (similar to 39 percent of the total study area, RCP 8.5) under all considered climate scenarios. In scenarios with cooling after 2300 CE, forests stopped expanding and then gradually retreated to their pre-twenty-first-century position (similar to 10 percent, RCP 8.5). However, forest remnants remain in the colonized area, leaving an imprint of forests in former tundra areas, which will likely have an adverse impact on tundra biodiversity.</t>
  </si>
  <si>
    <t>[Kruse, Stefan; Shevtsova, Iuliia; Heim, Birgit; Herzschuh, Ulrike] Alfred Wegener Inst Helmholtz Ctr Polar &amp; Marine R, Polar Terr Environm Syst, Potsdam, Germany; [Shevtsova, Iuliia; Herzschuh, Ulrike] Univ Potsdam, Inst Biochem &amp; Biol, Potsdam, Germany; [Herzschuh, Ulrike] Univ Potsdam, Inst Environm Sci &amp; Geog, Potsdam, Germany; [Zakharov, Evgeniy S.] Russian Acad Sci, Inst Biol Problems Cryolithozone, Siberian Branch, Yakutsk, Russia; [Pestryakova, Luidmila A.; Zakharov, Evgeniy S.] North Eastern Fed Univ Yakutsk, Inst Nat Sci, Yakutsk, Russia; [Kruse, Stefan] Alfred Wegener Inst Helmholtz Ctr Polar &amp; Marine R, Polar Terr Environm Syst, Telegrafenberg A45, D-14473 Potsdam, Germany</t>
  </si>
  <si>
    <t>University of Potsdam; University of Potsdam; Russian Academy of Sciences; Institute for Biological Problems of Cryolithozone; North-Eastern Federal University in Yakutsk</t>
  </si>
  <si>
    <t>Kruse, S (corresponding author), Alfred Wegener Inst Helmholtz Ctr Polar &amp; Marine R, Polar Terr Environm Syst, Telegrafenberg A45, D-14473 Potsdam, Germany.</t>
  </si>
  <si>
    <t>stefan.kruse@awi.de</t>
  </si>
  <si>
    <t>Shevtsova, Iuliia/AFO-7746-2022; Zakharov, Evgeny/S-8642-2016; Pestryakova, Luidmila/Q-9900-2016; Heim, Birgit/B-2815-2017</t>
  </si>
  <si>
    <t>Shevtsova, Iuliia/0000-0002-6287-9431; Zakharov, Evgeny/0000-0003-4982-0301; Pestryakova, Luidmila/0000-0001-5347-4478; Kruse, Stefan/0000-0003-1107-1958; Herzschuh, Ulrike/0000-0003-0999-1261; Heim, Birgit/0000-0003-2614-9391</t>
  </si>
  <si>
    <t>10.1080/15230430.2023.2220208</t>
  </si>
  <si>
    <t>L0GT9</t>
  </si>
  <si>
    <t>WOS:001020131900001</t>
  </si>
  <si>
    <t>Lowe, J; Warner, M</t>
  </si>
  <si>
    <t>Lowe, Jonathon; Warner, Matthew</t>
  </si>
  <si>
    <t>Optimising remote health care delivery in Antarctica: a review of the current capabilities utilised in the British Antarctic Territory</t>
  </si>
  <si>
    <t>Antarctica; telemedicine; remote healthcare; reach-back; remote medicine</t>
  </si>
  <si>
    <t>OPERATION TRENTON; EXPEDITIONS</t>
  </si>
  <si>
    <t>Injury in Antarctica can have a significant impact when considering transfer timelines of several weeks. Medical support to the British Antarctic Territory (BAT) is provided by deployed healthcare professionals and the utilisation of reach-back with telemedicine. This is paired with robust training and familiarisation with a system of modularised deployed equipment. This paper examines the current telemedicine strategy, infrastructure modularisation, and influence from military practice by the British Antarctic Survey Medical Unit (BASMU) for medical care at extreme reach. Current telemedicine practices and utilisation, as well as modular equipment capabilities across the BAT were reviewed to provide an outline of care delivery. Requests varied from expert advice to remote supervision of clinical procedures. Integration of commercially available solutions enabled real-time display of patient physiology. The deployment of modular resources has improved equipment availability and greater standardisation between sites. The sending of case notes and digital x-rays has been generally sufficient but, when greater supervision was required, limited data transfer bandwidth was a challenge. An ongoing review of deployed equipment capabilities may also enhance the ease with which remote support can be offered but an uplift in telemedicine capability will likely require infrastructure upgrades to maintain data transfer from 8000 miles away.</t>
  </si>
  <si>
    <t>[Lowe, Jonathon; Warner, Matthew] British Antarctic Survey, Derriford Hosp, Emergency Dept, Med Unit, Plymouth PL6 8DH, England</t>
  </si>
  <si>
    <t>Derriford Hospital; UK Research &amp; Innovation (UKRI); Natural Environment Research Council (NERC); NERC British Antarctic Survey</t>
  </si>
  <si>
    <t>Lowe, J (corresponding author), British Antarctic Survey, Derriford Hosp, Emergency Dept, Med Unit, Plymouth PL6 8DH, England.</t>
  </si>
  <si>
    <t>Jlowe5@nhs.net</t>
  </si>
  <si>
    <t>Lowe, Jonathon/AEW-2309-2022</t>
  </si>
  <si>
    <t>Lowe, Jonathon/0000-0002-3168-7509</t>
  </si>
  <si>
    <t>British Antarctic Survey Medical Unit</t>
  </si>
  <si>
    <t>The authors wish to express their thanks for the support of the British Antarctic Survey Medical Unit for their support in the writing of this article.</t>
  </si>
  <si>
    <t>10.1080/22423982.2023.2230633</t>
  </si>
  <si>
    <t>K8WI2</t>
  </si>
  <si>
    <t>WOS:001019181600001</t>
  </si>
  <si>
    <t>Gong, FM; Zhang, K; Liu, SJ</t>
  </si>
  <si>
    <t>Gong, Faming; Zhang, Kui; Liu, Shujun</t>
  </si>
  <si>
    <t>Retrieving the grounding lines of the Riiser-Larsen Ice Shelf using Sentinel-1 SAR images</t>
  </si>
  <si>
    <t>Antarctica; ice shelf; grounding line; radar interferometry; Sentinel-1 images</t>
  </si>
  <si>
    <t>RADAR INTERFEROMETRY; PERMANENT SCATTERERS; SURFACE DEFORMATION; WEST ANTARCTICA; KOHLER GLACIERS; PINE ISLAND; MIGRATION; RETREAT; FLEXURE; MOTION</t>
  </si>
  <si>
    <t>Accurately locating and studying grounding lines is essential for predicting the response of glaciers to climate change. However, it is challenging to find grounding lines since they are subglacial features. In this study, Sentinel-1 synthetic aperture radar (SAR) data were utilized to derive the grounding lines of the Riiser-Larsen Ice Shelf. A new method with inspiration drawn from multi-temporal baseline InSAR techniques is proposed. It takes advantage of the temporal consistency of the vertical displacement gradients and identifies grounding zones pixel-by-pixel on a stack of double differential interferograms, thereby providing grounding line proxies. As it fully exploits coherent signals in both spatial and temporal domains, the maximum possible number of grounding zone pixels can be obtained. Moreover, due to the introduction of the concept of the temporal consistency, the method can cope with short term grounding line fluctuations to some extent and may mitigate the influences of atmospheric disturbances and residual ice displacements. The resulting grounding lines are compared with the MEaSUREs Antarctic grounding line product. The comparison confirms the effectiveness of the proposed method and corroborates that the Riiser-Larsen Ice Shelf should have not undergone significant changes over the past few decades.</t>
  </si>
  <si>
    <t>[Gong, Faming; Zhang, Kui; Liu, Shujun] Chongqing Univ, Sch Microelect &amp; Commun Engn, Chongqing, Peoples R China; [Zhang, Kui] Chongqing Univ, Sch Microelect &amp; Commun Engn, Chongqing 400044, Peoples R China</t>
  </si>
  <si>
    <t>Chongqing University; Chongqing University</t>
  </si>
  <si>
    <t>Zhang, K (corresponding author), Chongqing Univ, Sch Microelect &amp; Commun Engn, Chongqing 400044, Peoples R China.</t>
  </si>
  <si>
    <t>zk@cqu.edu.cn</t>
  </si>
  <si>
    <t>National Natural Science Foundation of China [42074034]</t>
  </si>
  <si>
    <t>National Natural Science Foundation of China(National Natural Science Foundation of China (NSFC))</t>
  </si>
  <si>
    <t>This research was funded by the National Natural Science Foundation of China (Grant No. 42074034).</t>
  </si>
  <si>
    <t>10.1080/17538947.2023.2229785</t>
  </si>
  <si>
    <t>K8CX0</t>
  </si>
  <si>
    <t>WOS:001018673700001</t>
  </si>
  <si>
    <t>Zhao, AG; An, L; Zhang, YS; Wang, HS; Li, F; Feng, TT; Hao, T; Hao, WF; He, Y; Jiang, LM; Lu, P; Meng, XL; Niu, XL; Qiao, G; Ren, XC; Shen, Q; Shen, YZ; Tian, YX; Wang, YJ; Xiao, B; Xie, H; Zhang, SK; Zhou, FJ; Zhou, SQ; Li, RX</t>
  </si>
  <si>
    <t>Zhao, Aiguo; An, Lu; Zhang, Yinsheng; Wang, Hansheng; Li, Fei; Feng, Tiantian; Hao, Tong; Hao, Weifeng; He, Yan; Jiang, Liming; Lu, Ping; Meng, Xianglian; Niu, Xiaolei; Qiao, Gang; Ren, Xiaochun; Shen, Qiang; Shen, Yunzhong; Tian, Yixiang; Wang, Yongjie; Xiao, Bin; Xie, Huan; Zhang, Shengkai; Zhou, Fujun; Zhou, Shiqiao; Li, Rongxing</t>
  </si>
  <si>
    <t>The global change and response special project: using remote sensing data to monitor and invert key components in the cryosphere</t>
  </si>
  <si>
    <t>ALL EARTH</t>
  </si>
  <si>
    <t>Cryosphere and Remote sensing observations; Mountain glacier; Permafrost; Ice sheet; Sea ice</t>
  </si>
  <si>
    <t>SEA-LEVEL RISE; MASS-LOSS; RECONCILED ESTIMATE; GLACIER INVENTORY; ICE-SHELF; OCEAN; ANTARCTICA; GREENLAND; MODEL; FLOW</t>
  </si>
  <si>
    <t>It is critical to understand the mechanisms and impacts of global climate change in cryosphere and polar environment. Here we describe the design and progress of the remote sensing products we have developed to monitor these changes. We obtain datasets by combining multi-sensor remote sensing systems with field validation systems, and then develop a methodological system that combines multiple sources and calibration technologies to address the challenges of data heterogeneity in dynamically monitoring key parameters. This global change and response special project supported by the National Key Research and Development Program of China, named 'observation and inversion of critical parameters of changes in the cryosphere and polar environment', providing comprehensive records of essential elements of the cryosphere through long-term satellite records. The multi-team is completing the project and collecting data from multi-sensor to create remote sensing data products that include records of changes in the cryosphere, such as permafrost, glaciers, ice sheet mass balance, seasonal snow accumulation, sea ice, and albedo changes. Finally, the existing ground- and space-based observing system can be improved to provide dynamic monitoring of key parameters in the cryosphere and changes in the polar environment.</t>
  </si>
  <si>
    <t>[Zhao, Aiguo; An, Lu; Feng, Tiantian; Hao, Tong; Lu, Ping; Qiao, Gang; Shen, Yunzhong; Tian, Yixiang; Xie, Huan; Li, Rongxing] Tongji Univ, Coll Surveying &amp; Geoinformat, Shanghai, Peoples R China; [Zhao, Aiguo; An, Lu; Feng, Tiantian; Hao, Tong; Lu, Ping; Qiao, Gang; Shen, Yunzhong; Tian, Yixiang; Xie, Huan; Li, Rongxing] Tongji Univ, Ctr Spatial Informat Sci &amp; Sustainable Dev Applica, Shanghai, Peoples R China; [Zhang, Yinsheng; Niu, Xiaolei; Wang, Yongjie; Zhou, Shiqiao] Chinese Acad Sci, Inst Tibetan Plateau Res, Key Lab Tibetan Environm Changes &amp; Land Surface Pr, Beijing, Peoples R China; [Wang, Hansheng; Jiang, Liming; Shen, Qiang] Chinese Acad Sci, Innovat Acad Precis Measurement Sci &amp; Technol, State Key Lab Geodesy &amp; Earths Dynam, Wuhan, Peoples R China; [Wang, Hansheng; Shen, Qiang; Zhou, Shiqiao] Univ Chinese Acad Sci, Coll Earth &amp; Planetary Sci, Beijing, Peoples R China; [Li, Fei; Hao, Weifeng; Zhang, Shengkai] Wuhan Univ, Chinese Antarctic Ctr Surveying &amp; Mapping, Wuhan, Peoples R China; [Li, Fei] Wuhan Univ, Key Lab Polar Surveying &amp; Mapping, Natl Adm Surveying Mapping &amp; Geoinformat, Wuhan, Peoples R China; [Li, Fei] Wuhan Univ, Collaborat Innovat Ctr Terr Sovereignty &amp; Maritime, Wuhan, Peoples R China; [He, Yan; Xiao, Bin] Minist Nat Resources, Inst Oceanog 1, Qingdao, Peoples R China; [He, Yan; Xiao, Bin] Minist Nat Resources, Key Lab Marine Sci &amp; Numer Modeling, Qingdao, Peoples R China; [He, Yan; Xiao, Bin] Pilot Natl Lab Marine Sci &amp; Technol, Lab Reg Oceanog &amp; Numer Modeling, Qingdao, Peoples R China; [He, Yan; Xiao, Bin] Shandong Key Lab Marine Sci &amp; Numer Modeling, Qingdao, Peoples R China; [He, Yan; Xiao, Bin] China Railway First Survey &amp; Design Inst Grp CO LT, Xian, Peoples R China; [An, Lu] Tongji Univ, Coll Surveying &amp; Geoinformat, 1239 Siping Rd, Shanghai 200092, Peoples R China</t>
  </si>
  <si>
    <t>Tongji University; Tongji University; Chinese Academy of Sciences; Institute of Tibetan Plateau Research, CAS; Chinese Academy of Sciences; Innovation Academy for Precision Measurement Science &amp; Technology, CAS; Chinese Academy of Sciences; University of Chinese Academy of Sciences, CAS; Wuhan University; Wuhan University; Wuhan University; First Institute of Oceanography, Ministry of Natural Resources; Ministry of Natural Resources of the People's Republic of China; Ministry of Natural Resources of the People's Republic of China; Laoshan Laboratory; Tongji University</t>
  </si>
  <si>
    <t>An, L (corresponding author), Tongji Univ, Coll Surveying &amp; Geoinformat, 1239 Siping Rd, Shanghai 200092, Peoples R China.</t>
  </si>
  <si>
    <t>anlu2021@tongji.edu.cn</t>
  </si>
  <si>
    <t>li, xiang/JCN-9316-2023; wang, wang/JQW-3034-2023; han, yang/KHX-8947-2024; Yang, Bo/JTS-4309-2023; Wei, Wei/JVM-8876-2024; Yang, Min/JPY-3791-2023; Wang, Fei/KEH-6292-2024; Liu, Zhihao/JUF-7651-2023; Chen, Jin/KBQ-0163-2024; xu, chen/JNE-5010-2023; wang, xiaoqiang/JMT-2783-2023; chen, gang/JRX-1197-2023; Zhang, Wei/JKI-3565-2023; li, mengyang/JWO-9551-2024; CHEN, WENJIE/JQW-1608-2023; Liu, Zhe/KEJ-5299-2024; lin, lin/KFB-9548-2024; WANG, YING/JLM-9219-2023; Chen, Xiao/KBD-1464-2024; Wang, Yongjie/AFK-1739-2022; chen, xu/JNT-3068-2023; yang, yy/KBR-1536-2024; Jiang, Liming/O-1776-2013; wang, xi/JNT-5162-2023; yang, xiao/KHT-9445-2024; Zhang, yuxuan/JXM-9935-2024; wang, rong/KFQ-7187-2024; wang, ziheng/KHT-6981-2024; Zhang, Bo/JVD-9890-2024; liu, yang/JMB-9083-2023; Li, Lei/JPE-6543-2023; Zhang, Yusi/JNS-2335-2023; shen, qiang/IZE-6775-2023; chen, zhuo/JXX-1337-2024; Zhang, Xiaoyu/JXR-6386-2024; zhao, yuanxin/KDO-9377-2024; chen, Chen/JKJ-2122-2023; Yu, ZH/KBC-6889-2024; Lin, Wei/KFQ-5381-2024; yang, peng/JEZ-8452-2023; zhang, chen/JES-0371-2023; Wang, Siyi/JNT-2690-2023; Jing, Jing/JSK-6237-2023; LI, LI/KCJ-5600-2024; yang, li/JGM-1009-2023; Li, Fan/JRY-4017-2023; wu, p/JDW-5015-2023; liu, feng/KCL-0778-2024; li, wenjing/JMP-7498-2023; Zhang, Shiwei/JIY-4344-2023; Li, Yang/KFB-5350-2024; Yang, Jing/JFK-4046-2023; liu, xiao/JLL-2119-2023; Chen, Yu/JLL-0171-2023; zhang, hao/JOJ-7093-2023; zhou, yang/JED-3951-2023; xiao, wei/KCK-6954-2024; Liu, yuqing/KEI-3260-2024; Li, Hongbo/KHV-4191-2024; zhang, yan/JGL-8022-2023; zhang, jiahao/KEE-9357-2024; wang, KiKi/JFZ-3334-2023; Yang, Jie/JDM-6213-2023; yan, yan/JVN-1800-2024; Li, Xinyue/JVN-4601-2024; feng, feng/KBR-1814-2024; yang, zhou/KBB-6972-2024; LIU, YUTING/JUV-1285-2023; Chen, Xupeng/KFA-5959-2024; ZHENG, YI/KAM-6536-2024; Wang, Zejun/KBB-8454-2024; Wang, Zhuo/JVO-1874-2024; LI, YUN/JTV-7108-2023; LIU, JIALIN/JXN-8034-2024; li, Li/JPA-0218-2023; Lin, Lin/JTU-1595-2023; zhang, xinyu/JKI-8403-2023; chen, yu/JUF-6847-2023; Liu, min/JXW-8493-2024; WANG, YUHAO/KBB-0213-2024; yang, le/KFB-5420-2024; Yuan, Fang/JQV-7426-2023; jin, chen/KBQ-8592-2024; Wang, Chen/JZE-6385-2024; Li, Fan/KBB-8931-2024; Li, Wei/JLL-4365-2023; Wang, Siying/KHX-1894-2024; Liu, qi/JZT-5038-2024; Chen, Nuo/JZD-0344-2024; Li, Yao/JJC-2927-2023; Yang, Fan/JVO-8611-2024; Wang, Yifan/KDO-8319-2024; zhang, yingying/KGM-8162-2024; Yang, Fan/JMA-9594-2023; li, rui/JVM-8999-2024; Chen, Zheng/KCY-2338-2024; zhang, xinyi/JWA-0980-2024; Chen, zhuo/JWO-5404-2024; yuan, lin/JDW-7387-2023; Wang, Xiaojun/JUU-9683-2023; Wang, Yanan/JVZ-7957-2024</t>
  </si>
  <si>
    <t>Wei, Wei/0000-0002-4109-3878; Chen, Jin/0009-0005-5844-635X; Wang, Yongjie/0000-0001-9448-471X; shen, qiang/0000-0001-9401-4160; Yang, Jing/0009-0004-8274-9863; Yang, Jie/0000-0002-3941-0053; zhang, yingying/0000-0001-7479-3398; Jiang, Liming/0000-0002-1127-9823; AN, LU/0000-0003-3507-5953</t>
  </si>
  <si>
    <t>National Key Research and Development Program of China [2017YFA0603100]</t>
  </si>
  <si>
    <t>National Key Research and Development Program of China</t>
  </si>
  <si>
    <t>This study was supported by the National Key Research and Development Program of China (No.2017YFA0603100).</t>
  </si>
  <si>
    <t>2766-9645</t>
  </si>
  <si>
    <t>All Earth</t>
  </si>
  <si>
    <t>10.1080/27669645.2023.2227488</t>
  </si>
  <si>
    <t>Geosciences, Multidisciplinary</t>
  </si>
  <si>
    <t>Geology</t>
  </si>
  <si>
    <t>K4SF6</t>
  </si>
  <si>
    <t>WOS:001016345700001</t>
  </si>
  <si>
    <t>Aartsma, P; Odland, A; Reinhardt, S; Renssen, H</t>
  </si>
  <si>
    <t>Aartsma, Peter; Odland, Arvid; Reinhardt, Stefanie; Renssen, Hans</t>
  </si>
  <si>
    <t>Drivers of soil temperature variation in alpine lichen heaths and shrub vegetation during the summer</t>
  </si>
  <si>
    <t>Lichen; shrub; soil temperature; alpine; treatments</t>
  </si>
  <si>
    <t>CLIMATE-CHANGE; LITTER DECOMPOSITION; MOUNTAIN SUMMITS; ARCTIC TUNDRA; REINDEER; MOISTURE; DECLINE; IMPACT; VARIABILITY; ECOSYSTEMS</t>
  </si>
  <si>
    <t>Lichen heaths are decreasing in abundance in alpine and Arctic areas because of an increased competition with shrubs. This shift in vegetation might have important consequences for the soil temperature. The aim of this study is to find the drivers of the variation in soil temperature below lichen heaths and shrubs. Moreover, we want to gain more insight in the variability of the soil temperature below lichen heaths. We measured the soil temperature in thirty lichen plots and fifteen shrub plots in an alpine area in southern Norway during July and August 2019. We applied several treatments to study the drivers behind the variation in soil temperature between lichen heaths and shrub vegetation. We found that the average soil temperature was 1.45 degrees C higher below lichen heaths than below shrub vegetation. Moreover, we measured a difference in soil temperature of 1.66 degrees C between north- and south-facing lichen heaths, which contributes to the small-scale spatial variability in soil temperature below lichen heaths. Based on our experiments, we conclude that the buffering capacity of the litter layer below shrubs and shading of the soil by the shrub canopy lead to a lower soil temperature below shrubs compared to lichen heaths during the summer.</t>
  </si>
  <si>
    <t>[Aartsma, Peter; Odland, Arvid; Reinhardt, Stefanie; Renssen, Hans] Univ South Eastern Norway, Dept Nat Sci &amp; Environm Hlth, Bo, Norway; [Aartsma, Peter] Univ South Eastern Norway, Dept Nat Sci &amp; Environm Hlth, Gullbringvegen 36, N-3800 Bo, Norway</t>
  </si>
  <si>
    <t>Aartsma, P (corresponding author), Univ South Eastern Norway, Dept Nat Sci &amp; Environm Hlth, Gullbringvegen 36, N-3800 Bo, Norway.</t>
  </si>
  <si>
    <t>peteraartsma_1@hotmail.com</t>
  </si>
  <si>
    <t>Aartsma, Peter/0000-0001-5086-856X; Renssen, Hans/0000-0002-5104-0526; Reinhardt, Stefanie/0000-0002-9285-3443</t>
  </si>
  <si>
    <t>10.1080/15230430.2023.2209397</t>
  </si>
  <si>
    <t>H0XF4</t>
  </si>
  <si>
    <t>WOS:000993269900001</t>
  </si>
  <si>
    <t>Lamarre, JJ; Dhar, A; Naeth, MA</t>
  </si>
  <si>
    <t>Lamarre, Jasmine J. M.; Dhar, Amalesh; Naeth, M. Anne</t>
  </si>
  <si>
    <t>Arctic ecosystem restoration with native tundra bryophytes</t>
  </si>
  <si>
    <t>Bryophyte propagation; cheesecloth; erosion control; restoration; substrates</t>
  </si>
  <si>
    <t>NORTHWEST-TERRITORIES; TURF TRANSPLANTS; VASCULAR PLANTS; DIAMOND MINE; VEGETATION; SITES; REGENERATION; ESTABLISHMENT; RECLAMATION; MOSS</t>
  </si>
  <si>
    <t>Bryophytes are ecologically essential to northern ecosystem restoration after disturbance. In this study, native bryophytes were used to revegetate two Arctic restoration sites. Different propagation types (small, medium, large fragments) and substrates (crushed rock, lake sediment, processed kimberlite in Canada; volcanic silt loam and crushed lava rock in Iceland) with two erosion control treatments (with and without cheesecloth) were evaluated. After two growing seasons, large bryophyte fragments resulted in the greatest density and total and live cover with erosion control and medium fragments resulted in the highest density and species occurrence without erosion control. Erosion control significantly increased live cover, total cover, species occurrence, and density, including a tempering effect on soil volumetric water content and temperature. Substrates with more heterogeneous surfaces (crushed rock, volcanic silt loam, crushed lava rock) yielded higher live cover, density, and spontaneous colonization than more homogeneous substrates (processed kimberlite, lake sediment) and can be more suitable for use in arctic ecosystems revegetation. The positive outcomes in both Canada and Iceland led to the conclusion that bryophyte propagation with large to medium fragments, erosion control with cheesecloth, and substrates with heterogeneous surfaces would be effective restoration approaches where bryophyte revegetation is a focus.</t>
  </si>
  <si>
    <t>[Lamarre, Jasmine J. M.; Dhar, Amalesh; Naeth, M. Anne] Univ Alberta, Dept Renewable Resources, Edmonton, AB, Canada; [Naeth, M. Anne] Univ Alberta, Dept Renewable Resources, Gen Serv Bldg, Edmonton, AB T6G 2H1, Canada</t>
  </si>
  <si>
    <t>University of Alberta; University of Alberta</t>
  </si>
  <si>
    <t>Naeth, MA (corresponding author), Univ Alberta, Dept Renewable Resources, Gen Serv Bldg, Edmonton, AB T6G 2H1, Canada.</t>
  </si>
  <si>
    <t>anaeth@ualberta.ca</t>
  </si>
  <si>
    <t>Dhar, Amalesh/0000-0001-8357-826X</t>
  </si>
  <si>
    <t>Diavik Diamond Mine [RES0018011]</t>
  </si>
  <si>
    <t>Diavik Diamond Mine</t>
  </si>
  <si>
    <t>This work was supported by the Diavik Diamond Mine under Grant No. RES0018011.</t>
  </si>
  <si>
    <t>10.1080/15230430.2023.2209394</t>
  </si>
  <si>
    <t>H2YG1</t>
  </si>
  <si>
    <t>WOS:000994667800001</t>
  </si>
  <si>
    <t>Can iloprost be used for treatment of cold weather injury at the point of wounding in a forward operating environment? A literature review</t>
  </si>
  <si>
    <t>Frostbite; iloprost; NFCI; military; cold injury</t>
  </si>
  <si>
    <t>SEVERE FROSTBITE; MANAGEMENT</t>
  </si>
  <si>
    <t>Introduction: Cold Weather Injury (CWI) represents a spectrum of pathology, the two main divisions being Freezing Cold Injury (FCI) and Non-Freezing Cold Injury (NFCI). Both are disabling conditions associated with microvascular and nerve injury often treated hours after initial insult when presenting to a healthcarestablishment. Given that iloprost is used for the treatment of FCI, could it be used in a forward operating environment to mitigate treatment delay? Is there a role for its use in the forward treatment of NFCI? This review sought to evaluate the strength of evidence for the potential use of iloprost in a forward operating environment. Methods: Literature searches were undertaken using the following question for both FCI and NFCI: in [patients with FCI/NFCI] does [the use of iloprost] compared to [standard care] reduce the incidence of [long-term complications]. Medline, CINAHL and EMBASE databases were searched using the above question and relevant alternative terminology. Abstracts were reviewed before full articles were requested. Results: The FCI search yielded 17 articles that were found to refer to the use of iloprost and FCI. Of the 17, one referred to pre-hospital treatment of frostbite at K2 base camp; however, this was utilising tPA. No articles referred to pre-hospital use in either FCI or NFCI. Discussion: Although evidence exists to support the use of iloprost in the treatment of FCI, its use to date has been in hospital. A common theme is delayed treatment due to the challenges of evacuating casualties from a remote location. There may be a role for iloprost in the treatment of FCI; however, further study is required to better understand the risk of its use.</t>
  </si>
  <si>
    <t>[Lowe, Jonathon; Warner, Matthew] Derriford Hosp, Emergency Dept, British Antarctic Survey Med Unit, Plymouth, England; [Lowe, Jonathon] Derriford Hosp, Emergency Dept, British Antarctic Survey Med Unit, Plymouth PL6 8DH, England</t>
  </si>
  <si>
    <t>Derriford Hospital; Derriford Hospital</t>
  </si>
  <si>
    <t>Lowe, J (corresponding author), Derriford Hosp, Emergency Dept, British Antarctic Survey Med Unit, Plymouth PL6 8DH, England.</t>
  </si>
  <si>
    <t>Lowe, Jonathon/0000-0002-3168-7509; Warner, Matthew/0009-0003-7184-3099</t>
  </si>
  <si>
    <t>Burnett Library, Defence Medical Services, Whittington Barracks</t>
  </si>
  <si>
    <t>The authors wish to express their thanks for the support of the Burnett Library, Defence Medical Services, Whittington Barracks for sourcing all papers required for this literature review.</t>
  </si>
  <si>
    <t>10.1080/22423982.2023.2210340</t>
  </si>
  <si>
    <t>F6MW0</t>
  </si>
  <si>
    <t>WOS:000983476200001</t>
  </si>
  <si>
    <t>Jones, BM; Tessier, SS; Tessier, T; Brubaker, M; Brook, M; Schaeffer, J; Jones, MKW; Grosse, G; Nitze, I; Rettelbach, T; Zavoico, S; Clark, JA; Tape, KD</t>
  </si>
  <si>
    <t>Jones, Benjamin M.; Tessier, Susan Schaeffer; Tessier, Tim; Brubaker, Michael; Brook, Mike; Schaeffer, Jackie; Jones, Melissa K. Ward K.; Grosse, Guido; Nitze, Ingmar; Rettelbach, Tabea; Zavoico, Sebastian; Clark, Jason A.; Tape, Ken D.</t>
  </si>
  <si>
    <t>Integrating local environmental observations and remote sensing to better understand the life cycle of a thermokarst lake in Arctic Alaska</t>
  </si>
  <si>
    <t>Arctic; lakes; lake drainage; local observations; permafrost; thermokarst</t>
  </si>
  <si>
    <t>NORTHWESTERN ALASKA; DRAINAGE EVENTS; COASTAL-PLAIN; PERMAFROST; WATER; TRANSITIONS; EVOLUTION; LOWLANDS; NUNAVUT; TERRAIN</t>
  </si>
  <si>
    <t>On 29 June 2022, local observers reported the drainage of a 0.5 ha lake near Qikiqtagruk (Kotzebue), Alaska, that prompted this collaborative study on the life cycle of a thermokarst lake in the Arctic. Prior to its drainage, the lake expanded from 0.13 ha in 1951 to 0.54 ha in 2021 at lateral rates that ranged from 0.25 to 0.35 m/year. During the drainage event, we estimate that 18,500 m(3) of water drained from the lake into Kotzebue Sound, forming a 125-m-long thermo-erosional gully that incised 2 to 14 m in ice-rich permafrost. Between 29 June and 18 August 2022, the drainage gully expanded from 1 m to &gt;10 m wide, mobilizing similar to 8,500 m(3) of material through erosion and thaw. By reconstructing a pre-lake disturbance terrain model, we show that thaw subsidence occurs rapidly (0.78 m/year) upon transition from tundra to lake but that over a seventy-year period it slows to 0.12 m/year. The combination of multiple remote sensing tools and local environmental observations provided a rich data set that allowed us to assess rates of lake expansion relative to rates of sub-lake permafrost thaw subsidence as well as hypothesizing about the potential role of beavers in arctic lake drainage.</t>
  </si>
  <si>
    <t>[Jones, Benjamin M.; Jones, Melissa K. Ward K.] Univ Alaska Fairbanks, Inst Northern Engn, 1764 Tanana Loop Rd, Fairbanks, AK 99775 USA; [Tessier, Susan Schaeffer; Tessier, Tim] Local Environm Observer, Kotzebue, AK USA; [Brubaker, Michael; Brook, Mike; Schaeffer, Jackie] Alaska Native Tribal Hlth Consortium, Community Environm &amp; Hlth, Anchorage, AK USA; [Grosse, Guido; Nitze, Ingmar; Rettelbach, Tabea] Alfred Wegener Inst, Helmholtz Ctr Polar &amp; Marine Res, Potsdam, Germany; [Zavoico, Sebastian; Clark, Jason A.; Tape, Ken D.] Univ Alaska Fairbanks, Geophys Inst, Fairbanks, AK 99775 USA; [Zavoico, Sebastian] Univ Alaska Fairbanks, Alaska Cooperat Fish &amp; Wildlife Res Unit, Fairbanks, AK 99775 USA</t>
  </si>
  <si>
    <t>University of Alaska System; University of Alaska Fairbanks; Alaska Native Tribal Health Consortium; Helmholtz Association; Alfred Wegener Institute, Helmholtz Centre for Polar &amp; Marine Research; University of Alaska System; University of Alaska Fairbanks; University of Alaska System; University of Alaska Fairbanks</t>
  </si>
  <si>
    <t>Jones, BM (corresponding author), Univ Alaska Fairbanks, Inst Northern Engn, 1764 Tanana Loop Rd, Fairbanks, AK 99775 USA.</t>
  </si>
  <si>
    <t>bmjones3@alaska.edu</t>
  </si>
  <si>
    <t>; Grosse, Guido/F-5018-2011</t>
  </si>
  <si>
    <t>Jones, Benjamin/0000-0002-1517-4711; Nitze, Ingmar/0000-0002-1165-6852; Brubaker, Michael/0000-0003-4983-5829; Grosse, Guido/0000-0001-5895-2141; Tape, Ken/0000-0002-1039-6868; Ward Jones, Melissa/0000-0002-3401-2515; Rettelbach, Tabea/0000-0002-4187-4113</t>
  </si>
  <si>
    <t>U.S. National Science Foundation [OPP-1806213, OPP-1850578, OPP-2114051, OIA-1929170, RISE-1927872, RISE-2052107]; EU H2020 project Arctic PASSION [101003472]; HEIBRiDS/Geo.X grant; AWI; Polar Geospatial Center under NSF-OPP [1043681, 1559691]</t>
  </si>
  <si>
    <t>U.S. National Science Foundation(National Science Foundation (NSF)); EU H2020 project Arctic PASSION; HEIBRiDS/Geo.X grant; AWI; Polar Geospatial Center under NSF-OPP</t>
  </si>
  <si>
    <t>This research was supported by the U.S. National Science Foundation under awards OPP-1806213, OPP-1850578, OPP-2114051, OIA-1929170, RISE-1927872, and RISE-2052107. GG and IN were additionally supported by the EU H2020 project Arctic PASSION [Grant No. 101003472], and TR was supported by a HEIBRiDS/Geo.X grant. Aerial image acquisitions with the DLR Modular Aerial Camera System (MACS) in 2021 was supported through the AWI-funded Perma-X airborne campaign with Polar-6. Geospatial support for this work was provided by the Polar Geospatial Center under NSF-OPP awards 1043681 and 1559691.</t>
  </si>
  <si>
    <t>10.1080/15230430.2023.2195518</t>
  </si>
  <si>
    <t>F1WH3</t>
  </si>
  <si>
    <t>WOS:000980315400001</t>
  </si>
  <si>
    <t>Grenier, J; Bhiry, N; Decaulne, A</t>
  </si>
  <si>
    <t>Grenier, Jeremy; Bhiry, Najat; Decaulne, Armelle</t>
  </si>
  <si>
    <t>Meteorological conditions and snow-avalanche occurrence over three snow seasons (2017-2020) in Tasiapik Valley, Umiujaq, Nunavik</t>
  </si>
  <si>
    <t>Time-lapse cameras; snow avalanches; weather data; Nunavik</t>
  </si>
  <si>
    <t>CLIMATIC CONDITIONS; MARITIME CLIMATE; QUEBEC; CORNICE; STABILITY; SCENARIOS; EVOLUTION; WEATHER; FALL</t>
  </si>
  <si>
    <t>In this article, we study snow avalanche activity during the snow seasons of 2017-2020 using four automatic time-lapse cameras strategically positioned along the southwestern slope of Tasiapik Valley, near the village of Umiujaq, in Nunavik (northern Quebec, Canada). Over the three snow seasons, cameras helped to detect evidence of 130 avalanche events, scattered over seventy-eight distinct avalanche days. The evolution of weather conditions prior to each avalanche release was detailed according to data from a nearby weather station. Moreover, the time of release, the release type, the surface texture, and whether rocky material was present in the deposits were documented from the photographs. To explore relationships between weather data and avalanche releases, conditional inference tree (CIT) analysis was conducted. Results of the CIT analysis showed that there are different weather patterns associated with avalanche releases depending on the season, and significant thresholds values were defined. In winter, the avalanche probability was greater when three-day snowfall total exceeded 10 cm. In spring, the avalanche probability was greater when cumulative melting degree-days were less than forty-six and when daily minimum air temperature was greater than 2 degrees C. Moreover, cornice failures were found to be a major component of the avalanche dynamic in Tasiapik Valley, mainly because of the slope's morphology. They have also been the cause of the three largest volume and longest runout avalanches observed by cameras in this study, highlighting potential risks for local communities. The probability of observing cornice failures is enhanced on days when maximum air temperature is greater than -8 degrees C in winter conditions, whereas in spring conditions it is enhanced by daily maximum air temperature greater than 2.5 degrees C. This study represents a necessary first step toward avalanche forecasting based on weather data in Nunavik. Efforts should be continued given the expected higher frequency of natural hazards in northern regions as a consequence of recent climate changes.</t>
  </si>
  <si>
    <t>[Grenier, Jeremy; Bhiry, Najat] Univ Laval, Dept geog, Quebec City, PQ, Canada; [Grenier, Jeremy; Bhiry, Najat] Univ Laval, Ctr Etud nord, Quebec City, PQ, Canada; [Decaulne, Armelle] Univ Nantes, CNRS, Lab LETG, LabEx DRIIHM, Nantes, France; [Grenier, Jeremy] Univ Laval, Dept geog, 2405 rue terrasse, Quebec City, PQ G1V 0A6, Canada; [Grenier, Jeremy] Univ Laval, Ctr Etud nord, 2405 rue terrasse, Quebec City, PQ G1V 0A6, Canada</t>
  </si>
  <si>
    <t>Laval University; Laval University; Centre National de la Recherche Scientifique (CNRS); Nantes Universite; Laval University; Laval University</t>
  </si>
  <si>
    <t>Grenier, J (corresponding author), Univ Laval, Dept geog, 2405 rue terrasse, Quebec City, PQ G1V 0A6, Canada.;Grenier, J (corresponding author), Univ Laval, Ctr Etud nord, 2405 rue terrasse, Quebec City, PQ G1V 0A6, Canada.</t>
  </si>
  <si>
    <t>jeremy.grenier.1@ulaval.ca</t>
  </si>
  <si>
    <t>Grenier, Jeremy/0000-0002-4992-0268; Decaulne, Armelle/0000-0002-8029-850X; Bhiry, Najat/0000-0002-6609-0235</t>
  </si>
  <si>
    <t>Natural Sciences and Engineering Research Council of Canada (NSERC); IPEV DeSiGN, LabEx [1148]; DRIIHM (French program Investissements d'Avenir) [ANR-11-LABX-0010]; OHMi NUNAVIK</t>
  </si>
  <si>
    <t>Natural Sciences and Engineering Research Council of Canada (NSERC)(Natural Sciences and Engineering Research Council of Canada (NSERC)); IPEV DeSiGN, LabEx; DRIIHM (French program Investissements d'Avenir)(Agence Nationale de la Recherche (ANR)); OHMi NUNAVIK</t>
  </si>
  <si>
    <t>Funding for this project was provided by the Natural Sciences and Engineering Research Council of Canada (NSERC), IPEV DeSiGN, LabEx #1148, DRIIHM (French program Investissements d'Avenir, ANR-11-LABX-0010, managed by the French National Research Agency, ANR), and OHMi NUNAVIK.</t>
  </si>
  <si>
    <t>10.1080/15230430.2023.2194492</t>
  </si>
  <si>
    <t>E3QW3</t>
  </si>
  <si>
    <t>WOS:000974732400001</t>
  </si>
  <si>
    <t>Prokhorova, U; Terekhov, A; Ivanov, B; Demidov, V</t>
  </si>
  <si>
    <t>Prokhorova, Uliana; Terekhov, Anton; Ivanov, Boris; Demidov, Vasiliy</t>
  </si>
  <si>
    <t>Heat balance of a low-elevated Svalbard glacier during the ablation season: A case study of Aldegondabreen</t>
  </si>
  <si>
    <t>Svalbard; glacier; ablation; heat balance; physical modeling</t>
  </si>
  <si>
    <t>CLIMATIC MASS-BALANCE; ENERGY-BALANCE; ICE; SPITSBERGEN; MELT; SCALE; LAND</t>
  </si>
  <si>
    <t>On the basis of in situ weather observations and a physical-based model, verified by a glaciological method, this article investigates the surface energy balance of the Aldegondabreen glacier during the summer melt season of 2021. Aldegondabreen (5.3 km(2)) is a low-elevation glacier near the western shore of Spitsbergen Island. On the timescale of the whole melt season, the prevalent positive heat flux is a shortwave radiative balance (84 percent). This result is in accordance with previous studies on similar low-elevation Svalbard glaciers. However, in August and September, when the sun is low, the turbulent fluxes may outweigh the input of the shortwave balance. The study identified six events of significantly increased turbulent fluxes, which contributed to 10 percent of the total heat influx, and attributed them to the particular type of synoptic situation. All of these events are related to cyclonic activity, which drastically increased the wind speed in the study area and, consequently, both sensible and latent heat fluxes. The frequency of the extreme cyclonic events in the Svalbard region is increasing, which may potentially extend the duration of the glacier melt season in the mid- and late autumn or reduce the accumulation of solid precipitation in that time period.</t>
  </si>
  <si>
    <t>[Prokhorova, Uliana; Terekhov, Anton; Ivanov, Boris] Arctic &amp; Antarctic Res Inst, Atmosphere Ocean Interact Dept, St Petersburg, Russia; [Terekhov, Anton; Demidov, Vasiliy] Arctic &amp; Antarctic Res Inst, Geog Polar Reg Dept, St Petersburg, Russia; [Ivanov, Boris] St Petersburg State Univ, Inst Earth Sci, St Petersburg, Russia; [Prokhorova, Uliana] Arctic &amp; Antarctic Res Inst, Atmosphere Ocean Interact Dept, 38 Bering St, St Petersburg 199397, Russia</t>
  </si>
  <si>
    <t>Arctic &amp; Antarctic Research Institute; Arctic &amp; Antarctic Research Institute; Saint Petersburg State University; Arctic &amp; Antarctic Research Institute</t>
  </si>
  <si>
    <t>Prokhorova, U (corresponding author), Arctic &amp; Antarctic Res Inst, Atmosphere Ocean Interact Dept, 38 Bering St, St Petersburg 199397, Russia.</t>
  </si>
  <si>
    <t>yliwa@rambler.ru</t>
  </si>
  <si>
    <t>; Terekhov, Anton/S-1329-2016</t>
  </si>
  <si>
    <t>Prokhorova, Uliana/0000-0002-7600-4089; Terekhov, Anton/0000-0002-8300-6883; Demidov, Vasiliy/0000-0002-6109-910X</t>
  </si>
  <si>
    <t>10.1080/15230430.2023.2190057</t>
  </si>
  <si>
    <t>C6OD7</t>
  </si>
  <si>
    <t>WOS:000963078800001</t>
  </si>
  <si>
    <t>Lambiel, C; Strozzi, T; Paillex, N; Vivero, S; Jones, N</t>
  </si>
  <si>
    <t>Lambiel, Christophe; Strozzi, Tazio; Paillex, Nicolas; Vivero, Sebastian; Jones, Nina</t>
  </si>
  <si>
    <t>Inventory and kinematics of active and transitional rock glaciers in the Southern Alps of New Zealand from Sentinel-1 InSAR</t>
  </si>
  <si>
    <t>New Zealand; Southern Alps; rock glacier kinematics; mountain permafrost; InSAR</t>
  </si>
  <si>
    <t>NORTHERN TIEN-SHAN; BEN OHAU RANGE; PERMAFROST DISTRIBUTION; MOUNTAIN PERMAFROST; REGIONAL INVENTORY; EUROPEAN ALPS; CLIMATE; CREEP; MOVEMENT; FRONT</t>
  </si>
  <si>
    <t>In this study, we inventoried and mapped the active and transitional rock glaciers in the central part of the Southern Alps, New Zealand, using Sentinel-1 InSAR (interferometric synthetic aperture radar) data. We used forty-three interferograms acquired between 2015 and 2019 with time intervals between six days and two years along with orthoimage analyses. A total of 123 rock glaciers were identified, of which 40 are active; that is, displaying velocities higher than 10 cm/yr. The remaining landforms are considered transitional. Among the complete sample of rock glaciers inventoried, 9 may also be interpreted as debris-covered glacierets. The number of inventoried landforms is low compared to what is observed in other similar mountain ranges, such as the European Alps. We explain this by the reduced vertical extent of the periglacial belt and the generally steep topography often not favorable for rock glacier development. Additionally, the motion rates appear relatively low. We hypothesize that a mean annual air temperature at the rock glacier locations well above 0 degrees C is the main reason for this. These conditions may have resulted in significant ground ice melt. Rock glaciers in the Southern Alps are thus in an inactivation phase, which is expressed by typical morphologies such as stable fronts.</t>
  </si>
  <si>
    <t>[Lambiel, Christophe; Paillex, Nicolas; Vivero, Sebastian] Univ Lausanne, Inst Earth Surface Dynam IDYST, Lausanne, Switzerland; [Strozzi, Tazio; Jones, Nina] Gamma Remote Sensing, Gumlingen, Switzerland; [Lambiel, Christophe] Univ Lausanne, Inst Earth Surface Dynam IDYST, CH-1015 Lausanne, Switzerland</t>
  </si>
  <si>
    <t>University of Lausanne; GAMMA Remote Sensing AG; University of Lausanne</t>
  </si>
  <si>
    <t>Lambiel, C (corresponding author), Univ Lausanne, Inst Earth Surface Dynam IDYST, CH-1015 Lausanne, Switzerland.</t>
  </si>
  <si>
    <t>christophe.lambiel@unil.ch</t>
  </si>
  <si>
    <t>Vivero, Sebastián/AFY-4032-2022</t>
  </si>
  <si>
    <t>Vivero, Sebastián/0000-0002-1813-9575; Lambiel, Christophe/0000-0003-0930-8178</t>
  </si>
  <si>
    <t>European Space Agency (ESA) Climate Change Initiative (CCI) [4000123681/18/I-NB]; University of Lausanne</t>
  </si>
  <si>
    <t>European Space Agency (ESA) Climate Change Initiative (CCI); University of Lausanne</t>
  </si>
  <si>
    <t>This research was supported by the European Space Agency (ESA) Climate Change Initiative (CCI) project [grant number 4000123681/18/I-NB] and the University of Lausanne.</t>
  </si>
  <si>
    <t>10.1080/15230430.2023.2183999</t>
  </si>
  <si>
    <t>C2JX4</t>
  </si>
  <si>
    <t>Green Submitted, gold, Green Published</t>
  </si>
  <si>
    <t>WOS:000960252700001</t>
  </si>
  <si>
    <t>Yoshikawa, K; Schorghofer, N; Klasner, F</t>
  </si>
  <si>
    <t>Yoshikawa, Kenji; Schorghofer, Norbert; Klasner, Fritz</t>
  </si>
  <si>
    <t>Permafrost and seasonal frost thermal dynamics over fifty years on tropical Maunakea volcano, Hawai'i</t>
  </si>
  <si>
    <t>Permafrost; HawaiModified Letter Turned Commai; Maunakea; thermal offset; active layer; tropical mountain permafrost</t>
  </si>
  <si>
    <t>SNOW COVER; SOLIFLUCTION; REGIMES; MODEL; YUKON; VAPOR; RATES; MAYO; FLUX; LAKE</t>
  </si>
  <si>
    <t>A unique permafrost thermal state was examined at Maunakea, HawaiModified Letter Turned Commai. The presence of the permafrost was determined in 1969. Mean annual ground surface temperature (MAGST) is significantly above zero at permafrost sites, between +2 degrees C and +5 degrees C. This indicates that subsurface thermal processes control and preserve the permafrost state (strong thermal resistance). Year-round high-resolution (1-cm intervals) active layer temperature monitoring reveals the thermal dynamics. Unlike permafrost at higher latitudes, the large thermal offset may be caused by nonconductive heat transfer in the active layer. The permafrost survived many decades because of snow cover, the structure of the ground, and hydraulic permeability. However, over the past fifty years the extent of permafrost has declined. Other periglacial geomorphology has been described in permafrost-free areas mainly above 3,500 m.a.s.l., where freeze-thaw action is ubiquitous. The seasonal frost depth is 40 to 60 cm, and seasonal and diurnal creeping has moved stones about 0.45 to 4.3 cm/year over the last fifty-two years. This research clarified the thermal dynamics of the active layer and the presence of the mountain permafrost at unusually low elevations in the tropics.</t>
  </si>
  <si>
    <t>[Yoshikawa, Kenji] Univ Alaska Fairbanks, Water &amp; Environm Res Ctr, Fairbanks, AK USA; [Schorghofer, Norbert] Planetary Sci Inst, Honolulu, HI USA; [Klasner, Fritz] Off Maunakea Management, Hilo, HI USA; [Yoshikawa, Kenji] Univ Alaska Fairbanks, POB 74758, Fairbanks, AK 99707 USA; [Klasner, Fritz] US Dept Interior, Bur Land Management, Reno, NV USA</t>
  </si>
  <si>
    <t>University of Alaska System; University of Alaska Fairbanks; University of Alaska System; University of Alaska Fairbanks; United States Department of the Interior</t>
  </si>
  <si>
    <t>Yoshikawa, K (corresponding author), Univ Alaska Fairbanks, POB 74758, Fairbanks, AK 99707 USA.</t>
  </si>
  <si>
    <t>kyoshikawa@alaska.edu</t>
  </si>
  <si>
    <t>Schorghofer, Norbert/A-1194-2007</t>
  </si>
  <si>
    <t>Schorghofer, Norbert/0000-0002-5821-4066; Klasner, Frederick/0000-0002-7615-495X; Yoshikawa, Kenji/0000-0001-5935-2041</t>
  </si>
  <si>
    <t>Center for Maunakea Stewardship</t>
  </si>
  <si>
    <t>This work was supported by the Center for Maunakea Stewardship.</t>
  </si>
  <si>
    <t>10.1080/15230430.2023.2186485</t>
  </si>
  <si>
    <t>C2RK0</t>
  </si>
  <si>
    <t>WOS:000960448700001</t>
  </si>
  <si>
    <t>Shiotani, Y; Kudo, G</t>
  </si>
  <si>
    <t>Shiotani, Yuki; Kudo, Gaku</t>
  </si>
  <si>
    <t>Spatiotemporal niche overlap, asymmetric reproductive interference, and population genetics between the sympatric species, Rhododendron diversipilosum and Rhododendron subarcticum, in alpine fellfield habitat</t>
  </si>
  <si>
    <t>Alpine plant; competition; congeneric species; interspecific interaction; reproductive interference</t>
  </si>
  <si>
    <t>PALUSTRE SSP DECUMBENS; COMPETITION; DIVERSITY; CONSEQUENCES; FACILITATION; SHRUB; ZONE</t>
  </si>
  <si>
    <t>Reproductive interference between sympatric-related species often causes adverse impacts on rare species, which increases the risk of local extinction, particularly in small and isolated populations. To evaluate the congeneric interactions in alpine plants, we compared the ecological and genetic properties and assessed the reproductive interference between tetraploid Rhododendron diversipilosum (widespread species) and diploid Rhododendron subarcticum (rare species in alpine fellfields) in northern Japan. In alpine fellfields, R. diversipilosum is commonly distributed close to shrubby patches, whereas R. subarcticum tends to grow in more exposed places, although they are sometimes mixed. R. subarcticum initiated flowering one week earlier; however, the flowering periods overlapped between species, indicating incomplete phenological isolation. The pollination experiment showed that both species were self-incompatible. Furthermore, heterospecific pollination occurred only for R. subarcticum; however, hybrid seeds seldom germinated. These results indicate that reproductive interference is asymmetric between species, where only the rare R. subarcticum may suffer from heterospecific pollination. Genetic analysis showed that R. subarcticum populations had lower genetic diversity but higher divergence among populations than R. diversipilosum. Although spatiotemporal niche separations may mitigate reproductive interference, the risk of local extinction could be higher in R. subarcticum populations because of isolated distributions with low genetic diversity.</t>
  </si>
  <si>
    <t>[Shiotani, Yuki] Hokkaido Univ, Grad Sch Environm Sci, Sapporo, Japan; [Kudo, Gaku] Hokkaido Univ, Fac Environm Earth Sci, Sapporo, Japan; [Shiotani, Yuki] Hokkaido Univ, Grad Sch Environm Sci, Sapporo, Hokkaido 0600810, Japan</t>
  </si>
  <si>
    <t>Hokkaido University; Hokkaido University; Hokkaido University</t>
  </si>
  <si>
    <t>Shiotani, Y (corresponding author), Hokkaido Univ, Grad Sch Environm Sci, Sapporo, Hokkaido 0600810, Japan.</t>
  </si>
  <si>
    <t>yuki-shiotani@eis.hokudai.ac.jp</t>
  </si>
  <si>
    <t>Kudo, Gaku/A-2733-2015</t>
  </si>
  <si>
    <t>10.1080/15230430.2023.2188716</t>
  </si>
  <si>
    <t>A6JZ4</t>
  </si>
  <si>
    <t>WOS:000956177200001</t>
  </si>
  <si>
    <t>Carr, JR; Carr, E; Ross, N</t>
  </si>
  <si>
    <t>Carr, J. R.; Carr, E.; Ross, N.</t>
  </si>
  <si>
    <t>Glacier-specific factors drive differing seasonal and interannual dynamics of Nunatakassaap Sermia and Illullip Sermia, Greenland</t>
  </si>
  <si>
    <t>Greenland Ice Sheet; outlet glacier; climate change; Arctic</t>
  </si>
  <si>
    <t>ICE-SHEET; MASS-BALANCE; RETREAT; STABILITY; VELOCITY; ACCELERATION; VARIABILITY; MARGINS; SENSITIVITY; MELANGE</t>
  </si>
  <si>
    <t>Accelerated ice discharge from marine-terminating outlet glaciers accounted for similar to 48 percent of ice loss from Greenland between 1992 and 2018, and the northwest has been the largest source of dynamic ice loss. Here, we assess the dynamics of two neighboring northwest Greenland glaciers, Nunatakassaap Sermia (NS) and Illullip Sermia (IS), for 2000 to 2020. Retreat rates at NS far exceeded those at IS, and NS accelerated and thinned substantially following the loss of its ice tongue. This was initially driven by loss of buttressing, followed by feedbacks between thinning, surface slope, and effective pressure, as NS retreated into a deeper and wider section of its fjord. At IS, acceleration and thinning were limited due to its location on a bedrock ridge. At NS, net retreat occurred when seasonal retreat persisted through the winter, whereas at IS it resulted from higher summer retreat rates. The timing of seasonal cycles in frontal positions and ice velocities differed markedly between NS and IS: we suggest that ice velocities respond to seasonal meltwater availability at IS and terminus position variations at NS. Overall, our results demonstrate that the dynamic behavior of NS and IS differs markedly at seasonal to decadal timescales and highlight the importance of glacier-specific factors.</t>
  </si>
  <si>
    <t>[Carr, J. R.; Carr, E.; Ross, N.] Newcastle Univ, Sch Geog, Polit &amp; Sociol, Newcastle Upon Tyne, England; [Carr, J. R.] Newcastle Univ, Sch Geog, Polit &amp; Sociol, Newcastle Upon Tyne NE1 7RU, England</t>
  </si>
  <si>
    <t>Newcastle University - UK; Newcastle University - UK</t>
  </si>
  <si>
    <t>Carr, JR (corresponding author), Newcastle Univ, Sch Geog, Polit &amp; Sociol, Newcastle Upon Tyne NE1 7RU, England.</t>
  </si>
  <si>
    <t>Rachel.carr@newacstle.ac.uk</t>
  </si>
  <si>
    <t>10.1080/15230430.2023.2186456</t>
  </si>
  <si>
    <t>A3HL6</t>
  </si>
  <si>
    <t>WOS:000954076000001</t>
  </si>
  <si>
    <t>Niedrist, GH; Fuereder, L</t>
  </si>
  <si>
    <t>Niedrist, Georg H. H.; Fuereder, Leopold</t>
  </si>
  <si>
    <t>Disproportional vulnerability of mountain aquatic invertebrates to climate change effects</t>
  </si>
  <si>
    <t>Climate change; high altitude; sensitivity; Plecoptera; Ephemeroptera; Trichoptera</t>
  </si>
  <si>
    <t>LONG-TERM; DISPERSAL; MACROINVERTEBRATES; ECOSYSTEMS; STREAMS; PLANTS</t>
  </si>
  <si>
    <t>Mountain freshwater communities are generally considered sensible to accelerated climatic changes, though their vulnerabilities have not been well evaluated. Individual species or species groups are expected to respond differently depending on their adaptations, traits, or distributions, but this has not yet been distinguished. This work used available climate change vulnerability scores (ccvs) of European Ephemeroptera, Plecoptera, and Trichoptera (EPT) species (n = 1,402) to (1) compare the vulnerability between species pools of different ecoregions including alpine species and alpine endemics, (2) contrast the vulnerability between the different insect orders, and (3) assess the altitude-vulnerability relationship within the European Alps. We revealed fifty alpine Plecoptera and Trichoptera species that are categorized highly vulnerable to climate change effects (= 31 percent of all highly vulnerable European species) with the highest proportions in species inventories of alpine endemics and high-altitude waters (51 percent of high-altitude species are classified as highly vulnerable). The ccvs analysis specifically for mountain waters shows that a disproportionately high number of alpine species, and particularly alpine endemics, will be affected by climate change and suggests that Ephemeroptera may be better prepared than Plecoptera and Trichoptera. Thus, this trait-based evaluation suggests that mountain stream invertebrate communities are undergoing disproportionate restructurings in response to climate change effects more than lowland communities are.</t>
  </si>
  <si>
    <t>[Niedrist, Georg H. H.; Fuereder, Leopold] Univ Innsbruck, Dept Ecol, River &amp; Conservat Res, Technikerstr 25, A-6020 Innsbruck, Austria</t>
  </si>
  <si>
    <t>University of Innsbruck</t>
  </si>
  <si>
    <t>Niedrist, GH (corresponding author), Univ Innsbruck, Dept Ecol, River &amp; Conservat Res, Technikerstr 25, A-6020 Innsbruck, Austria.</t>
  </si>
  <si>
    <t>Georg.Niedrist@uibk.ac.at</t>
  </si>
  <si>
    <t>Niedrist, Georg H./A-6375-2017</t>
  </si>
  <si>
    <t>Niedrist, Georg H./0000-0002-2852-4661</t>
  </si>
  <si>
    <t>10.1080/15230430.2023.2181298</t>
  </si>
  <si>
    <t>9X2MQ</t>
  </si>
  <si>
    <t>WOS:000949607400001</t>
  </si>
  <si>
    <t>Haberski, A; Rykken, J; Sikes, DS</t>
  </si>
  <si>
    <t>Haberski, Adam; Rykken, Jessica; Sikes, Derek S.</t>
  </si>
  <si>
    <t>Arthropod communities along an elevation gradient in Denali National Park and Preserve, Alaska: Rapidly shrinking tundra hosts a unique assemblage of specialists</t>
  </si>
  <si>
    <t>Pollinators; insects; elevation; tundra; climate change</t>
  </si>
  <si>
    <t>AMERICAN OMALIINAE COLEOPTERA; CLIMATE-CHANGE; SPIDER ASSEMBLAGES; THERMAL TOLERANCE; YUKON-TERRITORY; NORTH; LATITUDE; REVISION; STAPHYLINIDAE; HYMENOPTERA</t>
  </si>
  <si>
    <t>Arthropods at high latitudes and elevations are likely to be vulnerable to effects from climate change such as increased temperatures and shifting vegetation boundaries. Though range shifts northwards and upslope have been reported for many arthropod taxa in temperate latitudes, baseline data needed to track such changes are scarce at northern latitudes. We investigated the influence of climate and vegetation cover on the abundance, diversity, and species composition of pollinators and epigeic arthropods along an elevation gradient in Denali National Park and Preserve, Alaska. We compared arthropods across three habitat types: low-elevation forest, mid-elevation shrubs, and high-elevation tundra along five replicate transects over three years. We collected 35,473 arthropods representing 510 species. Arthropod communities differed distinctly across the three habitat types, with tundra having the highest number of strong indicators and unique species. Elevation, air temperature, and vegetation structure were strong drivers for the ordination of sites. As treeline and shrubline shift upslope with climate change, we predict that distributions of some arthropods will shift to track these habitat boundaries and that tundra-associated arthropods will be most vulnerable as their habitat shrinks. Long-term monitoring of arthropods along elevation gradients at northern latitudes is needed to detect such declines.</t>
  </si>
  <si>
    <t>[Haberski, Adam; Sikes, Derek S.] Univ Alaska Fairbanks, Univ Alaska Museum UAM, Dept Biol Sci, Fairbanks, AK USA; [Rykken, Jessica] Denali Natl Pk &amp; Preserve, Denali Natl Pk, AK USA; [Haberski, Adam] Univ Alaska Fairbanks, Univ Alaska Museum UAM, Dept Biol Sci, 1962 Yukon Dr, Fairbanks, AK 99775 USA</t>
  </si>
  <si>
    <t>University of Alaska System; University of Alaska Fairbanks; University of Alaska System; University of Alaska Fairbanks</t>
  </si>
  <si>
    <t>Haberski, A (corresponding author), Univ Alaska Fairbanks, Univ Alaska Museum UAM, Dept Biol Sci, 1962 Yukon Dr, Fairbanks, AK 99775 USA.</t>
  </si>
  <si>
    <t>ahaberski@alaska.edu</t>
  </si>
  <si>
    <t>Haberski, Adam/0000-0002-4062-178X; Rykken, Jessica/0009-0006-1427-2623</t>
  </si>
  <si>
    <t>U.S. National Park Service [DENA-00925]; Alaska Entomological Society; Entomological Society of America SysEB Section</t>
  </si>
  <si>
    <t>U.S. National Park Service; Alaska Entomological Society; Entomological Society of America SysEB Section</t>
  </si>
  <si>
    <t>This work was supported by the U.S. National Park Service (Study #DENA-00925), The Alaska Entomological Society, and the Entomological Society of America SysEB Section.</t>
  </si>
  <si>
    <t>10.1080/15230430.2023.2178149</t>
  </si>
  <si>
    <t>9X7VW</t>
  </si>
  <si>
    <t>WOS:000949975400001</t>
  </si>
  <si>
    <t>Hung, JKY; Scott, NA; Treitz, PM</t>
  </si>
  <si>
    <t>Hung, Jacqueline K. Y.; Scott, Neal A.; Treitz, Paul M.</t>
  </si>
  <si>
    <t>Investigating ten years of warming and enhanced snow depth on nutrient availability and greenhouse gas fluxes in a High Arctic ecosystem</t>
  </si>
  <si>
    <t>Nitrogen availability; greenhouse gases; International Tundra Experiment (ITEX); snow fence; experimental warming</t>
  </si>
  <si>
    <t>NITROGEN MINERALIZATION; PERMAFROST THAW; CLIMATE-CHANGE; PLANT PERFORMANCE; SOIL RESPIRATION; CARBON BALANCE; CO2 EXCHANGE; TUNDRA; TEMPERATURE; RESPONSES</t>
  </si>
  <si>
    <t>Arctic warming and changing precipitation patterns are altering soil nutrient availability and other processes that control the greenhouse gas balance of high-latitude ecosystems. Changes to these biogeochemical processes will ultimately determine whether the Arctic will enhance or dampen future climate change. At the Cape Bounty Arctic Watershed Observatory, a full-factorial International Tundra Experiment site was established in 2008, allowing for the investigation of ten years of experimental warming and increased snow depth on nutrient availability and trace gas exchange in a mesic heath tundra across two growing seasons (2017 and 2018). Plots with open-top chambers (OTCs) had drier soils (p &lt; .1) that released 1.5 times more carbon dioxide (p &lt; .05), and this effect was enhanced in the drier growing season. Increased snow depth delayed the onset of thaw and active layer development (p &lt; .1) and corresponded with greater nitrous oxide release (p &lt; .05). Our results suggest that decreases to soil moisture will lead to an increase in nitrate availability, soil respiration, and nitrous oxide fluxes. Ultimately, these effects may be moderated by the magnitude of future shifts and interactions between climate variability and ecological responses to permafrost thaw.</t>
  </si>
  <si>
    <t>[Hung, Jacqueline K. Y.; Scott, Neal A.; Treitz, Paul M.] Queens Univ, Dept Geog &amp; Planning, Kingston, ON, Canada; [Hung, Jacqueline K. Y.; Treitz, Paul M.] Woodwell Climate Res Ctr, Falmouth, MA 02540 USA</t>
  </si>
  <si>
    <t>Queens University - Canada</t>
  </si>
  <si>
    <t>Hung, JKY (corresponding author), Woodwell Climate Res Ctr, Falmouth, MA 02540 USA.</t>
  </si>
  <si>
    <t>jhung@woodwellclimate.org</t>
  </si>
  <si>
    <t>Treitz, Paul/AFM-0165-2022</t>
  </si>
  <si>
    <t>Treitz, Paul/0000-0003-2109-9671; Scott, Neal/0000-0002-2965-4185; Hung, Jacqueline/0000-0001-5245-0896</t>
  </si>
  <si>
    <t>10.1080/15230430.2023.2178428</t>
  </si>
  <si>
    <t>9Z7CH</t>
  </si>
  <si>
    <t>WOS:000951294200001</t>
  </si>
  <si>
    <t>Kasanke, SA; Walker, DA; Chapin, FS; Mann, DH</t>
  </si>
  <si>
    <t>Kasanke, Shawnee A.; Walker, Donald A.; Chapin, F. Stuart; Mann, Daniel H.</t>
  </si>
  <si>
    <t>Plant succession on glacial moraines in the Arctic Brooks Range along a &gt;125,000-year glacial chronosequence/toposequence</t>
  </si>
  <si>
    <t>Lichenometry; primary succession; deglaciation; Arctic; alpine</t>
  </si>
  <si>
    <t>VEGETATION CHANGE; TUNDRA LANDSCAPE; CLIMATE-CHANGE; LICHEN GROWTH; FORELAND; ALASKA; COMMUNITIES; FOOTHILLS; PATTERNS; DEGLACIATION</t>
  </si>
  <si>
    <t>Widespread glacial retreat is now occurring in many arctic mountain ranges, yet little is known about primary succession following deglaciation in these settings. Newly created habitats could provide refugia for flora and fauna whose ranges are threatened elsewhere by rapid warming. To assess vegetation responses to glacial retreat in an arctic-alpine setting, we first describe plant community development on two recently deglaciated moraines in the Brooks Range. We then compare these recent communities with communities developed along a moraine chronosequence that spans &gt;125,000 years and ranges in altitude between 800 and 1,700 m.a.s.l. Results show that (1) within twenty-two to thirty-six years following deglaciation, primary succession begins with the assembly of small communities of eight to thirteen vascular and nonvascular plant species; (2) species turnover is low, with many pioneer taxa, particularly lichens, persisting at the oldest sites and across all altitudes; and (3) overall, succession is directional and slow, with species richness increasing for up to 25,000 years, and percentage vegetation cover reaching &gt;100 percent on the oldest glacial deposits. This is the first vegetation study on primary succession in the high central Brooks Range, and it supplies a previously missing alpine element within a vegetation transect across northern Alaska's bioclimatic gradient.</t>
  </si>
  <si>
    <t>[Kasanke, Shawnee A.] Washington State Univ, Sch Environm, Richland, WA USA; [Walker, Donald A.; Chapin, F. Stuart; Mann, Daniel H.] Univ Alaska Fairbanks, Inst Arctic Biol, Fairbanks, AK USA; [Walker, Donald A.; Chapin, F. Stuart] Univ Alaska Fairbanks, Dept Biol &amp; Wildlife, Fairbanks, AK USA; [Kasanke, Shawnee A.] Washington State Univ Tri Cties, Sch Environm, 2710 Crimson Way, Richland, WA 99325 USA</t>
  </si>
  <si>
    <t>Washington State University; University of Alaska System; University of Alaska Fairbanks; University of Alaska System; University of Alaska Fairbanks</t>
  </si>
  <si>
    <t>Kasanke, SA (corresponding author), Washington State Univ Tri Cties, Sch Environm, 2710 Crimson Way, Richland, WA 99325 USA.</t>
  </si>
  <si>
    <t>shawnee.kasanke@wsu.edu</t>
  </si>
  <si>
    <t>Kasanke, Shawnee/IYJ-9741-2023; Chapin, F Stuart/AAZ-3931-2020</t>
  </si>
  <si>
    <t>Chapin, F Stuart/0000-0002-2558-9910; Walker, Donald/0000-0001-9581-7811</t>
  </si>
  <si>
    <t>Ted McHenry Biology Field Research Fund</t>
  </si>
  <si>
    <t>We are grateful for funding from The Ted McHenry Biology Field Research Fund, The Randy Howenstein Memorial Field Research Fund, and The Institute of Arctic Biology Summer Graduate Fellowship for supply, travel, and logistical funding. Helicopter support into the Grizzly Glacier cirque was provided by National Science Foundation Long Term Ecological Research program. The Michigan State University Herbarium Endowment Fund provided funding for travel and training in crustose lichen identification with Dr. Alan Fryday. This work was supported by the University of Alaska Fairbanks.</t>
  </si>
  <si>
    <t>10.1080/15230430.2023.2178151</t>
  </si>
  <si>
    <t>9W4SB</t>
  </si>
  <si>
    <t>WOS:000949067400001</t>
  </si>
  <si>
    <t>Komarov, A; Sturm, M</t>
  </si>
  <si>
    <t>Komarov, Anton; Sturm, Matthew</t>
  </si>
  <si>
    <t>Local variability of a taiga snow cover due to vegetation and microtopography</t>
  </si>
  <si>
    <t>Snow; taiga; stratigraphy; interception</t>
  </si>
  <si>
    <t>WATER EQUIVALENT; DEPTH; ACCUMULATION; TUNDRA; ABLATION; FOREST; RADAR; MICROSTRUCTURE; HETEROGENEITY; INTERCEPTION</t>
  </si>
  <si>
    <t>The taiga snow cover accumulates in relatively stable and windless weather. This should produce a uniform snow cover with continuous, laterally homogeneous stratigraphy and snow properties when the snow is deposited on a level, smooth substrate. However, such substrates are rare, and local variations in vegetation and ground surface topography alter the structure of the snow cover and produce irregular snow layers. In this study, we investigated the effects of vegetation, microtopography, and microclimatic variability on the taiga snow near Fairbanks, Alaska. Through the winter of 2019-2020, in situ measurements were made at three locations with distinctly different local microtopographic features and radically different (but typical) vegetation. One site was an open grassy field, the second a mature spruce forest, and the third a birch forest located on thermokarst terrain with steep microrelief where ice wedges had degraded. Widely different canopy interception processes proved to have the strongest impact on the resulting snow cover heterogeneity by altering the initial deposition, with surface microtopography having the second strongest influence through postdepositional processes. In this article, we suggest a conceptual framework for understanding and modeling taiga snow variability in terms of the vegetation and microtopography that created it.</t>
  </si>
  <si>
    <t>[Komarov, Anton] Lomonosov Moscow State Univ, Fac Geog, Lab Snow Avalanches &amp; Debris Flows, Moscow 119991, Russia; [Sturm, Matthew] Univ Alaska Fairbanks, Geophys Inst, Fairbanks, AK USA</t>
  </si>
  <si>
    <t>Lomonosov Moscow State University; University of Alaska System; University of Alaska Fairbanks</t>
  </si>
  <si>
    <t>Komarov, A (corresponding author), Lomonosov Moscow State Univ, Fac Geog, Lab Snow Avalanches &amp; Debris Flows, Moscow 119991, Russia.</t>
  </si>
  <si>
    <t>ankom9@gmail.com</t>
  </si>
  <si>
    <t>10.1080/15230430.2023.2170086</t>
  </si>
  <si>
    <t>9R4SN</t>
  </si>
  <si>
    <t>WOS:000945645000001</t>
  </si>
  <si>
    <t>Schuchardt, MA; Berauer, BJ; Giejsztowt, J; Hessberg, AV; Niu, YJ; Bahn, M; Jentsch, A</t>
  </si>
  <si>
    <t>Schuchardt, Max A. A.; Berauer, Bernd J. J.; Giejsztowt, Justyna; Hessberg, Andreas V. V.; Niu, Yujie; Bahn, Michael; Jentsch, Anke</t>
  </si>
  <si>
    <t>Drought erodes mountain plant community resistance to novel species under a warming climate</t>
  </si>
  <si>
    <t>European Alps; invasion; species turnover; extinction debt; translocation experiment</t>
  </si>
  <si>
    <t>ALPINE GRASSLAND; ECOSYSTEM; IMPACT; SHIFTS; PRODUCTIVITY; BIODIVERSITY; FACILITATION; TEMPERATURE; COMPETITION; INCREASES</t>
  </si>
  <si>
    <t>Warming in mountain regions is projected to occur three times faster than the global average. Recently, a small number of observational studies have reported species loss in mountain plant communities and have explored mechanisms facilitating the colonization by novel species. We monitored translocated mountain plant communities and their novel competitor interactions following five years of exposure to downslope climates. We found increasing species turnover under two future climate scenarios with time. Local loss of native species was followed by the colonization by novel species after a severe drought year in the third year after translocation. Here, the assumed mechanism facilitating novel species colonization in mountain communities is direct environmental filtering. We find a time lag between the local loss of native species and the colonization by novel species, which can be explained by interacting climate stressors-that is, warming and drought-pushing communities across a threshold of resistance to colonization. Interestingly, despite significant changes in species identity and strong colonization by novel species, the proportional contribution of plant functional groups to aboveground biomass stayed stable across both sites of origin and over time. Our study provides experimental evidence of local species loss in mountain plant communities prone to severe climatic change, revealing abrupt threshold dynamics.</t>
  </si>
  <si>
    <t>[Schuchardt, Max A. A.; Giejsztowt, Justyna; Hessberg, Andreas V. V.; Niu, Yujie] Univ Bayreuth, Bayreuth Ctr Ecol &amp; Evironmental Res, Dept Disturbance Ecol, Bayreuth, Germany; [Berauer, Bernd J. J.] Univ Hohenheim, Inst Landscape &amp; Plant Ecol, Dept Plant Ecol, Stuttgart, Germany; [Bahn, Michael] Univ Innsbruck, Dept Ecol, Innsbruck, Austria; [Schuchardt, Max A. A.] Bayreuth Ctr Ecol &amp; Evironmental Res, Dept Disturbance Ecol, Universitatsstr 30, D-95447 Bayreuth, Germany</t>
  </si>
  <si>
    <t>University of Bayreuth; University Hohenheim; University of Innsbruck; University of Bayreuth</t>
  </si>
  <si>
    <t>Schuchardt, MA (corresponding author), Bayreuth Ctr Ecol &amp; Evironmental Res, Dept Disturbance Ecol, Universitatsstr 30, D-95447 Bayreuth, Germany.</t>
  </si>
  <si>
    <t>max.schuchardt@uni-bayreuth.de</t>
  </si>
  <si>
    <t>Berauer, Bernd Josef/AAH-9117-2021; Bahn, Michael/I-3536-2013; Niu, Yujie/X-9855-2019</t>
  </si>
  <si>
    <t>Berauer, Bernd Josef/0000-0002-9472-1532; Bahn, Michael/0000-0001-7482-9776; Niu, Yujie/0000-0002-0912-8401; Schuchardt, Max/0000-0003-3103-8063</t>
  </si>
  <si>
    <t>10.1080/15230430.2023.2174282</t>
  </si>
  <si>
    <t>9R4VL</t>
  </si>
  <si>
    <t>WOS:000945652600001</t>
  </si>
  <si>
    <t>Influence of vegetation on occurrence and color of snow algal blooms in Mt. Gassan, Yamagata Prefecture, Japan</t>
  </si>
  <si>
    <t>Snow algae; deciduous forest; alpine snowpacks; nutrients; pigments</t>
  </si>
  <si>
    <t>ULTRAVIOLET-RADIATION; NOV VOLVOCALES; CHLOROMONAS; CHLOROPHYTA; CAROTENOIDS; LIGHT; ULTRASTRUCTURE; PERFORMANCE; COMMUNITY; PIGMENTS</t>
  </si>
  <si>
    <t>Snow algae are photosynthetic microbes growing on melting snow surfaces, the blooms of which are visible on alpine snowpacks in Japan during the melting season. We characterized the seasonal and altitudinal variations in algal blooms on Mount Gassan, Japan, to assess the influence of vegetation on the algal bloom. From May to July in 2019, we collected colored snow from lower deciduous forest to the upper alpine areas. In the lower forest area, chlorophyll-a concentration in colored snow samples increased concomitantly with deciduous tree budburst, whereas in the alpine area, chlorophyll-a increased from June to July, although at lower levels than in the forest area. The absorption spectra of algal pigments extracted from samples differed among study sites and seasons, with those obtained from forest sites mainly characterized by absorption of chlorophylls and primary carotenoids, whereas those from alpine sites showed an intense secondary carotenoid peak throughout the study period. Chemical solute analyses revealed a general abundance of phosphate in snow, which was significantly higher in forest than in alpine sites and positively correlated with chlorophyll-a concentration. These findings suggest that nutrient supply from the forest canopy largely controls the appearance of colored snow in this area.</t>
  </si>
  <si>
    <t>[Suzuki, Takumi; Takeuchi, Nozomu] Chiba Univ, Grad Sch Sci, Dept Earth Sci, Chiba, Japan; [Takeuchi, Nozomu] Chiba Univ, Grad Sch Sci, Dept Earth Sci, 1-33 Yayoicho,Inage ku, Chiba 2638522, Japan</t>
  </si>
  <si>
    <t>Chiba University; Chiba University</t>
  </si>
  <si>
    <t>Takeuchi, N (corresponding author), Chiba Univ, Grad Sch Sci, Dept Earth Sci, 1-33 Yayoicho,Inage ku, Chiba 2638522, Japan.</t>
  </si>
  <si>
    <t>ntakeuch@faculty.chiba-u.jp</t>
  </si>
  <si>
    <t>10.1080/15230430.2023.2173138</t>
  </si>
  <si>
    <t>9V7TV</t>
  </si>
  <si>
    <t>WOS:000948592300001</t>
  </si>
  <si>
    <t>Zhu, Q; Guo, HD; Zhang, L; Liang, D; Liu, XT; Zhou, H; Gou, YT</t>
  </si>
  <si>
    <t>Zhu, Qi; Guo, Huadong; Zhang, Lu; Liang, Dong; Liu, Xuting; Zhou, Heng; Gou, Yiting</t>
  </si>
  <si>
    <t>High-resolution spatio-temporal analysis of snowmelt over Antarctic Peninsula ice shelves from 2015 to 2021 using SAR images</t>
  </si>
  <si>
    <t>Surface snowmelt; ice shelf; sentinel-1 imagery; Antarctic Peninsula; high resolution</t>
  </si>
  <si>
    <t>SURFACE MELT; MASS-BALANCE; BACKSCATTER; MODIS; BAND; TEMPERATURE; IMPACTS; REGIONS</t>
  </si>
  <si>
    <t>Ice shelves play an essential role in the dynamics of the Antarctic ice sheet. The surface meltwater is important, as it can irreversibly weaken ice shelves by exerting additional hydrostatic pressure. Therefore, high-resolution snowmelt products are urgently needed to accurately analyze melting patterns of ice shelves and further estimate mass loss. In this study, a new high-resolution (40 m) snowmelt dataset over all of the Antarctic Peninsula ice shelves larger than 100 km 2 was developed based on the modified snowmelt detection framework by using a co-orbit normalization method. The dataset provides detailed snowmelt information on each ice shelf, including the image coverage, melting area and melting ratio every 5 days. The melting patterns of three typical ice shelves (George VI, Wilkins and Larsen C Ice Shelves) and the spatio-temporal melting distribution of the Antarctic Peninsula (AP) were further analyzed. The snowmelt information indicates that both the extent and duration of snowmelt have been increasing in the Antarctic Peninsula from 2015 to 2021, and we found that the snowmelt on the Antarctic Peninsula showed a spatial pattern of significantly intense snowmelt on the western side. We believe this study will provide essential data for ice shelf investigation to support other fields of polar research.</t>
  </si>
  <si>
    <t>[Zhu, Qi; Guo, Huadong; Zhang, Lu; Liang, Dong; Liu, Xuting; Zhou, Heng; Gou, Yiting] Chinese Acad Sci, Aerosp Informat Res Inst, Key Lab Digital Earth Sci, Beijing, Peoples R China; [Zhu, Qi; Guo, Huadong; Zhang, Lu; Liang, Dong; Liu, Xuting; Zhou, Heng; Gou, Yiting] Int Res Ctr Big Data Sustainable Dev Goals, Beijing, Peoples R China; [Zhu, Qi; Guo, Huadong; Zhang, Lu; Liang, Dong; Liu, Xuting; Zhou, Heng; Gou, Yiting] Univ Chinese Acad Sci, Beijing, Peoples R China</t>
  </si>
  <si>
    <t>Chinese Academy of Sciences; Aerospace Information Research Institute, CAS; Chinese Academy of Sciences; University of Chinese Academy of Sciences, CAS</t>
  </si>
  <si>
    <t>Zhang, L (corresponding author), Chinese Acad Sci, Aerosp Informat Res Inst, Key Lab Digital Earth Sci, Beijing, Peoples R China.;Zhang, L (corresponding author), Int Res Ctr Big Data Sustainable Dev Goals, Beijing, Peoples R China.;Zhang, L (corresponding author), Univ Chinese Acad Sci, Beijing, Peoples R China.</t>
  </si>
  <si>
    <t>zhanglu@aircas.ac.cn</t>
  </si>
  <si>
    <t>cheng, chen/JHS-9462-2023; Yu, Shicheng/KHU-3059-2024; Wang, Xiaoman/JYP-1144-2024; Li, Jiawei/JOJ-9277-2023; Wang, Yuchen/JPW-9345-2023; chen, chen/JGD-3057-2023; Liang, Dong/F-8081-2014; Jia, Li/JVN-3095-2024; Liu, Joanne/JRY-7564-2023; Dong, Liang/JZD-4605-2024; li, yurong/JMQ-8540-2023; xu, chen/JNE-5010-2023</t>
  </si>
  <si>
    <t>Liang, Dong/0000-0001-9147-7792; Zhu, Qi/0000-0002-5791-4431</t>
  </si>
  <si>
    <t>Joint Funds of the National Natural Science Foundation of China [U2268217]; National Natural Science Foundation of China [41876226]; Innovative Research Program of the International Research Center of Big Data for Sustainable Development Goals [CBAS2022IRP02]</t>
  </si>
  <si>
    <t>Joint Funds of the National Natural Science Foundation of China(National Natural Science Foundation of China (NSFC)); National Natural Science Foundation of China(National Natural Science Foundation of China (NSFC)); Innovative Research Program of the International Research Center of Big Data for Sustainable Development Goals</t>
  </si>
  <si>
    <t>This work was supported by the Joint Funds of the National Natural Science Foundation of China [grant number U2268217], National Natural Science Foundation of China [grant number 41876226], and Innovative Research Program of the International Research Center of Big Data for Sustainable Development Goals [grant number CBAS2022IRP02].</t>
  </si>
  <si>
    <t>10.1080/17538947.2023.2181991</t>
  </si>
  <si>
    <t>9M9US</t>
  </si>
  <si>
    <t>WOS:000942567100001</t>
  </si>
  <si>
    <t>Poirier, M; Osmers, P; Wilkins, K; Morgan-Kiss, RM; Cvetkovska, M</t>
  </si>
  <si>
    <t>Poirier, Mackenzie; Osmers, Pomona; Wilkins, Kieran; Morgan-Kiss, Rachael M.; Cvetkovska, Marina</t>
  </si>
  <si>
    <t>Aberrant light sensing and motility in the green alga Chlamydomonas priscuii from the ice-covered Antarctic Lake Bonney</t>
  </si>
  <si>
    <t>PLANT SIGNALING &amp; BEHAVIOR</t>
  </si>
  <si>
    <t>Chlamydomonas; Antarctica; phototaxis; photoreceptors; light signaling; green algae; psychrophile</t>
  </si>
  <si>
    <t>SP UWO 241; PHOTOTACTIC BEHAVIOR; PHOTOSYSTEM-I; PHYTOPLANKTON; ADAPTATION; GENOME; PHOSPHORYLATION; ACCLIMATION; PHOTOTROPIN; EVOLUTION</t>
  </si>
  <si>
    <t>The Antarctic green alga Chlamydomonas priscuii is an obligate psychrophile and an emerging model for photosynthetic adaptation to extreme conditions. Endemic to the ice-covered Lake Bonney, this alga thrives at highly unusual light conditions characterized by very low light irradiance (&lt;15 mu mol m(-2) s(-1)), a narrow wavelength spectrum enriched in blue light, and an extreme photoperiod. Genome sequencing of C. priscuii exposed an unusually large genome, with hundreds of highly similar gene duplicates and expanded gene families, some of which could be aiding its survival in extreme conditions. In contrast to the described expansion in the genetic repertoire in C. priscuii, here we suggest that the gene family encoding for photoreceptors is reduced when compared to related green algae. This alga also possesses a very small eyespot and exhibits an aberrant phototactic response, compared to the model Chlamydomonas reinhardtii. We also investigated the genome and behavior of the closely related psychrophilic alga Chlamydomonas sp. ICE-MDV, that is found throughout the photic zone of Lake Bonney and is naturally exposed to higher light levels. Our analyses revealed a photoreceptor gene family and a robust phototactic response similar to those in the model Chlamydomonas reinhardtii. These results suggest that the aberrant phototactic response in C. priscuii is a result of life under extreme shading rather than a common feature of all psychrophilic algae. We discuss the implications of these results on the evolution and survival of shade adapted polar algae.</t>
  </si>
  <si>
    <t>[Poirier, Mackenzie; Osmers, Pomona; Wilkins, Kieran; Cvetkovska, Marina] Univ Ottawa, Dept Biol, Ottawa, ON, Canada; [Morgan-Kiss, Rachael M.] Miami Univ, Dept Microbiol, Oxford, OH USA; [Cvetkovska, Marina] Univ Ottawa, Dept Biol, 30 Marie Curie Pr, Ottawa, ON K1N 6N5, Canada</t>
  </si>
  <si>
    <t>University of Ottawa; University System of Ohio; Miami University; University of Ottawa</t>
  </si>
  <si>
    <t>Cvetkovska, M (corresponding author), Univ Ottawa, Dept Biol, 30 Marie Curie Pr, Ottawa, ON K1N 6N5, Canada.</t>
  </si>
  <si>
    <t>mcvetkov@uottawa.ca</t>
  </si>
  <si>
    <t>Natural Sciences and Engineering Research Council of Canada (NSERC); Canada Foundation for Innovation (CFI); University of Ottawa; Ontario Graduate Scholarship (OGS); Polar Knowledge Canada Antarctic Doctoral Scholarship; OGS; NSERC Canada Graduate Scholarships; U.S. Department of Energy (DOE), Office of Science, Basic Energy Sciences (BES) [DE-SC0019138]; U.S. Department of Energy (DOE) [DE-SC0019138] Funding Source: U.S. Department of Energy (DOE)</t>
  </si>
  <si>
    <t>Natural Sciences and Engineering Research Council of Canada (NSERC)(Natural Sciences and Engineering Research Council of Canada (NSERC)); Canada Foundation for Innovation (CFI)(Canada Foundation for Innovation); University of Ottawa; Ontario Graduate Scholarship (OGS)(Ontario Graduate Scholarship); Polar Knowledge Canada Antarctic Doctoral Scholarship; OGS(Ontario Graduate Scholarship); NSERC Canada Graduate Scholarships(Natural Sciences and Engineering Research Council of Canada (NSERC)); U.S. Department of Energy (DOE), Office of Science, Basic Energy Sciences (BES)(United States Department of Energy (DOE)); U.S. Department of Energy (DOE)(United States Department of Energy (DOE))</t>
  </si>
  <si>
    <t>This project was supported by Natural Sciences and Engineering Research Council of Canada (NSERC) Discovery Grants awarded to MC. The authors are grateful for the support from the Canada Foundation for Innovation (CFI) and University of Ottawa start-up funding. MP was supported by Ontario Graduate Scholarship (OGS) and Polar Knowledge Canada Antarctic Doctoral Scholarship. PO was supported by OGS and NSERC Canada Graduate Scholarships. RMK was supported by the U.S. Department of Energy (DOE), Office of Science, Basic Energy Sciences (BES) under Award # DE-SC0019138.The authors report there are no competing interest to declare.</t>
  </si>
  <si>
    <t>TAYLOR &amp; FRANCIS INC</t>
  </si>
  <si>
    <t>PHILADELPHIA</t>
  </si>
  <si>
    <t>530 WALNUT STREET, STE 850, PHILADELPHIA, PA 19106 USA</t>
  </si>
  <si>
    <t>1559-2316</t>
  </si>
  <si>
    <t>1559-2324</t>
  </si>
  <si>
    <t>PLANT SIGNAL BEHAV</t>
  </si>
  <si>
    <t>Plant Signal. Behav.</t>
  </si>
  <si>
    <t>10.1080/15592324.2023.2184588</t>
  </si>
  <si>
    <t>Biochemistry &amp; Molecular Biology; Plant Sciences</t>
  </si>
  <si>
    <t>9S5RB</t>
  </si>
  <si>
    <t>WOS:000946395700001</t>
  </si>
  <si>
    <t>Kunz, J; Ullmann, T; Kneisel, C; Baumhauer, R</t>
  </si>
  <si>
    <t>Kunz, Julius; Ullmann, T.; Kneisel, C.; Baumhauer, R.</t>
  </si>
  <si>
    <t>Three-dimensional subsurface architecture and its influence on the spatiotemporal development of a retrogressive thaw slump in the Richardson Mountains, Northwest Territories, Canada</t>
  </si>
  <si>
    <t>Retrogressive thaw slump; permafrost; spatiotemporal slump development; near-surface geophysics; remote sensing</t>
  </si>
  <si>
    <t>GROUND-PENETRATING RADAR; PEEL PLATEAU; TREND ANALYSIS; PERMAFROST; YUKON; ICE; SEDIMENT; BARROW; VALLEY; ISLAND</t>
  </si>
  <si>
    <t>The development of retrogressive thaw slumps (RTS) is known to be strongly influenced by relief-related parameters, permafrost characteristics, and climatic triggers. To deepen the understanding of RTS, this study examines the subsurface characteristics in the vicinity of an active thaw slump, located in the Richardson Mountains (Western Canadian Arctic). The investigations aim to identify relationships between the spatiotemporal slump development and the influence of subsurface structures. Information on these were gained by means of electrical resistivity tomography (ERT) and ground-penetrating radar (GPR). The spatiotemporal development of the slump was revealed by high-resolution satellite imagery and unmanned aerial vehicle-based digital elevation models (DEMs). The analysis indicated an acceleration of slump expansion, especially since 2018. The comparison of the DEMs enabled the detailed balancing of erosion and accumulation within the slump area between August 2018 and August 2019. In addition, manual frost probing and GPR revealed a strong relationship between the active layer thickness, surface morphology, and hydrology. Detected furrows in permafrost table topography seem to affect the active layer hydrology and cause a canalization of runoff toward the slump. The three-dimensional ERT data revealed a partly unfrozen layer underlying a heterogeneous permafrost body. This may influence the local hydrology and affect the development of the RTS. The results highlight the complex relationships between slump development, subsurface structure, and hydrology and indicate a distinct research need for other RTSs.</t>
  </si>
  <si>
    <t>[Kunz, Julius; Kneisel, C.; Baumhauer, R.] Univ Wurzburg, Inst Geog &amp; Geol, Dept Phys Geog, D-97072 Wurzburg, Germany; [Ullmann, T.] Univ Wurzburg, Inst Geog &amp; Geol, Dept Remote Sensing, Wurzburg, Germany</t>
  </si>
  <si>
    <t>University of Wurzburg; University of Wurzburg</t>
  </si>
  <si>
    <t>Kunz, J (corresponding author), Univ Wurzburg, Inst Geog &amp; Geol, Dept Phys Geog, D-97072 Wurzburg, Germany.</t>
  </si>
  <si>
    <t>julius.kunz@uni-wuerzburg.de</t>
  </si>
  <si>
    <t>Kunz, Julius/JPX-4551-2023</t>
  </si>
  <si>
    <t>Kunz, Julius/0000-0003-3689-9575</t>
  </si>
  <si>
    <t>German Research Foundation [DFG 329721376]; University of Wuerzburg</t>
  </si>
  <si>
    <t>German Research Foundation(German Research Foundation (DFG)); University of Wuerzburg</t>
  </si>
  <si>
    <t>This study was funded by the German Research Foundation (DFG 329721376). The Digital Elevation Model of the TanDEM-X Mission is shown under the permission of the German Aerospace Center (DLR), Germany, (C)DLR, 2016 (proposal IDEM_HYDRO0182 and TanDEM-X Science proposal DEM_OTHER1323). This publication was supported by the Open Access Publication Fund of the University of Wuerzburg.</t>
  </si>
  <si>
    <t>10.1080/15230430.2023.2167358</t>
  </si>
  <si>
    <t>9J5OA</t>
  </si>
  <si>
    <t>WOS:000940234500001</t>
  </si>
  <si>
    <t>Dragone, NB; Perry, LB; Solon, AJ; Seimon, A; Seimon, TA; Schmidt, SK</t>
  </si>
  <si>
    <t>Dragone, Nicholas B.; Perry, L. Baker; Solon, Adam J.; Seimon, Anton; Seimon, Tracie A.; Schmidt, Steven K.</t>
  </si>
  <si>
    <t>Genetic analysis of the frozen microbiome at 7900 m a.s.l., on the South Col of Sagarmatha (Mount Everest)</t>
  </si>
  <si>
    <t>Mount Everest; alpine; microbial ecology; microbiology</t>
  </si>
  <si>
    <t>SP NOV.; SAHARAN DESERT; STAPHYLOCOCCUS-EPIDERMIDIS; PHYLOGENETIC ANALYSIS; BACTERIAL DIVERSITY; EMENDED DESCRIPTION; STREPTOCOCCUS-SUIS; ATACAMA DESERT; GEN. NOV.; GEODERMATOPHILUS</t>
  </si>
  <si>
    <t>Microbial communities in alpine environments &gt;7,500 m.a.s.l. have not been well studied using modern cultivation-independent sequencing approaches due to the challenges and danger associated with reaching such high elevations. For this reason, we know little about the microorganisms found in sediments on Earth's tallest mountains, how they reach these surfaces, and how they survive and remain active at such extreme elevations. Here, we explore the microbial diversity recovered from three sediment samples collected from the South Col (similar to 7,900 m.a.s.l.) of Sagarmatha (Mount Everest) using both culturing and next generation sequencing approaches (16S rRNA gene, internal transcribed spacer [ITS] region, and 18S rRNA gene sequencing). Both approaches detected very low diversity of bacteria, protists, and fungi that included a combination of cosmopolitan taxa and specialized microorganisms often found at high elevations like those of the genera Modestobacter and Naganishia. Though we managed to grow viable cultures of many of these taxa, it remains likely that few, if any, can be active in situ at the South Col. Instead, these high-elevation surfaces may act as deep-freeze collection zones of organisms deposited from the atmosphere or left by climbers scaling the Earth's highest mountain.</t>
  </si>
  <si>
    <t>[Dragone, Nicholas B.; Solon, Adam J.; Schmidt, Steven K.] Univ Colorado Boulder, Ecol &amp; Evolutionary Biol, Boulder, CO USA; [Dragone, Nicholas B.] Univ Colorado Boulder, Cooperat Inst Res Environm Sci, Boulder, CO USA; [Perry, L. Baker; Seimon, Anton] Appalachian State Univ, Dept Geog &amp; Planning, Boone, NC USA; [Seimon, Tracie A.] Wildlife Conservat Soc, Zool Hlth Program, Bronx, NY USA; [Dragone, Nicholas B.; Schmidt, Steven K.] Univ Colorado Boulder, Ecol &amp; Evolutionary Biol, 1900 Pleasant St,334 UCB, Boulder, CO 80309 USA</t>
  </si>
  <si>
    <t>University of Colorado System; University of Colorado Boulder; University of Colorado System; University of Colorado Boulder; University of North Carolina; Appalachian State University; Wildlife Conservation Society; University of Colorado System; University of Colorado Boulder</t>
  </si>
  <si>
    <t>Dragone, NB; Schmidt, SK (corresponding author), Univ Colorado Boulder, Ecol &amp; Evolutionary Biol, 1900 Pleasant St,334 UCB, Boulder, CO 80309 USA.</t>
  </si>
  <si>
    <t>nidr7164@colorado.edu; steve.schmidt@colorado.edu</t>
  </si>
  <si>
    <t>; SCHMIDT, STEVEN K/G-2771-2010</t>
  </si>
  <si>
    <t>Seimon, Tracie/0000-0003-3658-1364; SCHMIDT, STEVEN K/0000-0002-9175-2085; Dragone, Nicholas/0000-0002-8983-6482</t>
  </si>
  <si>
    <t>University of Colorado Boulder's Department of Ecology and Evolutionary Biology; University of Colorado Boulder Graduate School; University of Colorado Boulder Libraries Open Access Fund</t>
  </si>
  <si>
    <t>This work was supported by funds provided to NBD from the University of Colorado Boulder's Department of Ecology and Evolutionary Biology and the University of Colorado Boulder Graduate School. Publication of this article was funded by the University of Colorado Boulder Libraries Open Access Fund.</t>
  </si>
  <si>
    <t>10.1080/15230430.2023.2164999</t>
  </si>
  <si>
    <t>9H9OK</t>
  </si>
  <si>
    <t>WOS:000939152600001</t>
  </si>
  <si>
    <t>Mi, WX; Guo, HY; Yu, WX; Wang, S; Pan, T; Wang, SH</t>
  </si>
  <si>
    <t>Mi, Wenxiang; Guo, Huayan; Yu, Wanxian; Wang, Shuo; Pan, Ting; Wang, Shaohai</t>
  </si>
  <si>
    <t>Need for dental care among medical staff working in the China Antarctic stations</t>
  </si>
  <si>
    <t>China Antarctic station; dental care; dental problems; medical staff</t>
  </si>
  <si>
    <t>SUPPLEMENTATION; ASSOCIATION; CONSUMPTION; EXPEDITION</t>
  </si>
  <si>
    <t>Even though China Antarctic medical care has made huge progress, dental care has always been a neglected area. Dental health is well-known to be closely related with life quality and work efficiency. Hence, knowing the dental care situation there and providing ways to improve are urgently needed. We choose doctors who worked in China Antarctic station as a window to see the whole picture by sending questionnaire. The results showed dental visits ranked second high, the ratio of doctors who got pre-departure dental knowledge education and screen is low. What is worse, none of them got any after-departure dental check. Their dental knowledge is not as good as we expect, and they were troubled by dental problems in Antarctic. Interestingly, most dental problems were treated by non-dentist with no essential equipment, but 2/3 of them were satisfied with the outcome. As for the dental-related diet and behaviour, snacks eating and alcohol drinking are the strongest predictors of dental pain and gum problem. Those findings are crucial to Antarctic dental care and research.</t>
  </si>
  <si>
    <t>[Mi, Wenxiang; Guo, Huayan; Pan, Ting; Wang, Shaohai] Tongji Univ, Shanghai East Hosp, Dept Stomatol, Sch Med, Shanghai, Peoples R China; [Yu, Wanxian] Tongji Univ, Shanghai East Hosp, Polar Med Ctr, Sch Med, Shanghai, Peoples R China; [Wang, Shuo] Univ Freiburg, Inst Med Biometry &amp; Stat, Fac Med, Med Ctr, Freiburg, Germany; [Wang, Shaohai] Tongji Univ, Shanghai East Hosp, Dept Stomatol, Sch Med, 150 Jimo Rd, Shanghai 200120, Peoples R China</t>
  </si>
  <si>
    <t>Tongji University; Tongji University; University of Freiburg; Tongji University</t>
  </si>
  <si>
    <t>Wang, SH (corresponding author), Tongji Univ, Shanghai East Hosp, Dept Stomatol, Sch Med, 150 Jimo Rd, Shanghai 200120, Peoples R China.</t>
  </si>
  <si>
    <t>shaohaiwang@tongji.edu.cn</t>
  </si>
  <si>
    <t>National Natural Science Foundation of China [81870808]; Shanghai East Hospital [DFRC2022002]</t>
  </si>
  <si>
    <t>National Natural Science Foundation of China(National Natural Science Foundation of China (NSFC)); Shanghai East Hospital</t>
  </si>
  <si>
    <t>This work was financially supported by the National Natural Science Foundation of China (81870808) and Shanghai East Hospital research grant (DFRC2022002). Thanks for the participation of the doctors in our study.</t>
  </si>
  <si>
    <t>10.1080/22423982.2023.2179453</t>
  </si>
  <si>
    <t>9O5VQ</t>
  </si>
  <si>
    <t>WOS:000943669800001</t>
  </si>
  <si>
    <t>Shackleton, S; Taylor, A; Gammage, L; Gillson, L; Sitas, N; Methner, N; Barmand, S; Thorn, J; McClure, A; Cobban, L; Jarre, A; Odume, ON</t>
  </si>
  <si>
    <t>Shackleton, Sheona; Taylor, Anna; Gammage, Louise; Gillson, Lindsey; Sitas, Nadia; Methner, Nadine; Barmand, Shayan; Thorn, Jessica; McClure, Alice; Cobban, Leigh; Jarre, Astrid; Odume, Oghenekaro Nelson</t>
  </si>
  <si>
    <t>Fostering transdisciplinary research for equitable and sustainable development pathways across Africa: what changes are needed?</t>
  </si>
  <si>
    <t>ECOSYSTEMS AND PEOPLE</t>
  </si>
  <si>
    <t>Matthew Weaver; Sustainability; transformation; transdisciplinarity; Sustainable Development Goals; Africa; equity</t>
  </si>
  <si>
    <t>KNOWLEDGE; SOCIETY; SCIENCE; ANTHROPOCENE</t>
  </si>
  <si>
    <t>The transformations required to achieve the Sustainable Development Goals across the African continent demand new ways of mobilising, weaving together, and applying knowledge. Research, policymaking, planning, and action must be effectively inter-linked to address complex sustainability challenges and the different needs and interests of societal actors. Transdisciplinarity (TD) - the co-production of knowledge across disciplines and with non-academic actors - offers a promising, holistic approach to foster such transformations. Yet, despite increased application of TD over the past two decades, disciplinary and sectoral silos persist. TD is not well embedded in African academic institutions and, consequently, much SDG-related research is too narrowly framed and divorced from the action space to be effective. There is an urgent need to work collectively across disciplines and society for transformation towards more sustainable and equitable development pathways. Capacities to undertake collaborative, impactful research must be strengthened, and changes in research culture are needed to support relationship building. We explore these issues by drawing on two recent online social learning processes with researchers and practitioners working on sustainability issues and TD. In each process, we built on actors' own experiences of TD by investigating institutional, practical, and theoretical challenges and enablers of TD. Here, we synthesise our learnings, alongside key literature, and explore avenues to better: a) promote and support TD within academic institutions across Africa; b) resource TD for sustainable partnerships, and c) strengthen TD practices and impacts to support transformation to sustainability across diverse places and contexts.</t>
  </si>
  <si>
    <t>[Shackleton, Sheona; Taylor, Anna; Methner, Nadine; Barmand, Shayan; Thorn, Jessica; Cobban, Leigh] Univ Cape Town, African Climate &amp; Dev Initiat ACDI, Cape Town, South Africa; [Gammage, Louise; Gillson, Lindsey; Jarre, Astrid] Univ Cape Town, Dept Biol Sci, Cape Town, South Africa; [Gammage, Louise] Univ Cape Town, Marine &amp; Antarctic Ctr Innovat &amp; Sustainabil MARIS, Cape Town, South Africa; [Sitas, Nadia] Stellenbosch Univ, Ctr Sustainabil Transit, Stellenbosch, South Africa; [Thorn, Jessica] Univ St Andrews, Sch Geog &amp; Sustainable Dev, St Andrews, Scotland; [McClure, Alice] Univ Cape Town, Climate Syst Anal Grp, Cape Town, South Africa; [Odume, Oghenekaro Nelson] Rhodes Univ, Inst Water Res, Makhanda, South Africa</t>
  </si>
  <si>
    <t>University of Cape Town; University of Cape Town; University of Cape Town; Stellenbosch University; University of St Andrews; University of Cape Town; Rhodes University</t>
  </si>
  <si>
    <t>Shackleton, S (corresponding author), Univ Cape Town, African Climate &amp; Dev Initiat ACDI, Cape Town, South Africa.</t>
  </si>
  <si>
    <t>Sheona.shackleton@uct.ac.za</t>
  </si>
  <si>
    <t>Gammage, Louise C./V-7350-2019; Jarre, Astrid/HLW-5867-2023; Gillson, Lindsey/AAR-6531-2020</t>
  </si>
  <si>
    <t>Gammage, Louise C./0000-0002-3751-0958; Jarre, Astrid/0000-0002-0690-6183; McClure, Alice/0000-0003-1222-2025; Thorn, Jessica/0000-0003-2108-2554; Taylor, Anna/0000-0001-6760-6080; Shackleton, Sheona/0000-0002-6133-9070; Stadler, Leigh/0009-0002-4161-2890; Gillson, Lindsey/0000-0001-9607-6760</t>
  </si>
  <si>
    <t>National Research Foundation University of Cape Town</t>
  </si>
  <si>
    <t>The work was supported by the National Research Foundation University of Cape Town.</t>
  </si>
  <si>
    <t>2639-5916</t>
  </si>
  <si>
    <t>ECOSYST PEOPLE</t>
  </si>
  <si>
    <t>Ecosyst. People</t>
  </si>
  <si>
    <t>10.1080/26395916.2022.2164798</t>
  </si>
  <si>
    <t>Biodiversity Conservation; Ecology; Environmental Sciences; Environmental Studies</t>
  </si>
  <si>
    <t>Emerging Sources Citation Index (ESCI)</t>
  </si>
  <si>
    <t>Biodiversity &amp; Conservation; Environmental Sciences &amp; Ecology</t>
  </si>
  <si>
    <t>8F4ZP</t>
  </si>
  <si>
    <t>WOS:000919673600001</t>
  </si>
  <si>
    <t>Kozeretska, I</t>
  </si>
  <si>
    <t>Kozeretska, Iryna</t>
  </si>
  <si>
    <t>We are being blacked out, but light is within us!</t>
  </si>
  <si>
    <t>FLY</t>
  </si>
  <si>
    <t>Editorial Material</t>
  </si>
  <si>
    <t>[Kozeretska, Iryna] Natl Antarctic Sci Ctr Ukraine, Taras Shevchenko Blvd, Kiev, Ukraine</t>
  </si>
  <si>
    <t>Ministry of Education &amp; Science of Ukraine; State Institution National Antarctic Scientific Center</t>
  </si>
  <si>
    <t>Kozeretska, I (corresponding author), Natl Antarctic Sci Ctr Ukraine, Taras Shevchenko Blvd, Kiev, Ukraine.</t>
  </si>
  <si>
    <t>iryna.kozeretska@gmail.com</t>
  </si>
  <si>
    <t>Kozeretska, Iryna A/F-1383-2010</t>
  </si>
  <si>
    <t>1933-6934</t>
  </si>
  <si>
    <t>1933-6942</t>
  </si>
  <si>
    <t>Fly</t>
  </si>
  <si>
    <t>10.1080/19336934.2022.2162603</t>
  </si>
  <si>
    <t>Biochemistry &amp; Molecular Biology</t>
  </si>
  <si>
    <t>7K8PL</t>
  </si>
  <si>
    <t>WOS:000905538100001</t>
  </si>
  <si>
    <t>Wang, XD; Guo, Z; Zhao, YC; Yang, Z</t>
  </si>
  <si>
    <t>Wang, Xingdong; Guo, Zhi; Zhao, Yanchuang; Yang, Zhen</t>
  </si>
  <si>
    <t>Sea ice concentration inversion based on ASI algorithm combined with Bootstrap algorithm</t>
  </si>
  <si>
    <t>ECOLOGICAL INDICATORS</t>
  </si>
  <si>
    <t>Sea ice concentration; ASI algorithm; Antarctic; AMSR-2; Landsat-8</t>
  </si>
  <si>
    <t>CONCENTRATION RETRIEVAL; GHZ; PARAMETERS</t>
  </si>
  <si>
    <t>Weather filters are frequently used to lessen the interference while using the ARTSIST Sea Ice (ASI) algorithm, which is based on Advanced Microwave Scanning Radiometer for EOS/Advanced Microwave Scanning Radiometer-2 (AMSR-E/AMSR-2) 89 GHz brightness temperature (Tb) data to calculate sea ice concentration (SIC) with high spatial resolution. However, the weather filters may cause low concentration sea ice to be mistaken for sea water, which decreases the accuracy of the SIC inversion. This paper proposed the ASI algorithm combined with the Bootstrap (BT) algorithm for SIC inversion to increase the accuracy of the SIC inversion. First, use the weather filters to screen out an area that has been disrupted by the external factors like clouds and water vapor. Second, the BT algorithm is used in this area to accomplish SIC inversion. Based on the proposed method, the Antarctic SIC results in February 2018 were obtained and compared with the SIC obtained from the ASI algorithm. The results demonstrated that the SIC inversion based on ASI algorithm combined with BT algorithm is practicable. By comparing the SIC results of Landsat-8 data, it was further verified that the SIC inversion based on ASI algorithm combined with BT algorithm has higher accuracy compared to the ASI algorithm. As a result, the accuracy of SIC inversion can be improved to some extent by combining the ASI algorithm and the BT algorithm.</t>
  </si>
  <si>
    <t>[Wang, Xingdong; Guo, Zhi; Zhao, Yanchuang; Yang, Zhen] Henan Univ Technol, Coll Informat Sci &amp; Engn, Zhengzhou 450001, Peoples R China; [Wang, Xingdong] MNR, Key Lab Ocean Observat Technol, Tianjin 300112, Peoples R China</t>
  </si>
  <si>
    <t>Henan University of Technology</t>
  </si>
  <si>
    <t>Guo, Z (corresponding author), Henan Univ Technol, Coll Informat Sci &amp; Engn, Zhengzhou 450001, Peoples R China.</t>
  </si>
  <si>
    <t>320328915@qq.com</t>
  </si>
  <si>
    <t>Innovative Funds Plan of Henan University of Technology [2022ZKCJ12]</t>
  </si>
  <si>
    <t>Innovative Funds Plan of Henan University of Technology</t>
  </si>
  <si>
    <t>Funding This research was supported by the Innovative Funds Plan of Henan University of Technology under Grant 2022ZKCJ12.</t>
  </si>
  <si>
    <t>ELSEVIER</t>
  </si>
  <si>
    <t>AMSTERDAM</t>
  </si>
  <si>
    <t>RADARWEG 29, 1043 NX AMSTERDAM, NETHERLANDS</t>
  </si>
  <si>
    <t>1470-160X</t>
  </si>
  <si>
    <t>1872-7034</t>
  </si>
  <si>
    <t>ECOL INDIC</t>
  </si>
  <si>
    <t>Ecol. Indic.</t>
  </si>
  <si>
    <t>JAN</t>
  </si>
  <si>
    <t>10.1016/j.ecolind.2023.111484</t>
  </si>
  <si>
    <t>Biodiversity Conservation; Environmental Sciences</t>
  </si>
  <si>
    <t>IF9R5</t>
  </si>
  <si>
    <t>WOS:001165037200001</t>
  </si>
  <si>
    <t>Rudolph, EM; Hedding, DW; Hodgson, DA; Fabel, D; Gheorghiu, DM; Shanks, R; Nel, W</t>
  </si>
  <si>
    <t>Rudolph, Elizabeth M.; Hedding, David W.; Hodgson, Dominic A.; Fabel, Derek; Gheorghiu, Delia M.; Shanks, Richard; Nel, Werner</t>
  </si>
  <si>
    <t>A glacial chronology for sub-Antarctic Marion Island from MIS 2 and MIS 3</t>
  </si>
  <si>
    <t>QUATERNARY SCIENCE REVIEWS</t>
  </si>
  <si>
    <t>Marion island; Sub-Antarctic; Cosmogenic chlorine-36; Deglaciation; Glacial geomorphology; MIS 2; MIS 3; Southern Hemisphere glacial maximum</t>
  </si>
  <si>
    <t>SOUTHERN-OCEAN; CLIMATE VARIABILITY; PRODUCTION-RATES; INDIAN-OCEAN; MAXIMUM; GEOMORPHOLOGY; PATAGONIA; GEORGIA; HISTORY; EXTENT</t>
  </si>
  <si>
    <t>It is increasingly apparent that local and regional factors, including geographic location, topography and climatic variability, strongly influence the timing and extent of glaciations across the Southern Hemisphere. Glacial chronologies of sub-Antarctic islands can provide valuable insights into the nature of regional climatic variability and the localised response(s) of glacial systems during periods of climatic change. With new cosmogenic 36Cl exposure ages from Marion Island in the southern Indian Ocean, we provide the oldest dated terrestrial moraine sequences for the sub-Antarctic islands. Results confirm that a local Last Glacial Maximum was reached prior to -56 ka when ice retreated with localised stand still events at -43 ka and between -38 and 33 ka. Evidence of ice re-advances throughout MIS 2 are limited and particularly absent for the cooling periods at -32 and -21 ka, and retreat continued until -17 ka ago. Any MIS 1 readvances on the island would be confined to altitudes above 900 m a.s.l. but the Holocene exposure ages remains to be documented. We compare Marion Island's glacial chronology with other sub-Antarctic islands (e.g., the Kerguelen archipelago, Auckland and Campbell islands and South Georgia) and review the evidence for a Southern Hemisphere glacial maximum in late MIS 3 (-41 ka). At a regional scale we recognize sea surface temperatures, sea ice extent and the latitudinal position of the Southern Westerly Wind belt as key controls on equilibrium-line altitudes and ice accumulation due to their influence on air temperature and precipitation regimes. At an island scale, geomorphological mapping shows that deglaciation of individual glacier lobes was a-synchronous due to local physiographical and topographical factors controlling the island's micro-climate. We suggest that variability in deglaciation chronologies at smaller scales (particularly at the sub-Antarctic Islands) are important to consider when untangling climatic drivers across the Southern Ocean.</t>
  </si>
  <si>
    <t>[Rudolph, Elizabeth M.] Univ Free State, Dept Geog, Afromontane Res Unit, Bloemfontein, South Africa; [Hedding, David W.] Univ South Africa, Dept Geog, Pioneer Ave, ZA-1710 Florida, South Africa; [Hodgson, Dominic A.] British Antarctic Survey, High Cross Madingley Rd, Cambridge CB3 0ET, England; [Fabel, Derek; Gheorghiu, Delia M.; Shanks, Richard] Scottish Univ, Environm Res Ctr, Rankine Ave, East Kilbride G75 0QF, Scotland; [Nel, Werner] Univ Ft Hare, Dept Geog &amp; Environm Sci, 1 King Williamstown Rd, ZA-5700 Alice, South Africa; [Rudolph, Elizabeth M.] Univ Free State, Dept Geog, ZA-9300 Bloemfontein, South Africa</t>
  </si>
  <si>
    <t>University of the Free State; University of South Africa; UK Research &amp; Innovation (UKRI); Natural Environment Research Council (NERC); NERC British Antarctic Survey; Scottish Universities Research &amp; Reactor Center; University of Fort Hare; University of the Free State</t>
  </si>
  <si>
    <t>Rudolph, EM (corresponding author), Univ Free State, Dept Geog, ZA-9300 Bloemfontein, South Africa.</t>
  </si>
  <si>
    <t>rudolphem@ufs.ac.za</t>
  </si>
  <si>
    <t>Fabel, Derek/A-2999-2010</t>
  </si>
  <si>
    <t>Nel, Werner/0000-0002-3769-4937; Rudolph, Elizabeth M./0000-0002-3823-3278</t>
  </si>
  <si>
    <t>South African National Research Foundation [SANAP-NRF: 129235]</t>
  </si>
  <si>
    <t>South African National Research Foundation(National Research Foundation - South Africa)</t>
  </si>
  <si>
    <t>The authors would like to thank the South African National Antarctic Programme and the Department of Forestry, Fisheries and Environment for their logistical support and the South African National Research Foundation (grant under SANAP-NRF: 129235) for financial support throughout this study. We sincerely thank all field assistants and the Departments of Geography, and Geology at the University of the Free State for the use of their facilities and Joanna Charton for her assistance with figure construction. Lastly, to the reviewers for their constructive feedback.</t>
  </si>
  <si>
    <t>PERGAMON-ELSEVIER SCIENCE LTD</t>
  </si>
  <si>
    <t>OXFORD</t>
  </si>
  <si>
    <t>THE BOULEVARD, LANGFORD LANE, KIDLINGTON, OXFORD OX5 1GB, ENGLAND</t>
  </si>
  <si>
    <t>0277-3791</t>
  </si>
  <si>
    <t>1873-457X</t>
  </si>
  <si>
    <t>QUATERNARY SCI REV</t>
  </si>
  <si>
    <t>Quat. Sci. Rev.</t>
  </si>
  <si>
    <t>FEB 1</t>
  </si>
  <si>
    <t>10.1016/j.quascirev.2023.108485</t>
  </si>
  <si>
    <t>Geography, Physical; Geosciences, Multidisciplinary</t>
  </si>
  <si>
    <t>Physical Geography; Geology</t>
  </si>
  <si>
    <t>GF3R2</t>
  </si>
  <si>
    <t>WOS:001151216100001</t>
  </si>
  <si>
    <t>McConnell, JR; Chellman, NJ; Wensman, SM; Plach, A; Stanish, C; Santibáñez, PA; Brugger, SO; Eckhardt, S; Freitag, J; Kipfstuhl, S; Stohl, A</t>
  </si>
  <si>
    <t>McConnell, Joseph R.; Chellman, Nathan J.; Wensman, Sophia M.; Plach, Andreas; Stanish, Charles; Santibanez, Pamela A.; Brugger, Sandra O.; Eckhardt, Sabine; Freitag, Johannes; Kipfstuhl, Sepp; Stohl, Andreas</t>
  </si>
  <si>
    <t>Hemispheric-scale heavy metal pollution from South American and Australian mining and metallurgy during the Common Era</t>
  </si>
  <si>
    <t>SCIENCE OF THE TOTAL ENVIRONMENT</t>
  </si>
  <si>
    <t>Metallurgy; Toxic heavy metals; Antarctica; Ice core; Common Era; Spanish Colonial</t>
  </si>
  <si>
    <t>ATMOSPHERIC LEAD DEPOSITION; CENTRAL GREENLAND SNOW; ICE-CORE; VOLCANIC-ERUPTIONS; ANTARCTIC SNOW; CLIMATE-CHANGE; RECORD; HISTORY; DOME; REVOLUTION</t>
  </si>
  <si>
    <t>Records from polar and alpine ice reflect past changes in background and industrial toxic heavy metal emissions. While Northern Hemisphere records have been used to evaluate environmental effects and linkages to historical events such as foreign conquests, plagues, economic downturns, and technological developments during the past three millennia, little is known about the magnitude and environmental effects of such emissions in the Southern Hemisphere or their historical linkages, especially prior to late 19th century industrialization. Here we used detailed measurements of the toxic heavy metals lead, cadmium, and thallium, as well as non-toxic bismuth, cerium, and sulfur in an array of five East Antarctic ice cores to investigate hemispheric-scale pollution during the Common Era. While thallium showed no anthropogenic increases, the other three metals increased by orders of magnitude in recent centuries after accounting for crustal and volcanic components. These first detailed records indicate that East Antarctic lead pollution started in the 13th century coincident with Late Intermediate Period metallurgy in the Andes and was pervasive during the Spanish Colonial period in parallel with large-scale exploitation of Andean silver and other ore deposits. Lead isotopic variations suggest that 19th-century increases in lead, cadmium, and bismuth resulted from Australian lead and Bolivian tin mining emissions, with 20th century pollution largely the result of the latter. As in the Northern Hemisphere, variations in heavy metal pollution coincided with plagues, cultural and technological developments, as well as global economic and political events including the Great Depression and the World Wars. Estimated atmospheric heavy metal emissions from Spanish Colonial -era mining and smelting during the late 16th and early 17th century were com- parable to estimated European emissions during the 1st -century apex of the Roman Empire, with atmospheric model simulations suggesting hemispheric -scale toxic heavy metal pollution during the past five centuries as a result.</t>
  </si>
  <si>
    <t>[McConnell, Joseph R.; Chellman, Nathan J.; Wensman, Sophia M.; Santibanez, Pamela A.; Brugger, Sandra O.] Desert Res Inst, Div Hydrol Sci, Reno, NV 89512 USA; [Plach, Andreas; Stohl, Andreas] Univ Vienna, Dept Meteorol &amp; Geophys, A-1090 Vienna, Austria; [Stanish, Charles] Univ S Florida, Inst Adv Study Culture &amp; Environm, Tampa, FL 33620 USA; [Eckhardt, Sabine] Norwegian Inst Air Res, N-2027 Kjeller, Norway; [Freitag, Johannes; Kipfstuhl, Sepp] Alfred Wegener Inst, Helmholtz Zentrum Polar &amp; Meeresforsch, D-27570 Bremerhaven, Germany; [McConnell, Joseph R.] Desert Res Inst, 2215 Raggio Pkwy, Reno, NV 89512 USA</t>
  </si>
  <si>
    <t>Nevada System of Higher Education (NSHE); Desert Research Institute NSHE; University of Vienna; State University System of Florida; University of South Florida; NILU; Helmholtz Association; Alfred Wegener Institute, Helmholtz Centre for Polar &amp; Marine Research; Nevada System of Higher Education (NSHE); Desert Research Institute NSHE</t>
  </si>
  <si>
    <t>McConnell, JR (corresponding author), Desert Res Inst, 2215 Raggio Pkwy, Reno, NV 89512 USA.</t>
  </si>
  <si>
    <t>Joe.McConnell@dri.edu</t>
  </si>
  <si>
    <t>Stohl, Andreas/A-7535-2008; Plach, Andreas/HOH-3054-2023</t>
  </si>
  <si>
    <t>Stohl, Andreas/0000-0002-2524-5755; Plach, Andreas/0000-0003-4899-5871; Wensman, Sophia/0000-0002-3830-6510</t>
  </si>
  <si>
    <t>National Science Foundation [0538416, 0968391, 1702830, 1925417]</t>
  </si>
  <si>
    <t>National Science Foundation(National Science Foundation (NSF))</t>
  </si>
  <si>
    <t>The National Science Foundation grants 0538416, 0968391, 1702830, and 1925417 to J.R.M. supported this research. We thank all Norwegian, American, and German field teams for their efforts to collect the ice cores used in this study, P. Gabrielli for providing Quelccaya ice core records, C. Cooke for providing Lake Lobato sediment records including an updated chronology, as well as students and staff in the DRI ice core group for assistance in the laboratory.</t>
  </si>
  <si>
    <t>0048-9697</t>
  </si>
  <si>
    <t>1879-1026</t>
  </si>
  <si>
    <t>SCI TOTAL ENVIRON</t>
  </si>
  <si>
    <t>Sci. Total Environ.</t>
  </si>
  <si>
    <t>FEB 20</t>
  </si>
  <si>
    <t>10.1016/j.scitotenv.2023.169431</t>
  </si>
  <si>
    <t>Environmental Sciences</t>
  </si>
  <si>
    <t>Environmental Sciences &amp; Ecology</t>
  </si>
  <si>
    <t>GL2C3</t>
  </si>
  <si>
    <t>WOS:001152748500001</t>
  </si>
  <si>
    <t>Heyen, S; Schneider, V; Hüppe, L; Meyer, B; Wilkes, H</t>
  </si>
  <si>
    <t>Heyen, Simone; Schneider, Vivien; Hueppe, Lukas; Meyer, Bettina; Wilkes, Heinz</t>
  </si>
  <si>
    <t>Variations of intact phospholipid compositions in the digestive system of Antarctic krill, Euphausia superba, between summer and autumn</t>
  </si>
  <si>
    <t>PLOS ONE</t>
  </si>
  <si>
    <t>FATTY-ACID-COMPOSITION; MASS-SPECTROMETRY; STRUCTURAL DETERMINATION; LIPID-COMPOSITION; FOOD-WEB; STEROL; DANA; IDENTIFICATION; METABOLISM; GLAND</t>
  </si>
  <si>
    <t>The biochemical composition of Antarctic krill, Euphausia superba, is largely determined by their feeding behaviour. As they supply energy for animals of a higher trophic level and are also commercialized for human consumption, the interest in research on the species is high. Lipids, especially phospholipids, make up a high proportion of dry weight in krill. Seasonal changes are well documented in the fingerprint of free fatty acids analysed after hydrolysis of phospholipids, but the underlying intact polar lipids are rarely considered. In this study, we evaluated the compositions of intact phospholipids (IPLs) in the stomach, digestive gland and hind gut of Antarctic krill caught in summer and autumn at the Antarctic Peninsula region. Using high-resolution mass spectrometry, the fatty acid composition of 179 intact phospholipids could be resolved. Most IPLs were phosphatidylcholines, followed by phosphatidylethanolamines. Several very long chain polyunsaturated fatty acids up to 38:8, which have not been reported in krill before, were identified. The composition shifted to higher molecular weight IPLs with a higher degree of unsaturation for summer samples, especially for samples of the digestive gland. The data supplied in this paper provides new insights into lipid dynamics between summer and autumn usually described by free fatty acid biomarkers.</t>
  </si>
  <si>
    <t>[Heyen, Simone; Schneider, Vivien; Meyer, Bettina; Wilkes, Heinz] Carl von Ossietzky Univ Oldenburg, Inst Chem &amp; Biol Marine Environm ICBM, Oldenburg, Germany; [Hueppe, Lukas; Meyer, Bettina] Alfred Wegener Inst Polar &amp; Marine Res, Bremerhaven, Germany; [Hueppe, Lukas] Julius Maximilians Univ Wurzburg, Wurzburg, Germany; [Meyer, Bettina] Carl von Ossietzky Univ Oldenburg, Helmholtz Inst Funct Marine Biodivers HIFMB, Oldenburg, Germany; [Schneider, Vivien] Univ Bristol, Sch Chem, Organ Geochem Unit, Bristol, England</t>
  </si>
  <si>
    <t>Carl von Ossietzky Universitat Oldenburg; Helmholtz Association; Alfred Wegener Institute, Helmholtz Centre for Polar &amp; Marine Research; University of Wurzburg; Carl von Ossietzky Universitat Oldenburg; University of Bristol</t>
  </si>
  <si>
    <t>Heyen, S (corresponding author), Carl von Ossietzky Univ Oldenburg, Inst Chem &amp; Biol Marine Environm ICBM, Oldenburg, Germany.</t>
  </si>
  <si>
    <t>simone.heyen@uol.de</t>
  </si>
  <si>
    <t>Federal Ministry of Education and Research(BMBF) [161B0871A, 161B0871C]; Deutsch Forschungsgemeinschaft (DFG) [FO 207/17-1]</t>
  </si>
  <si>
    <t>Federal Ministry of Education and Research(BMBF)(Federal Ministry of Education &amp; Research (BMBF)); Deutsch Forschungsgemeinschaft (DFG)(German Research Foundation (DFG))</t>
  </si>
  <si>
    <t>This work was founded by the Federal Ministry of Education and Research(BMBF)in the framework of the project BioProMare: KiGuMi,grantno. 161B0871A and 161B0871C.LH was supported by the Deutsch Forschungsgemeinschaft (DFG) in the framework of the priority programme Antarctic Research with comparative investigations in Arcticice areasSPP1158(Grant:FO 207/17-1).The funders had no role in study design,data collection and analysis,decision to publish,or preparation of the manuscript</t>
  </si>
  <si>
    <t>PUBLIC LIBRARY SCIENCE</t>
  </si>
  <si>
    <t>SAN FRANCISCO</t>
  </si>
  <si>
    <t>1160 BATTERY STREET, STE 100, SAN FRANCISCO, CA 94111 USA</t>
  </si>
  <si>
    <t>1932-6203</t>
  </si>
  <si>
    <t>PLoS One</t>
  </si>
  <si>
    <t>DEC 29</t>
  </si>
  <si>
    <t>e0295677</t>
  </si>
  <si>
    <t>10.1371/journal.pone.0295677</t>
  </si>
  <si>
    <t>Multidisciplinary Sciences</t>
  </si>
  <si>
    <t>Science &amp; Technology - Other Topics</t>
  </si>
  <si>
    <t>DZ5R9</t>
  </si>
  <si>
    <t>WOS:001135936500037</t>
  </si>
  <si>
    <t>Seguel, CYR; Vitales, D; Lluch, JR</t>
  </si>
  <si>
    <t>Seguel, Catalina Y. Rodriguez; Vitales, Daniel; Lluch, Jordi Rull</t>
  </si>
  <si>
    <t>Morpho-anatomical and molecular characterization indicates overlooked taxonomic diversity in the Antarctic genus Hymenocladiopsis (Rhodymeniales, Rhodophyta)</t>
  </si>
  <si>
    <t>PHYCOLOGIA</t>
  </si>
  <si>
    <t>Algae; Antarctic seaweed; COI-5P; Hymenocladiopsis prolifera; rbcL</t>
  </si>
  <si>
    <t>PHYLLOPHORACEAE GIGARTINALES; RBCL; GELIDIALES; GRACILARIALES; FAUCHEACEAE; SYSTEMATICS; HISTORY; COX1</t>
  </si>
  <si>
    <t>Wide morphological variation has been described in the Antarctic macroalga Hymenocladiopsis prolifera, suggesting that there could be overlooked taxonomic diversity in the genus Hymenocladiopsis, which is currently considered to be monotypic. To clarify the taxonomy of the genus, morpho-anatomical and reproductive characters of specimens of Hymenocladiopsis were evaluated and genetic analyses were performed using the molecular markers COI-5P and rbcL. Our results indicate the presence of two groups within the Hymenocladiopsis samples, clearly differentiated both genetically and anatomically, which correspond to two distinct but closely related species. We described the main morpho-anatomical differences between these two species, and we recognized a name for each of them: H. prolifera (Reinsch) M.J. Wynne and H. crustigena R.L. Moe. Our results also indicate the occurrence of two morphotypes within H. crustigena specimens that are genetically identical but morphologically different, this variability being allegedly explained by a wide range of intraspecific phenotypic plasticity.</t>
  </si>
  <si>
    <t>[Seguel, Catalina Y. Rodriguez; Vitales, Daniel; Lluch, Jordi Rull] Univ Barcelona, Fac Farm &amp; Ciencies Alimentacio, Lab Bot, Av Joan XXIII 27-31, Barcelona 08028, Catalonia, Spain; [Seguel, Catalina Y. Rodriguez; Lluch, Jordi Rull] Univ Barcelona, Inst Recerca Biodiversitat IRBio, Barcelona, Spain; [Seguel, Catalina Y. Rodriguez; Lluch, Jordi Rull] Univ Barcelona, Ctr Documentacio Biodiversitat Vegetal CeDocBiV, Barcelona, Spain; [Vitales, Daniel] CSIC, Inst Bot Barcelona IBB, Ajuntament Barcelona, Passeig Migdia S-N, Barcelona 08038, Spain</t>
  </si>
  <si>
    <t>University of Barcelona; University of Barcelona; University of Barcelona; Consejo Superior de Investigaciones Cientificas (CSIC); CSIC - Institut Botanic de Barcelona (ICUB)</t>
  </si>
  <si>
    <t>Seguel, CYR (corresponding author), Univ Barcelona, Fac Farm &amp; Ciencies Alimentacio, Lab Bot, Av Joan XXIII 27-31, Barcelona 08028, Catalonia, Spain.;Seguel, CYR (corresponding author), Univ Barcelona, Inst Recerca Biodiversitat IRBio, Barcelona, Spain.;Seguel, CYR (corresponding author), Univ Barcelona, Ctr Documentacio Biodiversitat Vegetal CeDocBiV, Barcelona, Spain.</t>
  </si>
  <si>
    <t>crodriguezs@magister.ucsc.cl</t>
  </si>
  <si>
    <t>ANID, Becas Chile [72200237]</t>
  </si>
  <si>
    <t>ANID, Becas Chile</t>
  </si>
  <si>
    <t>This work was supported in part by the ANID, Becas Chile: 'DOCTORADO EN EL EXTRANJERO/2019-2023' under Grant 72200237.</t>
  </si>
  <si>
    <t>0031-8884</t>
  </si>
  <si>
    <t>2330-2968</t>
  </si>
  <si>
    <t>Phycologia</t>
  </si>
  <si>
    <t>JAN 2</t>
  </si>
  <si>
    <t>10.1080/00318884.2023.2296823</t>
  </si>
  <si>
    <t>Plant Sciences; Marine &amp; Freshwater Biology</t>
  </si>
  <si>
    <t>HB0J9</t>
  </si>
  <si>
    <t>WOS:001136415300001</t>
  </si>
  <si>
    <t>González-Aravena, M; Perrois, G; Font, A; Cárdenas, CA; Rondon, R</t>
  </si>
  <si>
    <t>Gonzalez-Aravena, Marcelo; Perrois, Garance; Font, Alejandro; Cardenas, Cesar A.; Rondon, Rodolfo</t>
  </si>
  <si>
    <t>Microbiome profile of the Antarctic clam Laternula elliptica</t>
  </si>
  <si>
    <t>BRAZILIAN JOURNAL OF MICROBIOLOGY</t>
  </si>
  <si>
    <t>Antarctica; Bacteria; Filter-feeding; 16S rRNA; Cold-water invertebrates</t>
  </si>
  <si>
    <t>SP NOV.; CRASSOSTREA-GIGAS; GEN. NOV.; BACTERIA; COMMUNITIES; TEMPERATURE; DIVERSITY; OYSTER; SEA; SHEWANELLA</t>
  </si>
  <si>
    <t>The filter feeder clam Laternula elliptica is a key species in the Antarctic ecosystem. As a stenothermal benthic species, it has a poor capacity for adaptation to small temperature variations. Despite their ecological importance and sensitivity to climate change, studies on their microbiomes are lacking. The goal of this study was to characterize the bacterial communities of L. elliptica and the anatomical variability of this microbiome to provide an initial insight of host-microbiota interactions. We investigated the diversity and taxonomic composition of L. elliptica bacterial communities of L. elliptica from five regions of the body using high-throughput 16S rRNA gene sequencing. The results showed that the microbiome of L. elliptica tended to differ from that of the surrounding seawater samples. However, there were no significant differences in the microbial composition between the body sites, and only two OTUs were present in all samples, considered core microbiome (genus Moritella and Polaribacter). No significant differences were detected in diversity indexes among tissues (mean 626.85 for observed OTUs, 628.89 Chao1, 5.42 Shannon, and 0.87 Simpson). Rarefaction analysis revealed that most tissues reached a plateau of OTU number according to sample increase, with the exception of Siphon samples. Psychromonas and Psychrilyobacter were particularly abundant in L. elliptica whereas Fluviicola dominated seawater and siphons. Typical polar bacteria were such as Polaribacter, Shewanella, Colwellia, and Moritella. However, we detected the prevalence of pathogenic bacterial sequences, particularly in the family Arcobacteraceae, Pseudomonadaceae, and Mycoplasmataceae. The prokaryotic diversity was similar among tissues, as well as their taxonomic composition, suggesting a homogeneity of the microbiome along L. elliptica body. The Antarctic clam population can be used to monitor the impact of human activity in areas near Antarctic stations that discharge wastewater.</t>
  </si>
  <si>
    <t>[Gonzalez-Aravena, Marcelo; Perrois, Garance; Font, Alejandro; Cardenas, Cesar A.; Rondon, Rodolfo] Inst Antartico Chileno, Dept Cient, Punta Arenas, Chile; [Perrois, Garance] Korea Inst Ocean Sci &amp; Technol, Trop &amp; Subtrop Res Ctr, Busan, South Korea; [Cardenas, Cesar A.] Millennium Inst Biodivers Antarctic &amp; Subantarct E, Santiago, Chile</t>
  </si>
  <si>
    <t>Korea Institute of Ocean Science &amp; Technology (KIOST)</t>
  </si>
  <si>
    <t>González-Aravena, M; Rondon, R (corresponding author), Inst Antartico Chileno, Dept Cient, Punta Arenas, Chile.</t>
  </si>
  <si>
    <t>mgonzalez@inach.cl; rrondon@inach.cl</t>
  </si>
  <si>
    <t>ANID-FONDECYT Grant Proyecto FONDECYT Iniciacion [11190802]; Marine Protected Areas Program of the Instituto Antartico Chileno [24 03 052]; ANID-Millennium Science Initiative Program [ICN2021_002]</t>
  </si>
  <si>
    <t>ANID-FONDECYT Grant Proyecto FONDECYT Iniciacion; Marine Protected Areas Program of the Instituto Antartico Chileno; ANID-Millennium Science Initiative Program</t>
  </si>
  <si>
    <t>This research was funded by the ANID-FONDECYT Grant Proyecto FONDECYT Iniciacion No. 11190802 and the Marine Protected Areas Program (Number 24 03 052) of the Instituto Antartico Chileno. CAC was also funded by the ANID-Millennium Science Initiative Program (ICN2021_002). We would like to thank the Antarctic expedition department and Ignacio Garrido for diving support, as well as all logistic personnel at Profesor Julio Escudero Station.</t>
  </si>
  <si>
    <t>SPRINGER</t>
  </si>
  <si>
    <t>NEW YORK</t>
  </si>
  <si>
    <t>ONE NEW YORK PLAZA, SUITE 4600, NEW YORK, NY, UNITED STATES</t>
  </si>
  <si>
    <t>1517-8382</t>
  </si>
  <si>
    <t>1678-4405</t>
  </si>
  <si>
    <t>BRAZ J MICROBIOL</t>
  </si>
  <si>
    <t>Braz. J. Microbiol.</t>
  </si>
  <si>
    <t>MAR</t>
  </si>
  <si>
    <t>10.1007/s42770-023-01200-1</t>
  </si>
  <si>
    <t>Microbiology</t>
  </si>
  <si>
    <t>KD7O4</t>
  </si>
  <si>
    <t>WOS:001132438500002</t>
  </si>
  <si>
    <t>Baylis, AMM; Jones, KA; Orben, RA</t>
  </si>
  <si>
    <t>Baylis, Alastair M. M.; Jones, Kayleigh A.; Orben, Rachael A.</t>
  </si>
  <si>
    <t>Intraguild predation in pinnipeds: Southern sea lions prey upon adult female South American fur seals in the Falkland Islands</t>
  </si>
  <si>
    <t>MARINE MAMMAL SCIENCE</t>
  </si>
  <si>
    <t>EUMETOPIAS-JUBATUS PREDATION; DIVING BEHAVIOR; FORAGING BEHAVIOR; MARINE PREDATOR; HABITAT USE; INFANTICIDE; POPULATION; ONTOGENY; DIET; CANNIBALISM</t>
  </si>
  <si>
    <t>[Baylis, Alastair M. M.] South Atlantic Environm Res Inst, Stanley, Falkland Island; [Baylis, Alastair M. M.] Macquarie Univ, Dept Biol Sci, Sydney, NSW, Australia; [Jones, Kayleigh A.] British Antarctic Survey NERC, Cambridge, England; [Jones, Kayleigh A.] Univ Exeter, Exeter, Cornwall, England; [Orben, Rachael A.] Oregon State Univ, Marine Mammal Inst, Dept Fisheries Wildlife &amp; Conservat Sci, Hatfield Marine Sci Ctr, Newport, OR USA; [Baylis, Alastair M. M.] South Atlantic Environm Res Inst, Stanley FIQQ1ZZ, Falkland Island</t>
  </si>
  <si>
    <t>Macquarie University; UK Research &amp; Innovation (UKRI); Natural Environment Research Council (NERC); NERC British Antarctic Survey; University of Exeter; Oregon State University</t>
  </si>
  <si>
    <t>Baylis, AMM (corresponding author), South Atlantic Environm Res Inst, Stanley FIQQ1ZZ, Falkland Island.</t>
  </si>
  <si>
    <t>al_baylis@yahoo.com.au</t>
  </si>
  <si>
    <t>Orben, Rachael A./H-9460-2019</t>
  </si>
  <si>
    <t>Orben, Rachael A./0000-0002-0802-407X; Baylis, Alastair/0000-0002-5167-0472</t>
  </si>
  <si>
    <t>National Geographic Society (Early Career Explorers Grant) [WW-260ER-17]; Falkland Islands Fishing Companies Association (FIFCA) - UK government through Darwin Plus Fund [DPLUS168]</t>
  </si>
  <si>
    <t>National Geographic Society (Early Career Explorers Grant)(National Geographic Society); Falkland Islands Fishing Companies Association (FIFCA) - UK government through Darwin Plus Fund</t>
  </si>
  <si>
    <t>We are grateful to the Falkland Islands Government Department of Natural Resources and the crew of the FPV Protegat for logistical support. K.J. was funded by the National Geographic Society (Early Career Explorers Grant; WW-260ER-17). Fieldwork was supported by funding from the Falkland Islands Fishing Companies Association (FIFCA). This work was also funded by the UK government through Darwin Plus Fund (DPLUS168).</t>
  </si>
  <si>
    <t>WILEY</t>
  </si>
  <si>
    <t>HOBOKEN</t>
  </si>
  <si>
    <t>111 RIVER ST, HOBOKEN 07030-5774, NJ USA</t>
  </si>
  <si>
    <t>0824-0469</t>
  </si>
  <si>
    <t>1748-7692</t>
  </si>
  <si>
    <t>MAR MAMMAL SCI</t>
  </si>
  <si>
    <t>Mar. Mamm. Sci.</t>
  </si>
  <si>
    <t>APR</t>
  </si>
  <si>
    <t>10.1111/mms.13098</t>
  </si>
  <si>
    <t>Marine &amp; Freshwater Biology; Zoology</t>
  </si>
  <si>
    <t>MW7I9</t>
  </si>
  <si>
    <t>WOS:001133943600001</t>
  </si>
  <si>
    <t>Azcárate-García, T; Avila, C; Figuerola, B</t>
  </si>
  <si>
    <t>Azcarate-Garcia, Tomas; Avila, Conxita; Figuerola, Blanca</t>
  </si>
  <si>
    <t>Skeletal Mg content in common echinoderm species from Deception and Livingston Islands (South Shetland Islands, Antarctica) in the context of global change</t>
  </si>
  <si>
    <t>MARINE POLLUTION BULLETIN</t>
  </si>
  <si>
    <t>Southern Ocean; Global environmental change; Mineralogy; Marine calcifiers</t>
  </si>
  <si>
    <t>REDUCED SEAWATER PH; OCEAN ACIDIFICATION; STERECHINUS NEUMAYERI; MARINE ORGANISMS; CLIMATE-CHANGE; PORT FOSTER; CALCITE; PATTERNS; IMPACT; FERTILIZATION</t>
  </si>
  <si>
    <t>Echinoderms with high levels of magnesium (Mg) in their skeletons may be especially sensitive to ocean acidification, as the solubility of calcite increases with its Mg content. However, other structural characteristics and environmental/biological factors may affect skeletal solubility. To better understand which factors can influence skeletal mineralogy, we analyzed the Mg content of Antarctic echinoderms from Deception Island, an active volcano with reduced pH and relatively warm water temperatures, and Livingston Island. We found significant interclass and inter- and intraspecific differences in the Mg content, with asteroids exhibiting the highest levels, followed by ophiuroids and echinoids. Specimens exposed to hydrothermal fluids showed lower Mg levels, which may indicate local environmental effects. These patterns suggest that environmental factors such as seawater Mg2+/Ca2+ ratio and temperature may influence the Mg content of some echinoderms and affect their susceptibility to future environmental changes.</t>
  </si>
  <si>
    <t>[Azcarate-Garcia, Tomas; Figuerola, Blanca] Inst Marine Sci ICM CSIC, Dept Marine Biol &amp; Oceanog, Passeig Maritim Barceloneta 37-49, Barcelona 08003, Catalonia, Spain; [Azcarate-Garcia, Tomas; Avila, Conxita] Univ Barcelona, Ecol &amp; Environm Sci &amp; Biodivers Res Inst IRBio, Dept Evolutionary Biol, Ave Diagonal 643, Barcelona 08028, Catalonia, Spain</t>
  </si>
  <si>
    <t>Consejo Superior de Investigaciones Cientificas (CSIC); CSIC - Centro Mediterraneo de Investigaciones Marinas y Ambientales (CMIMA); CSIC - Instituto de Ciencias del Mar (ICM); University of Barcelona</t>
  </si>
  <si>
    <t>Azcárate-García, T; Figuerola, B (corresponding author), Inst Marine Sci ICM CSIC, Dept Marine Biol &amp; Oceanog, Passeig Maritim Barceloneta 37-49, Barcelona 08003, Catalonia, Spain.</t>
  </si>
  <si>
    <t>azcarate@icm.csic.es</t>
  </si>
  <si>
    <t>Azcárate-García, Tomás/IQS-3313-2023</t>
  </si>
  <si>
    <t>Azcárate-García, Tomás/0000-0003-4416-9759</t>
  </si>
  <si>
    <t>Project DISTANTCOM [CTM2013-42667/ANT]; Project BLUEBIO [CTM2016-78901/ANT]; Project CHALLENGE [PID2019-107979RB-I00]; Severo Ochoa FPI predoctoral grant of the Spanish government [CEX2019-000928-S-20-1]; Postdoctoral fellowships programme Beatriu de Pinos - Government of Catalonia; Horizon 2020 programme of research and innovation of the European Union under the Marie Sklodowska-Curie grant [801370]; MedCalRes project - MCIN/AEI [CEX2019-000928-S]; ERDF A way of making Europe; [PID2021-125323OA-I00]; [BP 00183]</t>
  </si>
  <si>
    <t>Project DISTANTCOM; Project BLUEBIO; Project CHALLENGE; Severo Ochoa FPI predoctoral grant of the Spanish government; Postdoctoral fellowships programme Beatriu de Pinos - Government of Catalonia; Horizon 2020 programme of research and innovation of the European Union under the Marie Sklodowska-Curie grant; MedCalRes project - MCIN/AEI; ERDF A way of making Europe; ;</t>
  </si>
  <si>
    <t>This study was supported by the projects DISTANTCOM (CTM2013-42667/ANT), BLUEBIO (CTM2016-78901/ANT) and CHALLENGE (PID2019-107979RB-I00), led by CA. TA-G was financed by a Severo Ochoa FPI predoctoral grant (CEX2019-000928-S-20-1) of the Spanish government conceded to the Severo Ochoa Centre of Excellence Institute of Marine Sciences (ICM) of Barcelona (CEX2019-000928-S) . BF has received funding from the postdoctoral fellowships programme Beatriu de Pinos funded by the Secretary of Universities and Research (Government of Catalonia) and by the Horizon 2020 programme of research and innovation of the European Union under the Marie Sklodowska-Curie grant agreement no. 801370 (Incorporation grant 2019 BP 00183) and from the MedCalRes project Grant PID2021-125323OA-I00 funded by MCIN/AEI/10.13039/501100011033 and by 'ERDF A way of making Europe'.</t>
  </si>
  <si>
    <t>0025-326X</t>
  </si>
  <si>
    <t>1879-3363</t>
  </si>
  <si>
    <t>MAR POLLUT BULL</t>
  </si>
  <si>
    <t>Mar. Pollut. Bull.</t>
  </si>
  <si>
    <t>FEB</t>
  </si>
  <si>
    <t>10.1016/j.marpolbul.2023.115956</t>
  </si>
  <si>
    <t>Environmental Sciences; Marine &amp; Freshwater Biology</t>
  </si>
  <si>
    <t>Environmental Sciences &amp; Ecology; Marine &amp; Freshwater Biology</t>
  </si>
  <si>
    <t>IK2W9</t>
  </si>
  <si>
    <t>WOS:001166163600001</t>
  </si>
  <si>
    <t>Piccolo, RL; Brown, CJ; Friess, DA; Lovelock, CE; Brown, BM; Buelow, C; Saunders, MI</t>
  </si>
  <si>
    <t>Piccolo, Renee L.; Brown, Christopher J.; Friess, Daniel A.; Lovelock, Catherine E.; Brown, Benjamin M.; Buelow, Christina; Saunders, Megan I.</t>
  </si>
  <si>
    <t>Feasibility of habitat restoration under multidisciplinary constraints</t>
  </si>
  <si>
    <t>OCEAN &amp; COASTAL MANAGEMENT</t>
  </si>
  <si>
    <t>Ecological restoration; Conservation planning; Costs and benefits; Mangrove ecosystem; Biogeography</t>
  </si>
  <si>
    <t>MANGROVE FORESTS; COASTAL MANAGEMENT; SURFACE ELEVATION; CONSERVATION; POLICY; REHABILITATION; COST; AUSTRALIA; FRAMEWORK; AREAS</t>
  </si>
  <si>
    <t>Accurately accounting for the many variables which can influence restoration feasibility is critical to achieve desired outcomes, yet robust frameworks to assess feasibility are lacking. In conservation planning, feasibility can be defined as 'the probability that a project will achieve its stated objectives'. Often, important biophysical, social, governance, logistical, or resource factors that co-vary across space and determine feasibility are not explicitly included in restoration planning, even though this could enhance outcomes. Here, we present a fourstep approach to include feasibility into restoration planning, using mangrove restoration as a case study. Step 1 uses expert knowledge and published literature to identify relevant spatial gradients and explore feasibility factors spanning biophysical, governance, social, logistical, and resource realms which influence restoration outcomes. Step 2 describes the functional relationships between specific feasibility factors and spatial gradient(s) of interest. Step 3 assesses how management interventions could increase feasibility of specific factors. Step 4 analyses 'joint feasibility' of multiple feasibility factors and identifies whether further management interventions are required. The approach provides a systematic and repeatable evaluation of multiple feasibility factors and is applicable in spatial planning to enhance restoration outcomes.</t>
  </si>
  <si>
    <t>[Piccolo, Renee L.; Brown, Christopher J.; Buelow, Christina] Griffith Univ, Coastal &amp; Marine Res Ctr, Sch Environm &amp; Sci, Gold Coast, Qld 4222, Australia; [Piccolo, Renee L.] CSIRO Environm, Brisbane 4067, Australia; [Brown, Christopher J.] Univ Tasmania, Inst Marine &amp; Antarctic Studies, Taroona, Tas 7053, Australia; [Friess, Daniel A.] Tulane Univ, Dept Earth &amp; Environm Sci, New Orleans, LA 70118 USA; [Lovelock, Catherine E.] Univ Queensland, Sch Biol Sci, St Lucia, Qld 4072, Australia; [Brown, Benjamin M.] Charles Darwin Univ, RIEL, Casuarina Campus, Darwin, NT 0810, Australia; [Buelow, Christina] Griffith Univ, Australian Rivers Inst, Sch Environm &amp; Sci, Gold Coast, Qld 4222, Australia; [Saunders, Megan I.] CSIRO Environm, Hobart 7000, Australia</t>
  </si>
  <si>
    <t>Griffith University; Griffith University - Gold Coast Campus; University of Tasmania; Tulane University; University of Queensland; Charles Darwin University; Griffith University; Griffith University - Gold Coast Campus</t>
  </si>
  <si>
    <t>Piccolo, RL (corresponding author), Griffith Univ, Coastal &amp; Marine Res Ctr, Sch Environm &amp; Sci, Gold Coast, Qld 4222, Australia.;Piccolo, RL (corresponding author), CSIRO Environm, Brisbane 4067, Australia.</t>
  </si>
  <si>
    <t>renee.piccolo@griffithuni.edu.au; c.j.brown@utas.edu.au; dfriess@tulane.edu; c.lovelock@uq.edu.au; benjaminmichael.brown@cdu.edu.au; c.buelow@griffith.edu.au; megan.saunders@csiro.au</t>
  </si>
  <si>
    <t>Saunders, Megan/I-7731-2012</t>
  </si>
  <si>
    <t>Saunders, Megan/0000-0002-8549-5609; Piccolo, Renee/0000-0003-4767-2456</t>
  </si>
  <si>
    <t>CERC R + Scholarship from CSIRO; CSIRO Julius Career award; Australian Research Council [FT210100792]</t>
  </si>
  <si>
    <t>CERC R + Scholarship from CSIRO; CSIRO Julius Career award; Australian Research Council(Australian Research Council)</t>
  </si>
  <si>
    <t>Renee Piccolo was supported by the CERC R + Scholarship from CSIRO. Megan Saunders was supported by the CSIRO Julius Career award. Christopher Brown was supported by a Future Fellowship (FT210100792) from the Australian Research Council.</t>
  </si>
  <si>
    <t>0964-5691</t>
  </si>
  <si>
    <t>1873-524X</t>
  </si>
  <si>
    <t>OCEAN COAST MANAGE</t>
  </si>
  <si>
    <t>Ocean Coastal Manage.</t>
  </si>
  <si>
    <t>MAR 1</t>
  </si>
  <si>
    <t>10.1016/j.ocecoaman.2023.106977</t>
  </si>
  <si>
    <t>Oceanography; Water Resources</t>
  </si>
  <si>
    <t>IJ9C4</t>
  </si>
  <si>
    <t>WOS:001166064900001</t>
  </si>
  <si>
    <t>Maggiori, C; Fernández-Martínez, MA; Bourdages, LJ; Sánchez-García, L; Moreno-Paz, M; Sobrado, JM; Carrizo, D; Vicente-Retortillo, A; Goordial, J; Whyte, LG</t>
  </si>
  <si>
    <t>Maggiori, Catherine; Fernandez-Martinez, Miguel Angel; Bourdages, Louis-Jacques; Sanchez-Garcia, Laura; Moreno-Paz, Mercedes; Sobrado, Jesus Manuel; Carrizo, Daniel; Vicente-Retortillo, Alvaro; Goordial, Jacqueline; Whyte, Lyle G.</t>
  </si>
  <si>
    <t>Biosignature Detection and MinION Sequencing of Antarctic Cryptoendoliths After Exposure to Mars Simulation Conditions</t>
  </si>
  <si>
    <t>ASTROBIOLOGY</t>
  </si>
  <si>
    <t>Antarctic cryptoendoliths; Biosignature detection; DNA; Mars</t>
  </si>
  <si>
    <t>ATACAMA DESERT IMPLICATIONS; BACILLUS-SUBTILIS SPORES; MCMURDO DRY VALLEYS; MARTIAN ENVIRONMENTS; HALOPHILIC ARCHAEON; UNIVERSITY VALLEY; LIPID BIOMARKERS; LOW-TEMPERATURE; ORGANIC-MATTER; GALE CRATER</t>
  </si>
  <si>
    <t>In the search for life in our Solar System, Mars remains a promising target based on its proximity and similarity to Earth. When Mars transitioned from a warmer, wetter climate to its current dry and freezing conditions, any putative extant life probably retreated into habitable refugia such as the subsurface or the interior of rocks. Terrestrial cryptoendolithic microorganisms (i.e., those inhabiting rock interiors) thus represent possible modern-day Mars analogs, particularly those from the hyperarid McMurdo Dry Valleys in Antarctica. As DNA is a strong definitive biosignature, given that there is no known abiotic chemistry that can polymerize nucleobases, we investigated DNA detection with MinION sequencing in Antarctic cryptoendoliths after an similar to 58-sol exposure in MARTE, a Mars environmental chamber capable of simulating martian temperature, pressure, humidity, ultraviolet (UV) radiation, and atmospheric composition, in conjunction with protein and lipid detection. The MARTE conditions resulted in changes in community composition and DNA, proteins, and cell membrane-derived lipids remained detectable postexposure. Of the multitude of extreme environmental conditions on Mars, UV radiation (specifically UVC) is the most destructive to both cells and DNA. As such, we further investigated if a UVC exposure corresponding to similar to 278 martian years would impede DNA detection via MinION sequencing. The MinION was able to successfully detect and sequence DNA after this UVC radiation exposure, suggesting its utility for life detection in future astrobiology missions focused on finding relatively recently exposed biomarkers inside possible martian refugia.</t>
  </si>
  <si>
    <t>[Maggiori, Catherine] Georgetown Univ, Dept Biol, Washington, DC USA; [Fernandez-Martinez, Miguel Angel; Bourdages, Louis-Jacques; Whyte, Lyle G.] McGill Univ, Fac Agr &amp; Environm Sci, Dept Nat Resource Sci, Ste Anne De Bellevue, PQ, Canada; [Fernandez-Martinez, Miguel Angel] Univ Autonoma Madrid, Dept Ecol, Ciudad Univ Cantoblanco, Madrid, Spain; [Sanchez-Garcia, Laura; Moreno-Paz, Mercedes; Sobrado, Jesus Manuel; Carrizo, Daniel; Vicente-Retortillo, Alvaro] INTA CSIC, Ctr Astrobiol CAB, Madrid, Spain; [Goordial, Jacqueline] Univ Guelph, Sch Environm Sci, Guelph, ON, Canada; [Maggiori, Catherine] Georgetown Univ, Dept Biol, Washington, DC 20057 USA</t>
  </si>
  <si>
    <t>Georgetown University; McGill University; Autonomous University of Madrid; Consejo Superior de Investigaciones Cientificas (CSIC); CSIC - Centro de Astrobiologia (INTA); University of Guelph; Georgetown University</t>
  </si>
  <si>
    <t>Maggiori, C (corresponding author), Georgetown Univ, Dept Biol, Washington, DC 20057 USA.</t>
  </si>
  <si>
    <t>catherine.maggiori@gmail.com</t>
  </si>
  <si>
    <t>Paz, Mercedes Moreno/F-3517-2015; Sanchez-Garcia, Laura/N-1172-2013; /K-3705-2014; SOBRADO, JESUS MANUEL/K-6759-2013</t>
  </si>
  <si>
    <t>Sanchez-Garcia, Laura/0000-0002-7444-1242; Moreno-Paz, Mercedes/0000-0003-1245-3253; Fernandez-Martinez, Miguel Angel/0000-0003-1694-7832; /0000-0003-1568-4591; SOBRADO, JESUS MANUEL/0000-0002-7359-0262</t>
  </si>
  <si>
    <t>Canadian Space Agency Flights and Fieldwork for the Advancement of Science and Technology (FAST); Natural Sciences and Engineering Research Council of Canada (NSERC) Alexander Graham Bell Canada Graduate Scholarship; Spanish Ministry of Science and Innovation [PID2020-114047GB-100]; Comunidad de Madrid [S2018/NMT-4291]; Spanish Ministry of Universities [CA3/RSUE/2021-00405]; NASA ASTEP program [B-302-M]</t>
  </si>
  <si>
    <t>Canadian Space Agency Flights and Fieldwork for the Advancement of Science and Technology (FAST); Natural Sciences and Engineering Research Council of Canada (NSERC) Alexander Graham Bell Canada Graduate Scholarship(Natural Sciences and Engineering Research Council of Canada (NSERC)); Spanish Ministry of Science and Innovation(Spanish Government); Comunidad de Madrid(Comunidad de Madrid); Spanish Ministry of Universities(Spanish Government); NASA ASTEP program(National Aeronautics &amp; Space Administration (NASA))</t>
  </si>
  <si>
    <t>This work was funded by the Canadian Space Agency Flights and Fieldwork for the Advancement of Science and Technology (FAST), the Natural Sciences and Engineering Research Council of Canada (NSERC) Alexander Graham Bell Canada Graduate Scholarship, the Spanish Ministry of Science and Innovation (MPSL project code: PID2020-114047GB-100), the Comunidad de Madrid Project S2018/NMT-4291 (TEC2SPACE-CM), and the Mara Zambranoexcellence grant program (CA3/RSUE/2021-00405), funded by the Spanish Ministry of Universities. Sampling was supported by the NASA ASTEP program and with field support via NSF/OPP (project B-302-M) for the collection of the cryptoendoliths.</t>
  </si>
  <si>
    <t>MARY ANN LIEBERT, INC</t>
  </si>
  <si>
    <t>NEW ROCHELLE</t>
  </si>
  <si>
    <t>140 HUGUENOT STREET, 3RD FL, NEW ROCHELLE, NY 10801 USA</t>
  </si>
  <si>
    <t>1531-1074</t>
  </si>
  <si>
    <t>1557-8070</t>
  </si>
  <si>
    <t>Astrobiology</t>
  </si>
  <si>
    <t>JAN 1</t>
  </si>
  <si>
    <t>10.1089/ast.2023.0025</t>
  </si>
  <si>
    <t>Astronomy &amp; Astrophysics; Biology; Geosciences, Multidisciplinary</t>
  </si>
  <si>
    <t>Astronomy &amp; Astrophysics; Life Sciences &amp; Biomedicine - Other Topics; Geology</t>
  </si>
  <si>
    <t>GW3A6</t>
  </si>
  <si>
    <t>WOS:001150711200001</t>
  </si>
  <si>
    <t>Roach, LA; Mankoff, KD; Romanou, A; Blanchard-Wrigglesworth, E; Haine, TWN; Schmidt, GA</t>
  </si>
  <si>
    <t>Roach, Lettie A.; Mankoff, Kenneth D.; Romanou, Anastasia; Blanchard-Wrigglesworth, Edward; Haine, Thomas W. N.; Schmidt, Gavin. A.</t>
  </si>
  <si>
    <t>Winds and Meltwater Together Lead to Southern Ocean Surface Cooling and Sea Ice Expansion</t>
  </si>
  <si>
    <t>GEOPHYSICAL RESEARCH LETTERS</t>
  </si>
  <si>
    <t>Southern Ocean; winds; glacial melt; sea ice; climate change; climate models</t>
  </si>
  <si>
    <t>OZONE DEPLETION; MASS-BALANCE; FRESH-WATER; DRIVEN; TEMPERATURE; TRENDS; IMPACTS; MODEL</t>
  </si>
  <si>
    <t>Southern Ocean surface cooling and Antarctic sea ice expansion from 1979 through 2015 have been linked both to changing atmospheric circulation and melting of Antarctica's grounded ice and ice shelves. However, climate models have largely been unable to reproduce this behavior. Here we examine the contribution of observed wind variability and Antarctic meltwater to Southern Ocean sea surface temperature (SST) and Antarctic sea ice. The free-running, CMIP6-class GISS-E2.1-G climate model can simulate regional cooling and neutral sea ice trends due to internal variability, but they are unlikely. Constraining the model to observed winds and meltwater fluxes from 1990 through 2021 gives SST variability and trends consistent with observations. Meltwater and winds contribute a similar amount to the SST trend, and winds contribute more to the sea ice trend than meltwater. However, while the constrained model captures much of the observed sea ice variability, it only partially captures the post-2015 sea ice reduction. While most of the globe has warmed in recent decades, the Southern Ocean around Antarctica cooled at the surface and its sea ice expanded from the beginning of satellite observations in 1979 through 2015. This unexpected behavior has been linked to changes in winds and to the addition of cold, fresh water from the melting of Antarctic's ice sheet and ice shelves. However, the importance of these two potential drivers has been unclear, partly because global climate models have often struggled to reproduce the observed changes. Here, we modify a climate model, constraining it to simulate observed winds and adding in realistic amounts of meltwater. With these changes, the model can simulate changes in SST and sea ice that are similar to observations. Winds and meltwater both play an important role. However, they cannot fully explain the large Antarctic sea ice reductions that were observed after 2015, suggesting that other factors may be at play. We nudge winds to observations and add estimates of observed freshwater from ice sheet and ice shelf melt in a coupled climate modelSouthern Ocean sea surface temperature trends and variability better match observations, with both winds and meltwater being importantThe constrained model simulates strong Antarctic sea ice expansion and only partially captures recent sea ice lows</t>
  </si>
  <si>
    <t>[Roach, Lettie A.] Columbia Univ, Ctr Climate Syst Res, New York, NY 10027 USA; [Roach, Lettie A.; Mankoff, Kenneth D.; Romanou, Anastasia; Schmidt, Gavin. A.] NASA Goddard Inst Space Studies, New York, NY 10025 USA; [Mankoff, Kenneth D.] Auton Integra LLC, New York, NY USA; [Blanchard-Wrigglesworth, Edward] Univ Washington, Dept Atmospher Sci, Seattle, WA USA; [Haine, Thomas W. N.] Johns Hopkins Univ, Earth &amp; Planetary Sci, Baltimore, MD USA</t>
  </si>
  <si>
    <t>Columbia University; National Aeronautics &amp; Space Administration (NASA); NASA Goddard Space Flight Center; Goddard Institute for Space Studies; University of Washington; University of Washington Seattle; Johns Hopkins University</t>
  </si>
  <si>
    <t>Roach, LA (corresponding author), Columbia Univ, Ctr Climate Syst Res, New York, NY 10027 USA.;Roach, LA (corresponding author), NASA Goddard Inst Space Studies, New York, NY 10025 USA.</t>
  </si>
  <si>
    <t>l.roach@columbia.edu</t>
  </si>
  <si>
    <t>Schmidt, Gavin/D-4427-2012; Mankoff, Kenneth/G-1197-2010</t>
  </si>
  <si>
    <t>Schmidt, Gavin/0000-0002-2258-0486; Mankoff, Kenneth/0000-0001-5453-2019; Roach, Lettie/0000-0003-4189-3928; Haine, Thomas/0000-0001-8231-2419</t>
  </si>
  <si>
    <t>Goddard Institute for Space Studies; NASA Modeling Analysis and Prediction program; NASA Center for Climate Simulations (NCCS) [OPP-2213988, OPP-2233016]; National Science Foundation</t>
  </si>
  <si>
    <t>Goddard Institute for Space Studies(National Aeronautics &amp; Space Administration (NASA)); NASA Modeling Analysis and Prediction program(National Aeronautics &amp; Space Administration (NASA)); NASA Center for Climate Simulations (NCCS); National Science Foundation(National Science Foundation (NSF))</t>
  </si>
  <si>
    <t>This work was supported by the NASA Modeling Analysis and Prediction program. High performance computation is supported by the NASA Center for Climate Simulations (NCCS). EB-W was supported by National Science Foundation Grants OPP-2213988 and OPP-2233016. Argo data were collected and made freely available by the International Argo Program, part of the Global Ocean Observing System, and the national programs that contribute to it (, ). We thank Maxwell Elling and Alex Herron for post-processing GISS model output and two anonymous reviewers whose comments helped improve the manuscript.</t>
  </si>
  <si>
    <t>AMER GEOPHYSICAL UNION</t>
  </si>
  <si>
    <t>WASHINGTON</t>
  </si>
  <si>
    <t>2000 FLORIDA AVE NW, WASHINGTON, DC 20009 USA</t>
  </si>
  <si>
    <t>0094-8276</t>
  </si>
  <si>
    <t>1944-8007</t>
  </si>
  <si>
    <t>GEOPHYS RES LETT</t>
  </si>
  <si>
    <t>Geophys. Res. Lett.</t>
  </si>
  <si>
    <t>DEC 28</t>
  </si>
  <si>
    <t>e2023GL105948</t>
  </si>
  <si>
    <t>10.1029/2023GL105948</t>
  </si>
  <si>
    <t>DI9A1</t>
  </si>
  <si>
    <t>WOS:001131509400001</t>
  </si>
  <si>
    <t>Xing, QJ; Klocker, A; Munday, D; Whittaker, J</t>
  </si>
  <si>
    <t>Xing, Qianjiang; Klocker, Andreas; Munday, David; Whittaker, Joanne</t>
  </si>
  <si>
    <t>Deep Convection as the Key to the Transition From Eocene to Modern Antarctic Circumpolar Current</t>
  </si>
  <si>
    <t>surface buoyancy forcing; deep convection; Eocene; ACC</t>
  </si>
  <si>
    <t>SOUTHERN-OCEAN; DRAKE PASSAGE; CIRCULATION; TRANSPORT; SENSITIVITY; GLACIATION; CLIMATE; EDDIES; ONSET</t>
  </si>
  <si>
    <t>From the Eocene (similar to 50 million years ago) to today, Southern Ocean circulation has evolved from the existence of two ocean gyres to the dominance of the Antarctic Circumpolar Current (ACC). It has generally been thought that the opening of Southern Ocean gateways in the late Eocene, in addition to the alignment of westerly winds with these gateways or the presence of the Antarctic ice sheet, was a sufficient requirement for the transition to an ACC of similar strength to its modern equivalent. Nevertheless, models representing these changes produce a much weaker ACC. Here we show, using an eddying ocean model, that the missing ingredient in the transition to a modern ACC is deep convection around the Antarctic continent. This deep convection is caused by cold temperatures and high salinities due to sea-ice production around the Antarctic continent, leading to both the formation of Antarctic Bottom Water and a modern-strength ACC. The evolution of ocean circulation from the early Southern Ocean around 50 million years ago to today has seen much debate over the past decades. The main characteristic of the modern Southern Ocean is the prevalence of the Antarctic Circumpolar Current (ACC), the world's strongest current. In the past it has been thought that the deepening of ocean gateways, and changes in the strength and location of winds, led to an ACC of similar strength to its modern equivalent. Nevertheless, ocean models simulating these changes typically reproduce an ACC with less than a third of the modern ACC's strength. Here we show that the missing ingredient in the transition to a modern ACC is deep convection around the Antarctic continent. Deep convection is due to a combination of cooling and increase in salinity by sea ice formation which allows for water at the ocean surface to become denser than the water below, leading to the mixing of the water column to great depths. This deep convection allows for the ocean to be energized, leading to a modern-strength Antarctic Circumpolar Current. A cool climate around the Antarctic continent is therefore crucial for the development of a modern-strength Antarctic Circumpolar Current. Deep convection is able to drive a strong Antarctic Circumpolar Current (ACC)Surface cooling and sea ice formation are crucial drivers of this deep convectionACC similar to a rim current around convective sites, energizing ocean circulation</t>
  </si>
  <si>
    <t>[Xing, Qianjiang; Whittaker, Joanne] Univ Tasmania, Inst Marine &amp; Antarct Studies, Hobart, Australia; [Klocker, Andreas] NORCE Norwegian Res Ctr, Bjerknes Ctr Climate Res, Bergen, Norway; [Munday, David] British Antarctic Survey, Cambridge, England</t>
  </si>
  <si>
    <t>University of Tasmania; Norwegian Research Centre (NORCE); Bjerknes Centre for Climate Research; UK Research &amp; Innovation (UKRI); Natural Environment Research Council (NERC); NERC British Antarctic Survey</t>
  </si>
  <si>
    <t>Xing, QJ (corresponding author), Univ Tasmania, Inst Marine &amp; Antarct Studies, Hobart, Australia.</t>
  </si>
  <si>
    <t>qianjiang.xing@utas.edu.au</t>
  </si>
  <si>
    <t>Klocker, Andreas/E-4632-2011; Whittaker, Joanne/B-3695-2010; Munday, David/R-1986-2016</t>
  </si>
  <si>
    <t>Whittaker, Joanne/0000-0002-3170-3935; Munday, David/0000-0003-1920-708X</t>
  </si>
  <si>
    <t>Australian Research Council [DP180102280]; Australian Research Council Discovery Project; Australian Government Research Training Program (RTP); Research Council of Norway; Australian Commonwealth Government; Wiley - University of Tasmania agreement via the Council of Australian University Librarians</t>
  </si>
  <si>
    <t>Australian Research Council(Australian Research Council); Australian Research Council Discovery Project(Australian Research Council); Australian Government Research Training Program (RTP); Research Council of Norway(Research Council of Norway); Australian Commonwealth Government(Australian Government); Wiley - University of Tasmania agreement via the Council of Australian University Librarians</t>
  </si>
  <si>
    <t>This research was funded by the Australian Research Council Discovery Project (DP180102280). QX was supported by scholarships from the Australian Government Research Training Program (RTP) and CSIRO-UTAS PhD Program in Quantitative Marine Science (QMS). Andreas Klocker is supported by the Research Council of Norway through project KeyPOCP (Studies of Key Polar Ocean and Climate Processes with high resolution coupled climate models). This research was undertaken on the National Computational Infrastructure (NCI) in Canberra, Australia, which is supported by the Australian Commonwealth Government. We are grateful to three anonymous reviewers for their valuable comments that improved the manuscript. We are also grateful to the editor Kris Karnauskas for help and guidance. Open access publishing facilitated by University of Tasmania, as part of the Wiley - University of Tasmania agreement via the Council of Australian University Librarians.</t>
  </si>
  <si>
    <t>e2023GL104847</t>
  </si>
  <si>
    <t>10.1029/2023GL104847</t>
  </si>
  <si>
    <t>CS5K0</t>
  </si>
  <si>
    <t>Green Submitted, hybrid, Green Accepted</t>
  </si>
  <si>
    <t>WOS:001127240800001</t>
  </si>
  <si>
    <t>Teoh, CP; González-Aravena, M; Lavin, P; Wong, CMVL</t>
  </si>
  <si>
    <t>Teoh, Chui Peng; Gonzalez-Aravena, Marcelo; Lavin, Paris; Wong, Clemente Michael Vui Ling</t>
  </si>
  <si>
    <t>Cold adaptation and response genes of Antarctic Cryobacterium sp. SO2 from the Fildes Peninsula, King George Island</t>
  </si>
  <si>
    <t>POLAR BIOLOGY</t>
  </si>
  <si>
    <t>Cryobacterium spp.; RSCU bias; Comparative genomic; Carbohydrate metabolism; Stress responses</t>
  </si>
  <si>
    <t>HEAT-SHOCK RESPONSE; PSYCHROTOLERANT BACTERIUM; ESCHERICHIA-COLI; OXIDATIVE STRESS; SP-NOV; GENOME; METAGENOME; PROTEINS; CELLS</t>
  </si>
  <si>
    <t>Cryobacterium spp. are Gram-positive bacteria that inhabit diverse geographical locations, particularly extremely cold environments like the Polar Regions. However, strategies that enable them to survive in harsh Antarctic environments are not fully understood. In this study, we conducted a comparative genomic analysis of the Antarctic Cryobacterium sp. SO2 as well as other members of the Cryobacterium genus. Phylogenetic analysis revealed that strain SO2 formed a distinct cluster with the validly described species: C. adonitolivorans, C. actose, C. soli, C. arcticum, and C. zongtaii. Comparative analysis based on ANI and AAI indicated that strain SO2 is a novel species. Relative Synonymous Codon Usage (RSCU) of Cryobacterium species exhibits a bias towards codon ending with G/C. The genomes of all strains harbored numerous genes associated with environmental-associated stress responses, including oxidative stress response, general stress response, heat-stress response, cold-stress response, cell envelope alteration, and osmotic stress response. Strain SO2 and related strains possess genes involved in breaking down and utilization of both plant and animal carbohydrate-containing materials. KEGG annotation indicated that strain SO2 and related species shared almost the same genes for the metabolism of trehalose (TreS, partial TPS/TPP, and TreY-TreZ pathway) and glycogen (classical and non-classical pathway). The results from this work helped us to better understand the genomic characteristics of Cryobacterium spp. in terms of genomic diversity and adaptation strategies, which may have significant implications for biotechnology and climate change research.</t>
  </si>
  <si>
    <t>[Teoh, Chui Peng; Wong, Clemente Michael Vui Ling] Univ Malaysia Sabah, Biotechnol Res Inst, Jalan UMS, Kota Kinabalu 88400, Sabah, Malaysia; [Gonzalez-Aravena, Marcelo] Inst Antartico Chileno, Plaza Munoz Gamero 1055, Punta Arenas, Chile; [Lavin, Paris] Univ Antofagasta, Fac Ciencias, Dept Biotecnol, Mar &amp; Recursos Biologicos601 Ave Angamos, Antofagasta 1270300, Chile</t>
  </si>
  <si>
    <t>Universiti Malaysia Sabah; Universidad de Antofagasta</t>
  </si>
  <si>
    <t>Wong, CMVL (corresponding author), Univ Malaysia Sabah, Biotechnol Res Inst, Jalan UMS, Kota Kinabalu 88400, Sabah, Malaysia.</t>
  </si>
  <si>
    <t>michaelw@ums.edu.my</t>
  </si>
  <si>
    <t>Teoh, Chui Peng/AAM-9640-2021</t>
  </si>
  <si>
    <t>Teoh, Chui Peng/0000-0003-1261-4600; Lavin, Paris/0000-0002-8893-526X</t>
  </si>
  <si>
    <t>Ministry of Science, Technology, and Innovation (MOSTI), Malaysia [FP1213E36]; Ministry of Science, Technology, and Innovation (MOSTI), Malaysia under the Antarctic Flagship Project</t>
  </si>
  <si>
    <t>Ministry of Science, Technology, and Innovation (MOSTI), Malaysia(Ministry of Energy, Science, Technology, Environment and Climate Change (MESTECC), Malaysia); Ministry of Science, Technology, and Innovation (MOSTI), Malaysia under the Antarctic Flagship Project</t>
  </si>
  <si>
    <t>The research work described in this paper was supported by Funding from the Ministry of Science, Technology, and Innovation (MOSTI), Malaysia under the Antarctic Flagship Project (FP1213E36).</t>
  </si>
  <si>
    <t>0722-4060</t>
  </si>
  <si>
    <t>1432-2056</t>
  </si>
  <si>
    <t>POLAR BIOL</t>
  </si>
  <si>
    <t>Polar Biol.</t>
  </si>
  <si>
    <t>10.1007/s00300-023-03213-w</t>
  </si>
  <si>
    <t>Biodiversity Conservation; Ecology</t>
  </si>
  <si>
    <t>JY7N1</t>
  </si>
  <si>
    <t>WOS:001132586200001</t>
  </si>
  <si>
    <t>Coyle, SE; Baker, JBH; Chakraborty, S; Hartinger, MD; Freeman, MP; Clauer, CR; Xu, Z; Weimer, DR</t>
  </si>
  <si>
    <t>Coyle, S. E.; Baker, J. B. H.; Chakraborty, S.; Hartinger, M. D.; Freeman, M. P.; Clauer, C. R.; Xu, Z.; Weimer, D. R.</t>
  </si>
  <si>
    <t>Substorms and Solar Eclipses: A Mutual Information Based Study</t>
  </si>
  <si>
    <t>solar eclipse; substorm; mutual information; conductivity</t>
  </si>
  <si>
    <t>NORTHWARD TURNINGS; ONSET; TIME; IMF</t>
  </si>
  <si>
    <t>Solar eclipses present a rare glimpse into the impact of ionospheric electrodynamics on the magnetosphere independent of other well studied seasonal influences. Despite decades of study, we still do not have a complete description of the conditions for geomagnetic substorm onset. We present herein a mutual information based study of previously published substorm onsets and the past two decades of eclipses which indicates the likelihood of co-occurrence is greater than random chance. A plausible interpretation for this relation suggests that the abrupt fluctuations in ionospheric conductivity during an eclipse may influence the magnetospheric preconditions of substorm initiation. While the mechanism remains unclear, this study presents strong evidence of a link between substorm onset and solar eclipses. Geomagnetic substorms are a long-studied phenomenon with significant potential for impact on human infrastructure and activities. Despite decades of research, a comprehensive description of what causes these violent eruptions of space plasma near earth has yet to be agreed upon. Although their evolution is well documented, the precise conditions required for substorms to manifest appear to be more complex than previously understood. We present evidence in this manuscript of a mutual dependence between solar eclipses and substorms, which suggests that changes to the upper atmosphere like those occurring during an eclipse may influence substorm development. In a given 2 hr window between 2001 and 2021, a substorm occurs roughly 40% of the time, increasing to 67% during windows including an eclipseConditional Point-wise Mutual Information analysis suggests the probability of eclipse-substorm co-occurrence is higher than random chanceThe mutual dependence between eclipses and substorms is likely the result of ionospheric conductivity feedback into the magnetosphere</t>
  </si>
  <si>
    <t>[Coyle, S. E.; Baker, J. B. H.; Chakraborty, S.; Clauer, C. R.; Xu, Z.; Weimer, D. R.] Virginia Tech, Blacksburg, VA 24061 USA; [Hartinger, M. D.] Space Sci Inst, Boulder, CO USA; [Freeman, M. P.] British Antarctic Survey, Cambridge, England; [Clauer, C. R.; Xu, Z.; Weimer, D. R.] Natl Inst Aerosp, Hampton, VA USA</t>
  </si>
  <si>
    <t>Virginia Polytechnic Institute &amp; State University; UK Research &amp; Innovation (UKRI); Natural Environment Research Council (NERC); NERC British Antarctic Survey; National Institute for Aerospace</t>
  </si>
  <si>
    <t>Coyle, SE (corresponding author), Virginia Tech, Blacksburg, VA 24061 USA.</t>
  </si>
  <si>
    <t>shanec1@vt.edu</t>
  </si>
  <si>
    <t>Hartinger, Michael/H-9088-2012</t>
  </si>
  <si>
    <t>Baker, Joseph/0000-0001-6255-3039; Chakraborty, Shibaji/0000-0001-6792-0037</t>
  </si>
  <si>
    <t>National Science Foundation; Virginia Tech ECE Bradley Department [2027168]; NSF; National Science Foundation (NSF) [AGS-1935110, 80NSSC20K1380]; National Aeronautics and Space Administration</t>
  </si>
  <si>
    <t>National Science Foundation(National Science Foundation (NSF)); Virginia Tech ECE Bradley Department; NSF(National Science Foundation (NSF)); National Science Foundation (NSF)(National Science Foundation (NSF)); National Aeronautics and Space Administration(National Aeronautics &amp; Space Administration (NASA))</t>
  </si>
  <si>
    <t>S.E. Coyle was supported by the Virginia Tech ECE Bradley Department as well as NSF Grants 1744828, and 2027168. C.R. Clauer was supported by NSF Grants 1744828 and 2027168. M.D. Hartinger was supported by NSF Grant AGS-2027210. J.B. Baker was supported by NSF Grant 2027168. SC thanks the National Science Foundation (NSF) and the National Aeronautics and Space Administration for support under Grants AGS-1935110 and 80NSSC20K1380, respectively.</t>
  </si>
  <si>
    <t>e2023GL106432</t>
  </si>
  <si>
    <t>10.1029/2023GL106432</t>
  </si>
  <si>
    <t>DD4F5</t>
  </si>
  <si>
    <t>WOS:001130073600001</t>
  </si>
  <si>
    <t>Huneke, WGC; Hobbs, WR; Klocker, A; Naughten, KA</t>
  </si>
  <si>
    <t>Huneke, Wilma G. C.; Hobbs, William R.; Klocker, Andreas; Naughten, Kaitlin A.</t>
  </si>
  <si>
    <t>Dynamic Response to Ice Shelf Basal Meltwater Relevant to Explain Observed Sea Ice Trends Near the Antarctic Continental Shelf</t>
  </si>
  <si>
    <t>Antarctic sea ice; Antarctic melt water; Antarctic slope current; ocean-sea ice model</t>
  </si>
  <si>
    <t>FRESH-WATER; SOUTHERN-OCEAN; WEST ANTARCTICA; SLOPE CURRENT; AMUNDSEN; DRIVEN; VARIABILITY; CIRCULATION; CLIMATE; MODEL</t>
  </si>
  <si>
    <t>Observed Antarctic sea ice trends up to 2015 have a distinct regional and seasonal pattern, with a loss during austral summer and autumn in the Bellingshausen and Amundsen Seas, and a year-round increase in the Ross Sea. Global climate models generally failed to reproduce the magnitude of sea ice trends implying that the models miss relevant mechanisms. One possible mechanism is basal meltwater, which is generally not included in the current generation of climate models. Previous work on the effects of meltwater on sea ice has focused on thermodynamic processes. However, local freshening also leads to dynamic changes, affecting ocean currents through geostrophic balance. Using a coupled ocean/sea-ice/ice-shelf model, we demonstrate that basal melting can intensify coastal currents in West Antarctica and the westward transport of sea ice. This change in transport results in sea ice anomalies consistent with observations, and may explain the disparity between climate models and observations. Observed sea ice trends around Antarctica vary throughout the year and from region to region. In particular, there was a sea ice loss in summer in West Antarctica and year-round increase in the Ross Sea up to 2015. Global climate models are not able to reproduce these sea ice trends which is a hint that climate models are missing some important mechanisms in the region. One mechanism that is not included in most climate models is meltwater from the base of floating ice shelves and which spreads into the ocean. Basal meltwater can create a situation where there is less dense water near the ice shelves next to denser waters offshore. Such a lateral density gradient will result in faster ocean flows that redistribute existing sea ice. In this study, we use an ocean model that includes ice shelves as well as sea ice and show that this mechanism can create sea ice anomalies that match the observed trends in West Antarctica and the Ross Sea. Our results suggest that including basal meltwater and its effect on the ocean flow in global climate models is important to reproduce observed sea ice trends. An ocean/sea-ice/ice-shelf model reveals intensified basal meltwater provokes dynamic changes in ocean currents and sea ice distributionThe change in transport results in sea ice anomalies consistent with observations near the West Antarctic and Ross Sea coast before 2016Basal meltwater is generally not included in climate models which might explain why the models fail to reproduce the observed sea ice trend</t>
  </si>
  <si>
    <t>[Huneke, Wilma G. C.] Australian Natl Univ, Res Sch Earth Sci, Canberra, ACT, Australia; [Huneke, Wilma G. C.] Australian Natl Univ, ARC Ctr Excellence Climate Extremes, Canberra, ACT, Australia; [Hobbs, William R.] Univ Tasmania, Australian Antarctic Program Partnership, Inst Marine &amp; Antarctic Studies, Hobart, Tas, Australia; [Klocker, Andreas] NORCE Norwegian Res Ctr, Bjerknes Ctr Climate Res, Bergen, Norway; [Naughten, Kaitlin A.] British Antarctic Survey, Cambridge, England</t>
  </si>
  <si>
    <t>Australian National University; Australian National University; University of Tasmania; Norwegian Research Centre (NORCE); Bjerknes Centre for Climate Research; UK Research &amp; Innovation (UKRI); Natural Environment Research Council (NERC); NERC British Antarctic Survey</t>
  </si>
  <si>
    <t>Huneke, WGC (corresponding author), Australian Natl Univ, Res Sch Earth Sci, Canberra, ACT, Australia.</t>
  </si>
  <si>
    <t>wilma.huneke@anu.edu.au</t>
  </si>
  <si>
    <t>Klocker, Andreas/E-4632-2011; Hobbs, Will/G-5116-2014</t>
  </si>
  <si>
    <t>Hobbs, Will/0000-0002-2061-0899</t>
  </si>
  <si>
    <t>Australian Research Council's Special Research Initiative for Antarctic Gateway Partnership; Centre of Excellence for Climate Extremes [CE170100023]; Australian Government as part of the Antarctic Science Collaboration Initiative program; Research Council of Norway - Natural Environment Research Council, UK; Australian Commonwealth Government; Australian National University, as part of the Wiley - Australian National University agreement via the Council of Australian University Librarians; [SR140300001]</t>
  </si>
  <si>
    <t>Australian Research Council's Special Research Initiative for Antarctic Gateway Partnership(Australian Research Council); Centre of Excellence for Climate Extremes; Australian Government as part of the Antarctic Science Collaboration Initiative program(Australian Government); Research Council of Norway - Natural Environment Research Council, UK; Australian Commonwealth Government(Australian Government); Australian National University, as part of the Wiley - Australian National University agreement via the Council of Australian University Librarians;</t>
  </si>
  <si>
    <t>This research was supported under the Australian Research Council's Special Research Initiative for Antarctic Gateway Partnership (SR140300001) and the Centre of Excellence for Climate Extremes (CE170100023). Will Hobbs is supported by grant funding from the Australian Government as part of the Antarctic Science Collaboration Initiative program. Andreas Klocker is supported by the Research Council of Norway through project KeyPOCP (Studies of Key Polar Ocean and Climate Processes with high resolution coupled climate models). Kaitlin Naughten's involvement was supported by the Drivers and Effects of Fluctuations in sea Ice in the ANTarctic (DEFIANT) project funded by the Natural Environment Research Council, UK. This research was undertaken on the National Computational Infrastructure (NCI) in Canberra, Australia, which is supported by the Australian Commonwealth Government. Open access publishing facilitated by Australian National University, as part of the Wiley - Australian National University agreement via the Council of Australian University Librarians.</t>
  </si>
  <si>
    <t>e2023GL105435</t>
  </si>
  <si>
    <t>10.1029/2023GL105435</t>
  </si>
  <si>
    <t>CN4Z9</t>
  </si>
  <si>
    <t>WOS:001125928700001</t>
  </si>
  <si>
    <t>Chen, JJ; Swart, NC; Beadling, R; Cheng, XH; Hattermann, T; Jüling, A; Li, Q; Marshall, J; Martin, T; Muilwijk, M; Pauling, AG; Purich, A; Smith, IJ; Thomas, M</t>
  </si>
  <si>
    <t>Chen, Jia-Jia; Swart, Neil C.; Beadling, Rebecca; Cheng, Xuhua; Hattermann, Tore; Juling, Andre; Li, Qian; Marshall, John; Martin, Torge; Muilwijk, Morven; Pauling, Andrew G.; Purich, Ariaan; Smith, Inga J.; Thomas, Max</t>
  </si>
  <si>
    <t>Reduced Deep Convection and Bottom Water Formation Due To Antarctic Meltwater in a Multi-Model Ensemble</t>
  </si>
  <si>
    <t>Antarctic meltwater additions; Southern Ocean; Antarctic bottom water; deep convection; climate models</t>
  </si>
  <si>
    <t>SEA-LEVEL RISE; EARTH SYSTEM MODEL; SOUTHERN-OCEAN; ICE SHELVES; FRESH-WATER; GLOBAL HEAT; ABYSSAL; SLOWDOWN; POLYNYAS</t>
  </si>
  <si>
    <t>The additional water from the Antarctic ice sheet and ice shelves due to climate-induced melt can impact ocean circulation and global climate. However, the major processes driving melt are not adequately represented in Coupled Model Intercomparison Project phase 6 (CMIP6) models. Here, we analyze a novel multi-model ensemble of CMIP6 models with consistent meltwater addition to examine the robustness of the modeled response to meltwater, which has not been possible in previous single-model studies. Antarctic meltwater addition induces a substantial weakening of open-ocean deep convection. Additionally, Antarctic Bottom Water warms, its volume contracts, and the sea surface cools. However, the magnitude of the reduction varies greatly across models, with differing anomalies correlated with their respective mean-state climatology, indicating the state-dependency of the climate response to meltwater. A better representation of the Southern Ocean mean state is necessary for narrowing the inter-model spread of response to Antarctic meltwater. The melting of the Antarctic ice sheet and ice shelves can have significant impacts on ocean circulation and thermal structure, but current climate models do not fully capture these effects. In this study, we analyze seven climate models to understand how they respond to the addition of meltwater from Antarctica. We find that the presence of Antarctic meltwater leads to a significant weakening of deep convection in the open ocean. The meltwater also causes Antarctic Bottom Water to warm and its volume to decrease, while the sea surface cools and sea ice expands. However, the magnitude of the response to meltwater varies across models, suggesting that the mean-state conditions of the Southern Ocean play a role. A better representation of the mean state and the inclusion of Antarctic meltwater in climate models will help reduce uncertainties and improve our understanding of the impact of Antarctic meltwater on climate. Antarctic meltwater substantially reduces the strength of simulated Southern Ocean deep convection in climate modelsThe additional meltwater induces Antarctic Bottom Water warming and contraction, with dense water classes converting to lighter onesDifferences in the magnitude of these responses between models can be partly attributed to their different base states</t>
  </si>
  <si>
    <t>[Chen, Jia-Jia; Cheng, Xuhua] Hohai Univ, Coll Oceanog, Nanjing, Peoples R China; [Chen, Jia-Jia] Univ Victoria, Victoria, BC, Canada; [Swart, Neil C.] Canadian Ctr Climate Modelling &amp; Anal, Environm &amp; Climate Change Canada, Victoria, BC, Canada; [Beadling, Rebecca] Temple Univ, Earth &amp; Environm Sci Dept, Philadelphia, PA USA; [Hattermann, Tore; Muilwijk, Morven] Norwegian Polar Res Inst, Fram Ctr, Tromso, Norway; [Juling, Andre] Royal Netherlands Meteorol Inst KNMI, De Bilt, Netherlands; [Li, Qian; Marshall, John] MIT, Dept Earth Atmospher &amp; Planetary Sci, Cambridge, MA USA; [Marshall, John] NASA Goddard Inst Space Studies, New York, NY USA; [Martin, Torge] GEOMAR Helmholtz Ctr Ocean Res Kiel, Kiel, Germany; [Pauling, Andrew G.; Smith, Inga J.; Thomas, Max] Univ Otago, Dept Phys, Dunedin, New Zealand; [Purich, Ariaan] Monash Univ, Sch Earth Atmosphere &amp; Environm, ARC Special Res Initiat Securing Antarct Environm, Melbourne, Australia</t>
  </si>
  <si>
    <t>Hohai University; University of Victoria; Environment &amp; Climate Change Canada; Canadian Centre for Climate Modelling &amp; Analysis (CCCma); Pennsylvania Commonwealth System of Higher Education (PCSHE); Temple University; Norwegian Polar Institute; Royal Netherlands Meteorological Institute; Massachusetts Institute of Technology (MIT); National Aeronautics &amp; Space Administration (NASA); NASA Goddard Space Flight Center; Goddard Institute for Space Studies; Helmholtz Association; GEOMAR Helmholtz Center for Ocean Research Kiel; University of Otago; Monash University</t>
  </si>
  <si>
    <t>Chen, JJ (corresponding author), Hohai Univ, Coll Oceanog, Nanjing, Peoples R China.;Chen, JJ (corresponding author), Univ Victoria, Victoria, BC, Canada.</t>
  </si>
  <si>
    <t>jiajiachen@hhu.edu.cn</t>
  </si>
  <si>
    <t>Cheng, Xuhua/AAQ-6124-2020; CHEN, JIAJIA/GVS-7030-2022; Swart, Neil/E-8794-2012</t>
  </si>
  <si>
    <t>Cheng, Xuhua/0000-0001-6815-1970; CHEN, JIAJIA/0000-0002-5438-0606; Juling, Andre/0000-0003-2554-9641; Martin, Torge/0000-0002-0882-8780; Swart, Neil/0000-0002-8200-6187; Muilwijk, Morven/0000-0001-9101-6646</t>
  </si>
  <si>
    <t>National Natural Science Foundation of China [41876002]; Natural Science Foundation of China [101003826, 19-MAP19-0011]; Natural Science Foundation of China [41876002]; European Union [101003826]; NASA MAP program [19-MAP19-0011]; MIT-GISS cooperative agreement; Deep South National Science Challenge [MBIE C01X1412]; Antarctic Science Platform (University of Otago) [19424]; Antarctica New Zealand through MBIE SSIF Programmes Investment [ANTA1801]; Australian Research Council Special Research Initiative for Securing Antarctica's Environmental Future [SR200100005]</t>
  </si>
  <si>
    <t>National Natural Science Foundation of China(National Natural Science Foundation of China (NSFC)); Natural Science Foundation of China(National Natural Science Foundation of China (NSFC)); Natural Science Foundation of China(National Natural Science Foundation of China (NSFC)); European Union(European Union (EU)); NASA MAP program(National Aeronautics &amp; Space Administration (NASA)); MIT-GISS cooperative agreement; Deep South National Science Challenge; Antarctic Science Platform (University of Otago); Antarctica New Zealand through MBIE SSIF Programmes Investment; Australian Research Council Special Research Initiative for Securing Antarctica's Environmental Future(Australian Research Council)</t>
  </si>
  <si>
    <t>JJC and XHC acknowledge the support from the Natural Science Foundation of China (nos. 41876002). MM and TH were supported by funding from the European Union's Horizon 2020 research and innovation programme under grant agreement No 101003826 via project CRiceS. QL and JM were supported by the NASA MAP program 19-MAP19-0011 and the MIT-GISS cooperative agreement. The model simulations and analysis were conducted on the NASA High-End Computing (HEC) Program through the NASA Center for Climate Simulation (NCCS) at Goddard Space Flight Center. MT, AGP, and IJS were supported by the Deep South National Science Challenge (MBIE C01X1412) and the Antarctic Science Platform (University of Otago subcontract 19424 from VUW's ASP Project 4 contract with Antarctica New Zealand through MBIE SSIF Programmes Investment ANTA1801), and acknowledge use of high performance computing facilities, consulting support, and training services from New Zealand eScience Infrastructure (NeSI: funded by collaborator institutions and through MBIE's Research Infrastructure programme). AP was supported by the Australian Research Council Special Research Initiative for Securing Antarctica's Environmental Future (SR200100005).</t>
  </si>
  <si>
    <t>e2023GL106492</t>
  </si>
  <si>
    <t>10.1029/2023GL106492</t>
  </si>
  <si>
    <t>CS1I1</t>
  </si>
  <si>
    <t>WOS:001127134900001</t>
  </si>
  <si>
    <t>Li, X; Tan, ZH; Zheng, YT; Bushuk, M; Donner, LJ</t>
  </si>
  <si>
    <t>Li, Xia; Tan, Zhihong; Zheng, Youtong; Bushuk, Mitchell; Donner, Leo J.</t>
  </si>
  <si>
    <t>Open Water in Sea Ice Causes High Bias in Polar Low-Level Clouds in GFDL CM4</t>
  </si>
  <si>
    <t>MIXED-PHASE CLOUDS; REGIONAL CLIMATE MODELS; ARCTIC CLOUD; GLOBAL ATMOSPHERE; RESOLVING SIMULATIONS; STRATIFORM CLOUDS; HEAT-TRANSFER; LEADS; RADIATION; SENSITIVITY</t>
  </si>
  <si>
    <t>Global climate models (GCMs) struggle to simulate polar clouds, especially low-level clouds that contain supercooled liquid and closely interact with both the underlying surface and large-scale atmosphere. Here we focus on GFDL's latest coupled GCM-CM4-and find that polar low-level clouds are biased high compared to observations. The CM4 bias is largely due to moisture fluxes that occur within partially ice-covered grid cells, which enhance low cloud formation in non-summer seasons. In simulations where these fluxes are suppressed, it is found that open water with an areal fraction less than 5% dominates the formation of low-level clouds and contributes to more than 50% of the total low-level cloud response to open water within sea ice. These findings emphasize the importance of accurately modeling open water processes (e.g., sea ice lead-atmosphere interactions) in the polar regions in GCMs. Extensive low-level clouds have been observed to occur over the Arctic and Antarctic regions throughout the year. These low clouds often contain both liquid droplets and ice crystals and have spatial scales smaller than climate model grid spacing, which causes models to struggle with simulating polar cloudiness. Here we focus on a state-of-the-art climate model, Geophysical Fluid Dynamics Laboratory Climate Model version 4, and investigate the modeled polar low-level clouds with a focus on the basin-scale spatial pattern and their seasonal variability. Compared to satellite observations, we find that excessive low-level clouds are produced over the region covered by sea ice, especially during the winter. This overestimation of low clouds is caused by the open water within sea ice that enhances the turbulent transport of water vapor from open water to the atmosphere during non-summer seasons, leading to the formation of low clouds. These findings indicate that the treatment of open water within sea ice regions is a highly challenging aspect of polar cloud modeling, which has a great impact on polar climate simulation and prediction. Polar low-level clouds are biased high in GFDL's coupled model CM4Polar low-level clouds are strongly enhanced due to open water within the ice pack during non-summer seasonsOpen water with an areal fraction less than 5% makes the largest contribution to the high bias in low-level clouds</t>
  </si>
  <si>
    <t>[Li, Xia; Tan, Zhihong; Zheng, Youtong] Princeton Univ, Atmospher &amp; Ocean Sci Program, Princeton, NJ 08544 USA; [Zheng, Youtong] Univ Houston, Dept Earth &amp; Atmospher Sci, Houston, TX USA; [Bushuk, Mitchell; Donner, Leo J.] NOAA, Geophys Fluid Lab, Princeton, NJ USA</t>
  </si>
  <si>
    <t>National Oceanic Atmospheric Admin (NOAA) - USA; Princeton University; University of Houston System; University of Houston; National Oceanic Atmospheric Admin (NOAA) - USA</t>
  </si>
  <si>
    <t>Li, X (corresponding author), Princeton Univ, Atmospher &amp; Ocean Sci Program, Princeton, NJ 08544 USA.</t>
  </si>
  <si>
    <t>xl8048@princeton.edu</t>
  </si>
  <si>
    <t>Keyes, Dennis/AAZ-9285-2021; Tan, Zhihong/I-5200-2019; Bushuk, Mitch/L-7032-2015</t>
  </si>
  <si>
    <t>Tan, Zhihong/0000-0002-7422-3317; Bushuk, Mitch/0000-0002-0063-1465; LI, XIA/0000-0003-0610-6976</t>
  </si>
  <si>
    <t>Postdoctoral Research Scientist Program at Princeton University (Atmospheric and Oceanic Sciences/Cooperative Institute for Modeling the Earth System); [NA18OAR4320123]; [NA23OAR4320198]</t>
  </si>
  <si>
    <t>Postdoctoral Research Scientist Program at Princeton University (Atmospheric and Oceanic Sciences/Cooperative Institute for Modeling the Earth System); ;</t>
  </si>
  <si>
    <t>X. Li is funded by the Postdoctoral Research Scientist Program at Princeton University (Atmospheric and Oceanic Sciences/Cooperative Institute for Modeling the Earth System), under awards NA18OAR4320123 and NA23OAR4320198. The authors thank Isaac Held and Nadir Jeevanjee for valuable feedback on an early version of the manuscript, and two anonymous reviewers for constructive comments. The authors also thank the GFDL CM4 team for their efforts to make the historical run available and easy to analyze. All the AM4 simulations are run on the NOAA RDHPCS and GFDL HPC team is acknowledged for their efficient technical assistance. The statements, findings, conclusions, and recommendations are those of the author(s) and do not necessarily reflect the views of the National Oceanic and Atmospheric Administration, or the U.S. Department of Commerce.</t>
  </si>
  <si>
    <t>e2023GL106322</t>
  </si>
  <si>
    <t>10.1029/2023GL106322</t>
  </si>
  <si>
    <t>AZ6T9</t>
  </si>
  <si>
    <t>WOS:001122314300001</t>
  </si>
  <si>
    <t>Schmidt, GA; Romanou, A; Roach, LA; Mankoff, KD; Li, Q; Rye, CD; Kelley, M; Marshall, JC; Busecke, JJM</t>
  </si>
  <si>
    <t>Schmidt, Gavin. A.; Romanou, Anastasia; Roach, Lettie A.; Mankoff, Kenneth D.; Li, Qian; Rye, Craig D.; Kelley, Maxwell; Marshall, John C.; Busecke, Julius J. M.</t>
  </si>
  <si>
    <t>Anomalous Meltwater From Ice Sheets and Ice Shelves Is a Historical Forcing</t>
  </si>
  <si>
    <t>ANTARCTIC SEA-ICE; SURFACE MASS-BALANCE; SOUTHERN-OCEAN; NORTH-ATLANTIC; FRESH-WATER; LEVEL RISE; CLIMATE; TEMPERATURE; SIMULATIONS; DRIVEN</t>
  </si>
  <si>
    <t>Recent mass loss from ice sheets and ice shelves is now persistent and prolonged enough that it impacts downstream oceanographic conditions. To demonstrate this, we use an ensemble of coupled GISS-E2.1-G simulations forced with historical estimates of anomalous freshwater, in addition to other climate forcings, from 1990 through 2019. There are detectable differences in zonal-mean sea surface temperatures (SST) and sea ice in the Southern Ocean, and in regional sea level around Antarctica and in the western North Atlantic. These impacts mostly improve the model's representation of historical changes, including reversing the forced trends in Antarctic sea ice. The changes in SST may have implications for estimates of the SST pattern effect on climate sensitivity and for cloud feedbacks. We conclude that the changes are sufficiently large that model groups should strive to include more accurate estimates of these drivers in all-forcing historical simulations in future coupled model intercomparisons. Simulations of recent historical periods are a key test of climate model reliability and skill. These model simulations require an accounting of all the drivers of climate change. We show that the impact of historical changes in freshwater fluxes from ice sheets and ice shelves on the ocean (through changes in salinity and stratification) are detectable in sea surface temperature and sea ice trends, and help improve the match between the modeled climate changes and observations. We recommend that more accurate estimates of these drivers be included in all climate simulations that do not explicitly model ice sheets and ice shelves. The response to anomalous meltwater from ice sheets and shelves is large enough for it to be a forcing in historical climate simulationsWhen the GISS model includes these drivers, Southern Ocean SST and sea ice trends better match observationsSteric and dynamic impacts on regional sea level in parts of the North Atlantic and coastal Antarctica are significant</t>
  </si>
  <si>
    <t>[Schmidt, Gavin. A.; Romanou, Anastasia; Roach, Lettie A.; Mankoff, Kenneth D.; Rye, Craig D.; Kelley, Maxwell] NASA, Goddard Inst Space Studies, New York, NY 10025 USA; [Roach, Lettie A.; Rye, Craig D.] Columbia Univ, Ctr Climate Syst Res, New York, NY USA; [Mankoff, Kenneth D.] Auton Integra LLC, New York, NY USA; [Li, Qian; Marshall, John C.] MIT, Cambridge, MA USA; [Busecke, Julius J. M.] Columbia Univ, Lamont Doherty Earth Observ, Palisades, NY USA</t>
  </si>
  <si>
    <t>National Aeronautics &amp; Space Administration (NASA); NASA Goddard Space Flight Center; Goddard Institute for Space Studies; Columbia University; Massachusetts Institute of Technology (MIT); Columbia University</t>
  </si>
  <si>
    <t>Schmidt, GA (corresponding author), NASA, Goddard Inst Space Studies, New York, NY 10025 USA.</t>
  </si>
  <si>
    <t>gavin.a.schmidt@nasa.gov</t>
  </si>
  <si>
    <t>; Mankoff, Kenneth/G-1197-2010; Schmidt, Gavin/D-4427-2012</t>
  </si>
  <si>
    <t>Roach, Lettie/0000-0003-4189-3928; Mankoff, Kenneth/0000-0001-5453-2019; Schmidt, Gavin/0000-0002-2258-0486</t>
  </si>
  <si>
    <t>NASA MAP; NASA Modeling Analysis and Prediction program [MIT-GISS]; NASA Center for Climate Simulations (NCCS); NASA MAP program; Earth System Grid Federation [2019625]; NSF Science and Technology Center (STC) Learning the Earth with Artificial intelligence and Physics (LEAP)</t>
  </si>
  <si>
    <t>NASA MAP(National Aeronautics &amp; Space Administration (NASA)); NASA Modeling Analysis and Prediction program(National Aeronautics &amp; Space Administration (NASA)); NASA Center for Climate Simulations (NCCS); NASA MAP program(National Aeronautics &amp; Space Administration (NASA)); Earth System Grid Federation; NSF Science and Technology Center (STC) Learning the Earth with Artificial intelligence and Physics (LEAP)</t>
  </si>
  <si>
    <t>Climate modeling at GISS is supported by the NASA Modeling Analysis and Prediction program and high performance computational support is from the NASA Center for Climate Simulations (NCCS). QL and JM would like to acknowledge support from the MIT-GISS collaborative agreement and the NASA MAP program. We acknowledge the World Climate Research Programme, which, through its Working Group on Coupled Modelling, coordinated and promoted CMIP6. We thank the climate modeling groups for producing and making available their model output, the Earth System Grid Federation (ESGF) for archiving the data and providing access, and the multiple funding agencies who support CMIP6 and ESGF. We acknowledge the computing and storage resources provided by the NSF Science and Technology Center (STC) Learning the Earth with Artificial intelligence and Physics (LEAP) (Award 2019625).</t>
  </si>
  <si>
    <t>e2023GL106530</t>
  </si>
  <si>
    <t>10.1029/2023GL106530</t>
  </si>
  <si>
    <t>CD3P0</t>
  </si>
  <si>
    <t>hybrid, Green Submitted</t>
  </si>
  <si>
    <t>WOS:001123275500001</t>
  </si>
  <si>
    <t>Grüss, A; Pinkerton, MH; Mormede, S; Devine, JA</t>
  </si>
  <si>
    <t>Gruss, Arnaud; Pinkerton, Matthew H.; Mormede, Sophie; Devine, Jennifer A.</t>
  </si>
  <si>
    <t>Evaluating the impacts of the Ross Sea region marine protected area for Antarctic toothfish (Dissostichus mawsoni) with a spatially-explicit population model</t>
  </si>
  <si>
    <t>Antarctic toothfish; Ross Sea region; Marine protected area; Spatially -explicit population model; Resource management</t>
  </si>
  <si>
    <t>FISH POPULATIONS; CONSERVATION; FISHERIES; ECOSYSTEM; DYNAMICS; SPAWNERS; SCIENCE; GROWTH; OCEAN</t>
  </si>
  <si>
    <t>In 2016, the Commission for the Conservation of Antarctic Marine Living Resources (CCAMLR) adopted what was then the world's largest marine protected area (MPA), the Ross Sea region marine protected area or RSrMPA. Only one fishery operates in the Ross Sea region (RSr). This fishery targets Antarctic toothfish (Dissostichus mawsoni), which has an ontogenically-segregated life-history spanning both the RSrMPA and areas fully open to fishing. Here, we present a spatially-explicit population model for RSr Antarctic toothfish, which we use to run projections to evaluate the impacts of the RSrMPA for the species. We considered six alternative scenarios, which consisted of the combination of two spatial management scenarios (MPA versus no-MPA situations) and three different spatial patterns of future fishing. The same CCAMLR decision rules were employed to determine a total catch limit in each case. Our results indicate that access to productive fishing grounds continues to exist with the RSrMPA, the total catch limit and fishery catch rates are not impacted, and the RSrMPA specific objectives relating to Antarctic toothfish are being met. The no-take fraction of the RSrMPA (the General Protection Zones) protects areas of ecological importance for the species (juvenile settlement areas, migration corridors for maturing individuals, and adult feeding areas), while the partial-take fraction of the MPA (the Special Research Zone) allows for the continuity and integrity of a critical tagging program. Our modelling framework provides valuable information to inform resource management at CCAMLR and could be employed to explore other proposed large-scale MPAs in the Southern Ocean.</t>
  </si>
  <si>
    <t>[Gruss, Arnaud; Pinkerton, Matthew H.] Natl Inst Water &amp; Atmospher Res NIWA Ltd, 301 Evans Bay Parade, Wellington 6021, New Zealand; [Mormede, Sophie] SoFish Consulting, 15b Dargle Way, Wellington 6023, New Zealand; [Devine, Jennifer A.] Natl Inst Water &amp; Atmospher Res NIWA Ltd, 217 Akersten St, Nelson 7010, New Zealand</t>
  </si>
  <si>
    <t>National Institute of Water &amp; Atmospheric Research (NIWA) - New Zealand; National Institute of Water &amp; Atmospheric Research (NIWA) - New Zealand</t>
  </si>
  <si>
    <t>Grüss, A (corresponding author), Natl Inst Water &amp; Atmospher Res NIWA Ltd, 301 Evans Bay Parade, Wellington 6021, New Zealand.</t>
  </si>
  <si>
    <t>Arnaud.Gruss@niwa.co.nz; Matt.Pinkerton@niwa.co.nz; sofishconsulting@gmail.com; Jennifer.Devine@niwa.co.nz</t>
  </si>
  <si>
    <t>Pinkerton, Matt/0000-0001-7948-720X; Mormede, Sophie/0000-0003-4668-2046</t>
  </si>
  <si>
    <t>New Zealand Ministry of Business, Innovation and Employment [C01X1710]; New Zealand Ministry for Primary Industries [ANT2019/01]</t>
  </si>
  <si>
    <t>New Zealand Ministry of Business, Innovation and Employment(New Zealand Ministry of Business, Innovation and Employment (MBIE)); New Zealand Ministry for Primary Industries</t>
  </si>
  <si>
    <t>This work was supported in part by the New Zealand Ministry of Business, Innovation and Employment through the Endeavour Fund Ross Sea Research and Monitoring Programme (Ross-RAMP; MBIE contract C01X1710) and the New Zealand Ministry for Primary Industries under project ANT2019/01. The New Zealand Ministry of Business, Innovation and Employment had no role in study design, data collection and analysis, decision to publish, or preparation of the manuscript. The New Zealand Ministry for Primary Industries had a role in: (1) data collection by funding and contributing to the data collection plan in the Ross Sea region; (2) study design and analysis through meetings of the New Zealand Antarctic Working Group (ANTWG), where the manuscript results were examined and recommendations of changes and additional work were made; and (3) providing feedback throughout the development process of the underlying spatially-explicit population model.</t>
  </si>
  <si>
    <t>10.1016/j.ocecoaman.2023.106991</t>
  </si>
  <si>
    <t>GZ8Z4</t>
  </si>
  <si>
    <t>WOS:001156608300001</t>
  </si>
  <si>
    <t>Qiu, ZR; Tao, CH; Ma, WL; Hu, SY; Yang, KH; Zhang, WY; Zhang, KR; Xiao, SY</t>
  </si>
  <si>
    <t>Qiu, Zhongrong; Tao, Chunhui; Ma, Weilin; Hu, Siyi; Yang, Kehong; Zhang, Weiyan; Zhang, Keran; Xiao, Shaoyue</t>
  </si>
  <si>
    <t>Migration and exchange of rare earth elements between phosphate and iron manganese phase: A case study from fish tooth-bearing nodules</t>
  </si>
  <si>
    <t>ORE GEOLOGY REVIEWS</t>
  </si>
  <si>
    <t>Rare earth elements; Phosphate phase; Ce anomalies; REY diffusion; REY substitution</t>
  </si>
  <si>
    <t>DEEP-SEA SEDIMENTS; STRONTIUM ISOTOPE STRATIGRAPHY; REY-RICH MUD; LA-ICP-MS; GEOCHEMICAL CHARACTERISTICS; ANTARCTIC PENINSULA; PELAGIC SEDIMENTS; CLAY-MINERALS; SR; APATITE</t>
  </si>
  <si>
    <t>Deep-sea sediments that are widely distributed in the Pacific Ocean could be an important future resource for rare earth element (REE) and yttrium (REY) due to their high concentrations of REY. Bioapatite fossils as well as Fe-Mn (oxyhydr) oxides (e.g., micronodules) are recognized as significant carriers of REY in deep-sea sediments. Notably, bioapatite fossils, account for more than 60% of the total REY content in bulk sediments, underscoring their significance as primary host for REY. However, the mechanisms of REY enrichments, variations in Ce anomalies, and REY substitution in bioapatite fossils remain under explained. In this study, we performed detailed in situ geochemical, isotope geochemical and chemical imaging analyses on fish tooth-bearing nodules. Our results indicate that fish teeth are mainly composed of Ca, P, F and Na, which accounting for over 95 % of the total composition of these teeth. On the one hand, the concentrations of Ca, P and F exhibit strong positive correlations with each other: their contents increase from the inside to the outside of the dentine shell. On the other hand, Na concentration display a different trend that the highest concentration is found in the center part of shark teeth. Despite the theoretical nearly absence of seawater as potential transport media, REYs migrated from the ferromanganese oxides phase to phosphate phase, and their contents decreased from inside layers to outside layers of dentine. During the long-term substitution processes in geological time, a portion of Ce3+ would be oxidized into immobile Ce4+ under oxic conditions, resulting in less incorporation of Ce3+ into the outer layers of dentine compared to other REY3+. As a consequence, stronger negative Ce anomalies were observed in the inside layers than in outside layers of dentine. The laser ablation-inductively coupled plasma-mass spectrometry (LA-ICP-MS) mapping together with the in-situ geochemistry results indicate the negligible participation of Si in REY substitution, whereas Na exhibits a pronounced preference for substituting Ca2+ with REY3+. Therefore, we propose the following substitution scheme for incorporating REY into the crystal lattice of fish teeth: REY3+ + Na+&lt;-&gt; 2Ca2+. Our study clarified the fraction of REY during their migration from the Fe-Mn phase to the phosphate phase, and also contributes to a deeper understanding of the REY enrichment mechanism in pelagic sediments.</t>
  </si>
  <si>
    <t>[Qiu, Zhongrong; Tao, Chunhui] Zhejiang Univ, Ocean Coll, Zhoushan 316000, Peoples R China; [Qiu, Zhongrong; Tao, Chunhui; Ma, Weilin; Hu, Siyi; Yang, Kehong; Zhang, Weiyan] Minist Nat Resources, Inst Oceanog 2, Key Lab Submarine Geosci, Hangzhou 310012, Peoples R China; [Zhang, Keran] Jacobs Univ Bremen, Dept Phys &amp; Earth Sci, D-28759 Bremen, Germany; [Xiao, Shaoyue] Univ Adelaide, Sch Phys Sci, Dept Earth Sci, Adelaide 5005, Australia</t>
  </si>
  <si>
    <t>Zhejiang University; Ministry of Natural Resources of the People's Republic of China; Jacobs University; University of Adelaide</t>
  </si>
  <si>
    <t>Tao, CH (corresponding author), Zhejiang Univ, Ocean Coll, Zhoushan 316000, Peoples R China.;Tao, CH; Ma, WL (corresponding author), Minist Nat Resources, Inst Oceanog 2, Key Lab Submarine Geosci, Hangzhou 310012, Peoples R China.</t>
  </si>
  <si>
    <t>taochunhuimail@163.com; maweilin308@sina.com</t>
  </si>
  <si>
    <t>Tao, Chunhui/AAS-8293-2020</t>
  </si>
  <si>
    <t>National Key R &amp; D Program of China [2022YFC2806601]; National Natural Science Foundation of China [42127807]; Key Research and Development Program of Zhejiang Province [2021C03016]; International Seabed Mining Area Exploration and Development Project; Scientific Research Fund of the Second Institute of Oceanography, MNR [JB2203]; China Postdoctoral Science Foundation [2021M693778]</t>
  </si>
  <si>
    <t>National Key R &amp; D Program of China; National Natural Science Foundation of China(National Natural Science Foundation of China (NSFC)); Key Research and Development Program of Zhejiang Province; International Seabed Mining Area Exploration and Development Project; Scientific Research Fund of the Second Institute of Oceanography, MNR; China Postdoctoral Science Foundation(China Postdoctoral Science Foundation)</t>
  </si>
  <si>
    <t>This work is financially supported by the National Key R &amp; D Program of China (No. 2022YFC2806601), the National Natural Science Foundation of China (No. 42127807), the Key Research and Development Program of Zhejiang Province (No. 2021C03016), the International Seabed Mining Area Exploration and Development Project (Exploration and Development of Cobaltrich Crust in the COMRA Contract Area), the Scientific Research Fund of the Second Institute of Oceanography, MNR (No. JB2203) and the China Postdoctoral Science Foundation (No. 2021M693778). We are grateful to Guangyu Shi and Zhan Jin from SampleSolution for EPMA, SEM and LA-ICP-MS analysis. We appreciate Xianwei Wu for LA-ICP-MS mapping analysis. We also thank all the members for their hard work in the sampling process during DY-40B and DY-70 cruises.</t>
  </si>
  <si>
    <t>0169-1368</t>
  </si>
  <si>
    <t>1872-7360</t>
  </si>
  <si>
    <t>ORE GEOL REV</t>
  </si>
  <si>
    <t>Ore Geol. Rev.</t>
  </si>
  <si>
    <t>10.1016/j.oregeorev.2023.105843</t>
  </si>
  <si>
    <t>Geology; Mineralogy; Mining &amp; Mineral Processing</t>
  </si>
  <si>
    <t>GY9U6</t>
  </si>
  <si>
    <t>WOS:001156364600001</t>
  </si>
  <si>
    <t>Schroeter, S; Sandery, PA</t>
  </si>
  <si>
    <t>Schroeter, S.; Sandery, P. A.</t>
  </si>
  <si>
    <t>Examining Antarctic sea ice bias sensitivity in the multi-variate parameter space using a global coupled climate modelling system</t>
  </si>
  <si>
    <t>OCEAN MODELLING</t>
  </si>
  <si>
    <t>Antarctic; Sea ice; Climate model; Parameter tuning; Model bias</t>
  </si>
  <si>
    <t>THICKNESS; DRIVERS; EXTENT; WATER</t>
  </si>
  <si>
    <t>Coupled global numerical climate models (GCMs) typically underestimate mean Antarctic sea ice area and extent, particularly during the austral summer months, contributing to uncertainties in climate prediction. This study examines the climatological behaviour of Antarctic sea ice in a coupled GCM in the multivariate sea ice model parameter space. Individual parameters dominate the ice response in different seasons and regions, with a compensatory effect in some parameter combinations and an amplified effect in others; however, certain parameter combinations are found to improve aspects of Antarctic sea ice climatology well beyond the limitations of a univariate approach. For example, the disparity between observed and simulated summer sea ice extent and area is halved, and the tendency towards very low-concentration ice (&lt;15 %) reduced in favour of a more compact summer and autumn ice pack. Regardless, clear limitations in the extent to which a coupled GCM can be calibrated with sea-ice model parameters also emerge. Relatively unconsolidated winter ice cover persists and, in some experiments, becomes looser still, exacerbating the already overestimated maximum sea ice extent. Furthermore, the seasonal evolution of sea ice and the exaggerated asymmetry of the seasonal cycle, with the onset of ice advance too slow and maximum sea ice reached too late, sees negligible improvements. We note that, even with the large gains under certain parameter combinations, bias and other deficiencies still remain. Using coupled data assimilation to optimise parameters in both sea-ice and ocean models will likely assist in contributing to further model improvements.</t>
  </si>
  <si>
    <t>[Schroeter, S.; Sandery, P. A.] Commonwealth Sci &amp; Ind Res Org CSIRO Environm, Battery Point, TAS 7004, Australia</t>
  </si>
  <si>
    <t>Schroeter, S (corresponding author), Commonwealth Sci &amp; Ind Res Org CSIRO Environm, Battery Point, TAS 7004, Australia.</t>
  </si>
  <si>
    <t>serena.schroeter@csiro.au</t>
  </si>
  <si>
    <t>Schroeter, Serena/0000-0002-8963-3044</t>
  </si>
  <si>
    <t>CSIRO Early Career Research Fellowship; Australian Government</t>
  </si>
  <si>
    <t>CSIRO Early Career Research Fellowship; Australian Government(Australian Government)</t>
  </si>
  <si>
    <t>Serena Schroeter was supported by a CSIRO Early Career Research Fellowship. Model runs and data analysis were undertaken with the assistance of resources and services from the National Computational Infrastructure (NCI) , which is supported by the Australian Government. Data analysis and visualisation were performed using the NCAR Command Language (https://doi.org/10.5065/D6WD3XH5, The NCAR Command Language, 2019) .</t>
  </si>
  <si>
    <t>1463-5003</t>
  </si>
  <si>
    <t>1463-5011</t>
  </si>
  <si>
    <t>OCEAN MODEL</t>
  </si>
  <si>
    <t>Ocean Model.</t>
  </si>
  <si>
    <t>10.1016/j.ocemod.2023.102313</t>
  </si>
  <si>
    <t>Meteorology &amp; Atmospheric Sciences; Oceanography</t>
  </si>
  <si>
    <t>GU2R1</t>
  </si>
  <si>
    <t>WOS:001155125000001</t>
  </si>
  <si>
    <t>Yang, L; Yu, B; Liu, HW; Ji, XM; Xiao, CL; Cao, MX; Fu, JJ; Zhang, QH; Hu, LG; Yin, YG; Shi, JB; Jiang, GB</t>
  </si>
  <si>
    <t>Yang, Lin; Yu, Ben; Liu, Hongwei; Ji, Xiaomeng; Xiao, Cailing; Cao, Mengxi; Fu, Jianjie; Zhang, Qinghua; Hu, Ligang; Yin, Yongguang; Shi, Jianbo; Jiang, Guibin</t>
  </si>
  <si>
    <t>Foraging behavior and sea ice-dependent factors affecting the bioaccumulation of mercury in Antarctic coastal waters</t>
  </si>
  <si>
    <t>Antarctica; Coastal waters; Fish; Hg stable isotopes; Mass -independent fractionation</t>
  </si>
  <si>
    <t>MASS-INDEPENDENT FRACTIONATION; ISOTOPIC COMPOSITION; METHYLMERCURY EXPOSURE; INORGANIC MERCURY; TROPHIC TRANSFER; ATMOSPHERIC MERCURY; STABLE-ISOTOPES; FISH; HG; PATHWAYS</t>
  </si>
  <si>
    <t>To elucidate the potential risks of the toxic pollutant mercury (Hg) in polar waters, the study of accumulated Hg in fish is compelling for understanding the cycling and fate of Hg on a regional scale in Antarctica. Herein, the Hg isotopic compositions of Antarctic cod Notothenia coriiceps were assessed in skeletal muscle, liver, and heart tissues to distinguish the differences in Hg accumulation in isolated coastal environments of the eastern (Chinese Zhongshan Station, ZSS) and the antipode western Antarctica (Chinese Great Wall Station, GWS), which are separated by over 4000 km. Differences in odd mass-independent isotope fractionation (odd-MIF) and massdependent fractionation (MDF) across fish tissues were reflection of the specific accumulation of methylmercury (MeHg) and inorganic Hg (iHg) with different isotopic fingerprints. Internal metabolism including hepatic detoxification and processes related to heart may also contribute to MDF. Regional heterogeneity in iHg end-members further provided evidence that bioaccumulated Hg origins can be largely influenced by polar water circumstances and foraging behavior. Sea ice was hypothesized to play critical roles in both the release of Hg with negative odd-MIF derived from photoreduction of Hg2+ on its surface and the impediment of photochemical transformation of Hg in water layers. Overall, the multitissue isotopic compositions in local fish species and prime drivers of the heterogeneous Hg cycling and bioaccumulation patterns presented here enable a comprehensive understanding of Hg biogeochemical cycling in polar coastal waters.</t>
  </si>
  <si>
    <t>[Yang, Lin; Fu, Jianjie; Zhang, Qinghua; Hu, Ligang; Yin, Yongguang; Shi, Jianbo; Jiang, Guibin] Univ Chinese Acad Sci, Hangzhou Inst Adv Study, Sch Environm, Hangzhou 310024, Peoples R China; [Yang, Lin; Liu, Hongwei; Ji, Xiaomeng; Fu, Jianjie; Zhang, Qinghua; Hu, Ligang; Yin, Yongguang; Shi, Jianbo; Jiang, Guibin] Chinese Acad Sci, Res Ctr Ecoenvironm Sci, State Key Lab Environm Chem &amp; Ecotoxicol, Beijing 100085, Peoples R China; [Yang, Lin; Liu, Hongwei; Shi, Jianbo; Jiang, Guibin] Univ Chinese Acad Sci, Coll Resources &amp; Environm, Beijing 100049, Peoples R China; [Yu, Ben] Natl Res Ctr Environm Anal &amp; Measurement, Beijing 100029, Peoples R China; [Xiao, Cailing; Cao, Mengxi] Jianghan Univ, Sch Environm &amp; Hlth, Hubei Key Lab Environm &amp; Hlth Effects Persistent T, Wuhan 430056, Peoples R China; [Xiao, Cailing; Shi, Jianbo] China Univ Geosci, Sch Environm Studies, State Environm Protect Key Lab Source Apportionmen, Wuhan 430074, Peoples R China</t>
  </si>
  <si>
    <t>Chinese Academy of Sciences; University of Chinese Academy of Sciences, CAS; Chinese Academy of Sciences; Research Center for Eco-Environmental Sciences (RCEES); Chinese Academy of Sciences; University of Chinese Academy of Sciences, CAS; Jianghan University; China University of Geosciences</t>
  </si>
  <si>
    <t>Shi, JB (corresponding author), Chinese Acad Sci, Res Ctr Ecoenvironm Sci, State Key Lab Environm Chem &amp; Ecotoxicol, Beijing 100085, Peoples R China.</t>
  </si>
  <si>
    <t>jbshi@rcees.ac.cn</t>
  </si>
  <si>
    <t>Yin, Yongguang/D-1695-2010</t>
  </si>
  <si>
    <t>National Natural Science Foundation of China [42025704, 22076205, 41977327]; Natural Science Foundation of Hubei Province [2022CFA029]</t>
  </si>
  <si>
    <t>National Natural Science Foundation of China(National Natural Science Foundation of China (NSFC)); Natural Science Foundation of Hubei Province(Natural Science Foundation of Hubei Province)</t>
  </si>
  <si>
    <t>This work was supported by the National Natural Science Foundation of China (42025704, 22076205 and 41977327) and Natural Science Foundation of Hubei Province (2022CFA029) .</t>
  </si>
  <si>
    <t>10.1016/j.scitotenv.2023.169557</t>
  </si>
  <si>
    <t>GX7D1</t>
  </si>
  <si>
    <t>WOS:001156028200001</t>
  </si>
  <si>
    <t>Evgrafova, SY; Mavlyudov, BR; Chukmasov, PV; Chetverova, AA; Masyagina, OV</t>
  </si>
  <si>
    <t>Evgrafova, Svetlana Y.; Mavlyudov, Bulat R.; Chukmasov, Pavel V.; Chetverova, Antonina A.; Masyagina, Oxana V.</t>
  </si>
  <si>
    <t>Fossil mosses are emitting methane after maritime Antarctic glacier retreat</t>
  </si>
  <si>
    <t>CH4; CO2; Water isotopes; Antarctica; Fossil mosses; Glacier</t>
  </si>
  <si>
    <t>KING GEORGE ISLAND; ICE CAP; PENINSULA; ADVANCE; SOILS</t>
  </si>
  <si>
    <t>In the extraordinary weather conditions of the austral summer of 2023, fossil mosses thawed out from under the Bellingshausen Ice Dome, King George Island, Southern Shetland Archipelago of maritime Antarctica. At the end of the austral summer, we directly measured greenhouse gas fluxes (CH4 and CO2) from the surface of fossil mosses. We showed that fossil mosses were strong emitters of CH4 and weak emitters of CO2. The real-time measured CH4 emissions reached 0.173 mu mol m- 2 s- 1, which is comparable to CH4 efflux in water bodies or wet tundra in the Arctic.</t>
  </si>
  <si>
    <t>[Evgrafova, Svetlana Y.; Masyagina, Oxana V.] RAS, Fed Res Ctr Krasnoyarsk Sci Ctr SB RAS, Sukachev Inst Forest SB, 50-28 Akademgorodok St, Krasnoyarsk 660036, Russia; [Evgrafova, Svetlana Y.] Siberian Fed Univ, Krasnoyarsk 660041, Russia; [Evgrafova, Svetlana Y.] Russian Acad Sci, Melnikov Permafrost Inst, Siberian Branch, Yakutsk 677010, Russia; [Mavlyudov, Bulat R.] Russian Acad Sci, Inst Geog, Staromonetnyy Pereulok 29, Moscow 119017, Russia; [Chukmasov, Pavel V.] Russian Acad Sci, Severtsov Inst Ecol &amp; Evolut, Moscow 119071, Russia; [Chetverova, Antonina A.] St Petersburg Univ, St Petersburg 199034, Russia; [Chetverova, Antonina A.] Arctic &amp; Antarctic Res Inst, St Petersburg 199397, Russia</t>
  </si>
  <si>
    <t>Russian Academy of Sciences; Krasnoyarsk Science Center of the Siberian Branch of the Russian Academy of Sciences; Sukachev Institute of Forest, Siberian Branch, Russian Academy of Sciences; Siberian Federal University; Melnikov Permafrost Institute, Siberian Branch of the RAS; Russian Academy of Sciences; Russian Academy of Sciences; Institute of Geography, Russian Academy of Sciences; Russian Academy of Sciences; Saratov Scientific Center of the Russian Academy of Sciences; Severtsov Institute of Ecology &amp; Evolution; Saint Petersburg State University; Arctic &amp; Antarctic Research Institute</t>
  </si>
  <si>
    <t>Masyagina, OV (corresponding author), RAS, Fed Res Ctr Krasnoyarsk Sci Ctr SB RAS, Sukachev Inst Forest SB, 50-28 Akademgorodok St, Krasnoyarsk 660036, Russia.</t>
  </si>
  <si>
    <t>oxanamas@mail.ru</t>
  </si>
  <si>
    <t>Evgrafova, Svetlana/C-4184-2014; Masyagina, Oxana/S-1731-2016</t>
  </si>
  <si>
    <t>Evgrafova, Svetlana/0000-0002-2758-7361; Masyagina, Oxana/0000-0002-0768-3049</t>
  </si>
  <si>
    <t>Russian Science Foundation [21-17-00163]</t>
  </si>
  <si>
    <t>Russian Science Foundation(Russian Science Foundation (RSF))</t>
  </si>
  <si>
    <t>Funding This work was supported by the Russian Science Foundation [grant number 21-17-00163] .</t>
  </si>
  <si>
    <t>10.1016/j.marpolbul.2023.115959</t>
  </si>
  <si>
    <t>GA9C9</t>
  </si>
  <si>
    <t>WOS:001150045100001</t>
  </si>
  <si>
    <t>Latour, P; Eggins, S; van der Merwe, P; Bach, LT; Boyd, PW; Ellwood, MJ; Bowie, AR; Wuttig, K; Strzepek, RF</t>
  </si>
  <si>
    <t>Latour, Pauline; Eggins, Sam; van Der Merwe, Pier; Bach, Lennart T.; Boyd, Philip W.; Ellwood, Michael J.; Bowie, Andrew R.; Wuttig, Kathrin; Strzepek, Robert F.</t>
  </si>
  <si>
    <t>Characterization of a Southern Ocean deep chlorophyll maximum: Response of phytoplankton to light, iron, and manganese enrichment</t>
  </si>
  <si>
    <t>LIMNOLOGY AND OCEANOGRAPHY LETTERS</t>
  </si>
  <si>
    <t>Letter</t>
  </si>
  <si>
    <t>MARINE-PHYTOPLANKTON; GROWTH; LIMITATION; AVAILABILITY; PROGRESSION; AUSTRALIA; SECTOR; FE</t>
  </si>
  <si>
    <t>Southern Ocean phytoplankton growth is limited by low iron (Fe) supply and irradiance, impacting the strength of the biological carbon pump. Unfavorable upper ocean conditions, such as low nutrient concentrations, can lead to the formation of deep chlorophyll or biomass maxima (DCM/DBM). While common in the Southern Ocean, these features remain understudied due to their subsurface location. To increase our understanding of their occurrence, we studied the responses of phytoplankton communities from a Southern Ocean DCM to increasing light, Fe, and manganese (Mn) levels. The DCM communities were light- and Fe-limited, but light limitation did not increase phytoplankton Fe requirements. The greatest physiological responses were observed under combined Fe/light additions, which stimulated macronutrient drawdown, biomass production and the growth of large diatoms. Combined Mn/light additions induced subtle changes in Fe uptake rates and community composition, suggesting species-specific Mn requirements. These results provide valuable information on Southern Ocean DCM phytoplankton physiology.</t>
  </si>
  <si>
    <t>[Latour, Pauline; van Der Merwe, Pier; Bach, Lennart T.; Boyd, Philip W.; Bowie, Andrew R.] Univ Tasmania, Inst Marine &amp; Antarctic Studies, Hobart, Tas, Australia; [Latour, Pauline; Boyd, Philip W.; Bowie, Andrew R.; Wuttig, Kathrin; Strzepek, Robert F.] Univ Tasmania, Antarctic Climate &amp; Ecosyst Cooperat Res Ctr ACE C, Hobart, Tas, Australia; [Latour, Pauline] Univ Tasmania, ARC Australian Ctr Excellence Antarctic Sci ACEAS, Hobart, Tas, Australia; [Eggins, Sam; Ellwood, Michael J.] Australian Natl Univ, Res Sch Earth Sci, Canberra, ACT, Australia; [Boyd, Philip W.; Bowie, Andrew R.; Strzepek, Robert F.] Univ Tasmania, Inst Marine &amp; Antarctic Studies, Australian Antarctic Program Partnership AAPP, Hobart, Tas, Australia; [Ellwood, Michael J.] Australian Natl Univ, ARC Australian Ctr Excellence Antarctic Sci ACEAS, Res Sch Earth Sci, Canberra, ACT, Australia</t>
  </si>
  <si>
    <t>University of Tasmania; University of Tasmania; University of Tasmania; Australian National University; University of Tasmania; Australian National University</t>
  </si>
  <si>
    <t>Latour, P (corresponding author), Univ Tasmania, Inst Marine &amp; Antarctic Studies, Hobart, Tas, Australia.;Latour, P (corresponding author), Univ Tasmania, Antarctic Climate &amp; Ecosyst Cooperat Res Ctr ACE C, Hobart, Tas, Australia.;Latour, P (corresponding author), Univ Tasmania, ARC Australian Ctr Excellence Antarctic Sci ACEAS, Hobart, Tas, Australia.</t>
  </si>
  <si>
    <t>pauline.latour@utas.edu.au</t>
  </si>
  <si>
    <t>Boyd, Philip/J-7624-2014; Bowie, Andrew/C-8677-2013; van der Merwe, Pier/C-9210-2015; Wuttig, Kathrin/F-5793-2015</t>
  </si>
  <si>
    <t>Boyd, Philip/0000-0001-7850-1911; Bowie, Andrew/0000-0002-5144-7799; Ellwood, Michael/0000-0003-4288-8530; Bach, Lennart/0000-0003-0202-3671; van der Merwe, Pier/0000-0002-7428-8030; Wuttig, Kathrin/0000-0003-4010-5918</t>
  </si>
  <si>
    <t>Antarctic Climate and Ecosystems Cooperative Research Centre (ACE CRC) [IN2020_V08]; Australian Antarctic Program Partnership (AAPP) [ASCI000002]; Antarctic Climate &amp; Ecosystems Cooperative Research Centre (ACE CRC); Australian Research Council Special Research Initiative; Australian Centre for Excellence in Antarctic Science [SR200100008]; Australian Research Council through Future Fellowship [FT200100846]; ASLO and Wiley; University of Tasmania, as part of the Wiley - University of Tasmania agreement via the Council of Australian University Librarians; Wiley - University of Tasmania agreement via the Council of Australian University Librarians</t>
  </si>
  <si>
    <t>Antarctic Climate and Ecosystems Cooperative Research Centre (ACE CRC)(Australian GovernmentDepartment of Industry, Innovation and ScienceCooperative Research Centres (CRC) Programme); Australian Antarctic Program Partnership (AAPP); Antarctic Climate &amp; Ecosystems Cooperative Research Centre (ACE CRC)(Australian GovernmentDepartment of Industry, Innovation and ScienceCooperative Research Centres (CRC) Programme); Australian Research Council Special Research Initiative(Australian Research Council); Australian Centre for Excellence in Antarctic Science; Australian Research Council through Future Fellowship(Australian Research Council); ASLO and Wiley; University of Tasmania, as part of the Wiley - University of Tasmania agreement via the Council of Australian University Librarians; Wiley - University of Tasmania agreement via the Council of Australian University Librarians</t>
  </si>
  <si>
    <t>We would like to acknowledge the officers and crew of the RV Investigator (CSIRO Australian Marine National Facility) for the deployment of all the instruments during the SOLACE voyage (IN2020_V08), and the hydro-chemistry team who performed the macronutrient analyses onboard. The authors would like to thank Dr. Shane Richards for his help with the statistical analyses and Terry L. Pinfold for his help with the flow cytometry. PL would like to personally thank Dr. Kirralee Baker and Dr. Floriaan Devloo-Delva for their support. This work was funded by the Australian Antarctic Program Partnership (AAPP; ASCI000002) and through the Antarctic Climate &amp; Ecosystems Cooperative Research Centre (ACE CRC). PL was supported by the Australian Research Council Special Research Initiative, Australian Centre for Excellence in Antarctic Science (ACEAS; Project Number SR200100008). LTB acknowledges funding from the Australian Research Council through Future Fellowship (FT200100846). We acknowledge the support from ASLO and Wiley in the form of a manuscript-friendly review and publication support offered to PL via the L&amp;O Letters Early Career Publication Honor. Open access publishing was facilitated by the University of Tasmania, as part of the Wiley - University of Tasmania agreement via the Council of Australian University Librarians. Open access publishing facilitated by University of Tasmania, as part of the Wiley - University of Tasmania agreement via the Council of Australian University Librarians.</t>
  </si>
  <si>
    <t>2378-2242</t>
  </si>
  <si>
    <t>LIMNOL OCEANOGR LETT</t>
  </si>
  <si>
    <t>Limnol. Oceanogr. Lett.</t>
  </si>
  <si>
    <t>10.1002/lol2.10366</t>
  </si>
  <si>
    <t>Limnology; Marine &amp; Freshwater Biology; Oceanography</t>
  </si>
  <si>
    <t>Marine &amp; Freshwater Biology; Oceanography</t>
  </si>
  <si>
    <t>LD5P7</t>
  </si>
  <si>
    <t>WOS:001138409200001</t>
  </si>
  <si>
    <t>Hamilton, R; Vuto, S; Brown, C; Waldie, P; Pita, J; Babaua, R; Masu, R; Peterson, N; Hof, CM; Limpus, C</t>
  </si>
  <si>
    <t>Hamilton, Richard; Vuto, Simon; Brown, Christopher; Waldie, Peter; Pita, John; Babaua, Rose; Masu, Rosalie; Peterson, Nate; Madden Hof, Christine; Limpus, Col</t>
  </si>
  <si>
    <t>Freedivers harvest thousands of sea turtles a year in the Solomon Islands</t>
  </si>
  <si>
    <t>AQUATIC CONSERVATION-MARINE AND FRESHWATER ECOSYSTEMS</t>
  </si>
  <si>
    <t>Chelonia mydas; community monitors; Eretmochelys imbricata; Lepidochelys olivacea; local ecological knowledge; national harvest rates; small-scale fisheries; western Pacific Ocean; wildlife traffickers</t>
  </si>
  <si>
    <t>BUMPHEAD PARROTFISH; GLOBAL PATTERNS; BY-CATCH; KNOWLEDGE; FISHERIES; DECLINES; BYCATCH</t>
  </si>
  <si>
    <t>Sea turtles are harvested in many small-scale fisheries (SSFs), but few nations have quantified the impacts that SSFs are having on their sea turtle stocks. This study provides the first assessment on the catch composition, national harvest rates, and long-term trends in sea turtle catches in the Solomon Islands SSFs. Between October 2016 and May 2018, 10 community monitors located in eight of the nine provinces of the Solomon Islands were trained and employed to work alongside fishers in their respective communities to document, photograph, and georeference the reefs where sea turtles were harvested. Local ecological knowledge (LEK) surveys were then conducted with 32 experienced fishers to infer whether the harvest rates of sea turtles had changed in recent decades. Community monitors recorded information on 1,132 sea turtles that were harvested on 529 fishing trips: 1,119 sea turtles were identified to species level, with harvests consisting of 73.3% (n = 818) green sea turtles (Chelonia mydas), 25.7% hawksbill sea turtles (n = 291) (Eretmochelys imbricata), and 0.9% (n = 10) olive ridley sea turtles (Lepidochelys olivacea). The great majority (92.6%) of sea turtles were captured by night-time and daytime freedivers who use masks, snorkels, fins, hooks, spears, and underwater flashlights to target a wide range of fauna that inhabit coral reefs. A methodology that accounts for spatial heterogeneity in sea turtle catch rates was used to estimate that the SSFs of the Solomon Islands harvested 11,184 sea turtles per year, with a 95% confidence interval of 5,862-23,717 sea turtles. Experienced freedivers reported a 4.9-fold decline in sea turtle harvest rates over the past 30 years, indicating that the sea turtle stocks of the Solomon Islands are being overfished. The results and recommendations from this study were integrated into the Solomon Islands National Plan of Action for Marine Turtles 2023-2027.</t>
  </si>
  <si>
    <t>[Hamilton, Richard; Peterson, Nate] Nature Conservancy, Asia Pacific Resource Ctr, South Brisbane, Qld, Australia; [Hamilton, Richard] Nature Conservancy, Coastal People Southern Skies Ctr Res Excellence, South Brisbane, Qld, Australia; [Vuto, Simon; Waldie, Peter] Nature Conservancy, Honiara Off, Rove, Solomon Islands; [Brown, Christopher] Univ Tasmania, Inst Marine &amp; Antarctic Studies, Hobart, Tas, Australia; [Pita, John] Nature Conservancy, Isabel Environm Off, Buala, Isabel Province, Solomon Islands; [Babaua, Rose] Solomon Isl Minist Environm Climate Change Disast, Honiara, Solomon Islands; [Masu, Rosalie] Univ Wollongong, Australian Natl Ctr Ocean Resources &amp; Secur, Wollongong, Australia; [Madden Hof, Christine] Worldwide Fund Nat, Coral Triangle Programme, Bali, Indonesia; [Madden Hof, Christine] Univ Sunshine Coast, Sch Sci Technol &amp; Engn, Sippy Downs, Qld, Australia; [Limpus, Col] Queensland Govt, Threatened Species Unit, Brisbane, Australia; [Hamilton, Richard] Nature Conservancy, 88 Tribune St, South Brisbane, Qld 4101, Australia</t>
  </si>
  <si>
    <t>Nature Conservancy; Nature Conservancy; University of Tasmania; University of Wollongong; University of the Sunshine Coast; Nature Conservancy</t>
  </si>
  <si>
    <t>Hamilton, R (corresponding author), Nature Conservancy, 88 Tribune St, South Brisbane, Qld 4101, Australia.</t>
  </si>
  <si>
    <t>rhamilton@tnc.org</t>
  </si>
  <si>
    <t>Minimising the Illegal Killing of Elephants and other Endangered Species</t>
  </si>
  <si>
    <t>This study would not have been possible without the interest and support of the 151 fishers and 10 community monitors who participated in this study, tanggio tumas. We also thank the Solomon Islands Ministry of Fisheries and Marine Resources and the Solomon Islands Ministry of Environment Climate Change Disaster Management &amp; Meteorology for supporting and granting permission for this work. We thank M. Ryan, Y. Wu, and T. Clark for project management support.</t>
  </si>
  <si>
    <t>1052-7613</t>
  </si>
  <si>
    <t>1099-0755</t>
  </si>
  <si>
    <t>AQUAT CONSERV</t>
  </si>
  <si>
    <t>Aquat. Conserv.-Mar. Freshw. Ecosyst.</t>
  </si>
  <si>
    <t>10.1002/aqc.4050</t>
  </si>
  <si>
    <t>Environmental Sciences; Marine &amp; Freshwater Biology; Water Resources</t>
  </si>
  <si>
    <t>Environmental Sciences &amp; Ecology; Marine &amp; Freshwater Biology; Water Resources</t>
  </si>
  <si>
    <t>KC8A1</t>
  </si>
  <si>
    <t>WOS:001131857000001</t>
  </si>
  <si>
    <t>Hood, LL; Hoopes, CA</t>
  </si>
  <si>
    <t>Hood, Lon L.; Hoopes, Charles A.</t>
  </si>
  <si>
    <t>Arctic Sea Ice Loss, Long-Term Trends in Extratropical Wave Forcing, and the Observed Strengthening of the QBO-MJO Connection</t>
  </si>
  <si>
    <t>JOURNAL OF GEOPHYSICAL RESEARCH-ATMOSPHERES</t>
  </si>
  <si>
    <t>Madden-Julian oscillation; extratropical wave forcing; quasi-biennial oscillation; solar variability; arctic sea ice loss; Eurasian snow cover</t>
  </si>
  <si>
    <t>MADDEN-JULIAN OSCILLATION; QUASI-BIENNIAL OSCILLATION; SUDDEN STRATOSPHERIC WARMINGS; TROPICAL LOWER STRATOSPHERE; POLAR VORTEX; MODULATION; SOLAR; BALANCE; VARIABILITY; CIRCULATION</t>
  </si>
  <si>
    <t>A modulation has been identified of the tropical Madden-Julian oscillation (MJO) by the stratospheric quasi-biennial oscillation (QBO) such that the MJO in boreal winter is similar to 40% stronger and persists similar to 10 days longer during the easterly QBO phase (QBOE) than during the westerly phase. A proposed mechanism is reductions of tropical lower stratospheric static stability during QBOE caused by (a) the QBO induced meridional circulation; and (b) QBO influences on extratropical wave forcing of the stratospheric residual meridional circulation during early winter. Here, long-term variability of the QBO-MJO connection and associated variability of near-tropopause tropical static stability and extratropical wave forcing are investigated using European Center reanalysis data for the 1959-2021 period. During the most reliable (post-satellite) part of the record beginning in 1979, a strengthening of the QBO-MJO modulation has occurred during a time when tropical static stability in the lowermost stratosphere and uppermost troposphere has been decreasing and extratropical wave forcing in early winter has been increasing. A high inverse correlation (R = -0.87) is obtained during this period between early winter wave forcing anomalies and wintertime tropical lower stratospheric static stability. Regression relationships are used to show that positive trends in early winter wave forcing during this period have likely contributed to decreases in tropical static stability, favoring a stronger QBO-MJO connection. As shown in previous work, increased sea level pressure anomalies over northern Eurasia produced by Arctic sea ice loss may have been a significant source of the observed positive trends in early winter wave forcing. The tropical Madden-Julian oscillation, also called the 40-50-day oscillation, is a propagating pattern of tropical convection and precipitation that is a major driver of intraseasonal climate variability. Recent studies have found that (a) it is modulated by stratospheric forcings like the quasi-biennial oscillation (QBO); and (b) the QBO modulation appears to have been strengthening since the early 1980s. A possible cause of the QBO modulation is reductions of static stability (stability against convection) near the tropical tropopause, which tend to occur during the easterly phase of the QBO. Consistent with this possible cause, tropical lower stratospheric static stabilities have been declining since the most reliable observations began in the late 1970s. Here, it is shown that increased tropical upwelling rates resulting from long-term positive trends in early winter extratropical wave forcing of the stratospheric circulation have contributed significantly to the observed decline in tropical lower stratospheric static stability in boreal winter since that time. Increased sea level pressure anomalies over northern Eurasia produced by Arctic sea ice loss (and associated increases in Eurasian snow cover) can potentially explain the observed positive trends in early winter wave forcing. Climate model experiments are needed to test this possibility. A stronger modulation of the Madden-Julian oscillation by the stratospheric quasi-biennial oscillation has existed since the early 1980sTropical stratospheric static stability has declined since the late 1970s due partly to increases in early winter extratropical wave forcingLarger sea level pressure anomalies over northern Eurasia due to Arctic sea ice loss are a possible cause of the increasing wave forcing</t>
  </si>
  <si>
    <t>[Hood, Lon L.; Hoopes, Charles A.] Univ Arizona, Lunar &amp; Planetary Lab, Tucson, AZ 85721 USA; [Hoopes, Charles A.] Univ Arizona, Dept Hydrol &amp; Atmospher Sci, Tucson, AZ USA</t>
  </si>
  <si>
    <t>University of Arizona; University of Arizona</t>
  </si>
  <si>
    <t>Hood, LL (corresponding author), Univ Arizona, Lunar &amp; Planetary Lab, Tucson, AZ 85721 USA.</t>
  </si>
  <si>
    <t>lon@lpl.arizona.edu</t>
  </si>
  <si>
    <t>NSF Climate &amp; Large-Scale Dynamics [2039384, 80NSSC21K1309]; NSF</t>
  </si>
  <si>
    <t>NSF Climate &amp; Large-Scale Dynamics; NSF(National Science Foundation (NSF))</t>
  </si>
  <si>
    <t>Support from the NSF Climate and Large-Scale Dynamics program (2039384) and the NASA Living with a Star program (80NSSC21K1309) is appreciated. Important assistance was provided by Drs. Thomas J. Galarneau, Jr. and Natasha E. Trencham. We thank Dr. Hua Lu of the British Antarctic Survey for an early discussion and for suggesting investigation of Arctic sea ice loss as a possible factor in producing increases in early winter extratropical wave forcing. Thanks also to Dr. Xiaocen Shen of the University of Reading for bringing to our attention the work by Monnin et al. (2021) showing that surface impacts of SSWs may be larger in early winter due to the larger stratospheric polar vortex anomaly compared to climatology. Useful criticisms from three anonymous reviewers contributed substantially to improving the original manuscript.</t>
  </si>
  <si>
    <t>2169-897X</t>
  </si>
  <si>
    <t>2169-8996</t>
  </si>
  <si>
    <t>J GEOPHYS RES-ATMOS</t>
  </si>
  <si>
    <t>J. Geophys. Res.-Atmos.</t>
  </si>
  <si>
    <t>DEC 27</t>
  </si>
  <si>
    <t>e2023JD039501</t>
  </si>
  <si>
    <t>10.1029/2023JD039501</t>
  </si>
  <si>
    <t>Meteorology &amp; Atmospheric Sciences</t>
  </si>
  <si>
    <t>CZ9M7</t>
  </si>
  <si>
    <t>WOS:001129170000001</t>
  </si>
  <si>
    <t>Zhai, ZS; Wang, YT; Lazzara, MA; Keller, LM; Wu, QL</t>
  </si>
  <si>
    <t>Zhai, Zhaosheng; Wang, Yetang; Lazzara, Matthew A.; Keller, Linda M.; Wu, Qingli</t>
  </si>
  <si>
    <t>Snow Accumulation Variability at the South Pole From 1983 to 2020, Associated With Central Tropical Pacific Forcing</t>
  </si>
  <si>
    <t>snow accumulation; south pole; blocking anticyclone; Rossby wave train; central tropical Pacific</t>
  </si>
  <si>
    <t>SURFACE MASS-BALANCE; DRONNING MAUD LAND; ANTARCTIC SNOWFALL; SEA-ICE; TEMPERATURE; PRECIPITATION; HEMISPHERE; STATION; TELECONNECTION; GREENLAND</t>
  </si>
  <si>
    <t>Despite a variety of efforts made to measure snow accumulation at the South Pole (SP), snow accumulation changes and their mechanism have not yet been fully explained. Here, SP stake farm measurements, global sea surface temperature observations, and atmospheric circulation data from European Centre for Medium-Range Weather Forecasts Reanalysis version 5 were used to investigate the annual and seasonal snow accumulation changes at the SP during 1983-2020, and their association with central tropical Pacific Sea surface temperature variations. SP annual snow accumulation decreased significantly for the 1983-2007 period at a rate of -39.7 +/- 1.4 mm decade-1, but switched to a dramatically positive trend during 2008-2020 (108.7 +/- 2.7 mm decade-1), with the strongest increase in the austral autumn. The switch to a dramatically upward trend can largely be attributed to a cyclonic anomaly over the South Atlantic and an anticyclonic anomaly over the Drake Passage, causing the enhanced advection of warm and wet air into the SP. These circulation patterns were generated by an atmospheric Rossby wave train forced by rapid warming in the central tropical Pacific during 2008-2020. Snowfall on the surface of Antarctica stores ocean water in solid form, which is pivotal for the mass balance of the Antarctic ice sheet, and the fluctuations of snow accumulation therefore have an important impact on the sea level variation. However, snow accumulation changes and its mechanisms at the South Pole have not been fully explained until now. This study investigated snow accumulation changes at the South Pole since 1983, and further analyzed the mechanisms affecting it. Annual snow accumulation rates at the South Pole experienced a significant decrease from1983 to 2007 but shifted to a dramatic increase during 2008-2020, with the greatest increase in the austral autumn. The significantly upward trend after 2008 is largely caused by the anomalous atmospheric circulations around Antarctica, driving warm and wet air into the Antarctic interior, which resulted in more snowfall at the South Pole. These circulation patterns were triggered by rapid warming in the central tropical Pacific Ocean since 2008. These results improve the understanding of snow accumulation changes and their mechanisms at the South Pole, which helps to better predict the contribution of snow accumulation changes to future global sea level rise. Annual snow accumulation at South Pole decreased significantly before 2007, but switched to a dramatically upward trend during 2008-2020The upward trend of snow accumulation after 2008 is closely associated with the anomalous cyclones and anticyclones around AntarcticaThe anomalous circulations are driven by tropical convection in the central tropical Pacific via the atmospheric Rossby train since 2008</t>
  </si>
  <si>
    <t>[Zhai, Zhaosheng; Wang, Yetang; Wu, Qingli] Shandong Normal Univ, Coll Geog &amp; Environm, Jinan, Peoples R China; [Lazzara, Matthew A.; Keller, Linda M.] Univ Wisconsin, Antarctic Meteorol Res &amp; Data Ctr, Space Sci &amp; Engn Ctr, Madison, WI USA; [Lazzara, Matthew A.] Madison Area Tech Coll, Dept Phys Sci, Madison, WI USA</t>
  </si>
  <si>
    <t>Shandong Normal University; University of Wisconsin System; University of Wisconsin Madison</t>
  </si>
  <si>
    <t>Wang, YT (corresponding author), Shandong Normal Univ, Coll Geog &amp; Environm, Jinan, Peoples R China.</t>
  </si>
  <si>
    <t>yetangwang@sdnu.edu.cn</t>
  </si>
  <si>
    <t>Lazzara, Matthew/0000-0002-4343-498X</t>
  </si>
  <si>
    <t>National Natural Science Foundation of China; National Key Research and Development Program of China [2020YFA0608202]; Strategic Priority Research Program of the Chinese Academy of Sciences [XDA19070103]; Project for Outstanding Youth Innovation Team in the Universities of Shandong Province [2019KJH011]; US National Science Foundation [1951720, 1951603]; [41971081]; [41830644]</t>
  </si>
  <si>
    <t>National Natural Science Foundation of China(National Natural Science Foundation of China (NSFC)); National Key Research and Development Program of China; Strategic Priority Research Program of the Chinese Academy of Sciences(Chinese Academy of Sciences); Project for Outstanding Youth Innovation Team in the Universities of Shandong Province; US National Science Foundation(National Science Foundation (NSF)); ;</t>
  </si>
  <si>
    <t>Yetang Wang was supported by the National Natural Science Foundation of China (41971081 and 41830644), the National Key Research and Development Program of China (2020YFA0608202), the Strategic Priority Research Program of the Chinese Academy of Sciences (XDA19070103), and the Project for Outstanding Youth Innovation Team in the Universities of Shandong Province (2019KJH011). Matthew Lazzara and Linda Keller were supported by the US National Science Foundation Grants 1951720 and 1951603. The authors wish to thank the South Pole Meteorology Office for their continued measurements of the snow stake field at South Pole. The authors are grateful for the comments from the reviewers which have improved this manuscript.</t>
  </si>
  <si>
    <t>e2023JD039388</t>
  </si>
  <si>
    <t>10.1029/2023JD039388</t>
  </si>
  <si>
    <t>AG5Y8</t>
  </si>
  <si>
    <t>WOS:001117338700001</t>
  </si>
  <si>
    <t>Moles, J; Brenzinger, B; Berning, M; Martynov, A; Korshunova, T; Schrödl, M</t>
  </si>
  <si>
    <t>Moles, Juan; Brenzinger, Bastian; Berning, Maria, I; Martynov, Alexander; Korshunova, Tatiana; Schroedl, Michael</t>
  </si>
  <si>
    <t>Systematic rearrangements in an all-genus phylogeny of side-gilled slugs (Heterobranchia: Pleurobranchida)</t>
  </si>
  <si>
    <t>ZOOLOGICAL JOURNAL OF THE LINNEAN SOCIETY</t>
  </si>
  <si>
    <t>Article; Early Access</t>
  </si>
  <si>
    <t>Antarctica; Gastropoda; Mollusca; new family; Nudipleura; phylogeny; Pleurobranchaeidae; Pleurobranchidae; systematics; taxonomy</t>
  </si>
  <si>
    <t>OPISTHOBRANCH MOLLUSKS; DNA-SEQUENCES; SEA SLUGS; NOTASPIDEA; GASTROPODA; NUDIBRANCHIA; EVOLUTION; CEPHALASPIDEA; ANTARCTICA; ALIGNMENTS</t>
  </si>
  <si>
    <t>The systematics of side-gilled slugs face long-lasting incongruencies provided by morphological and molecular data. Parsimonious morphological assessments divided the single superfamily Pleurobranchoidea into the shell-less Pleurobranchaeidae and the internally shelled Pleurobranchidae, including the aberrant helicoid-shelled Tomthompsonia. Molecular evidence has proven untrustworthy to date, revealing contrasting hypotheses. This study's multilocus phylogeny benefits from a dense taxon sampling of 94 pleurobranchids, with 22 newly sequenced specimens, including type species for all known genera. We further evaluate the effects of masking with several algorithms to better enhance phylogenetic resolution. Our results support that Tomthompsonioidea superfam. nov. are the sister group of all other Pleurobranchida; the absence of an acidic oral gland and a helicoid shell are the diagnostic features. We also provide the first molecular evidence that Euselenops nests within Pleurobranchaeidae, and Pleurobranchella is related to Pleurobranchaea, but remains distinct morphologically. Regarding Pleurobranchidae, the genus Berthella is paraphyletic and now embodied in the four clades: Berthella s.s., Boreoberthella, Pleurehdera, and Tomoberthella gen. nov. The fact that, whereas there is a supposed low Antarctic diversity, we find hidden speciation in several tropical species suggests that side-gilled slugs pose an Antarctic origin or a relic that radiated in shallower, warmer waters.</t>
  </si>
  <si>
    <t>[Moles, Juan] Univ Barcelona, Fac Biol, Dept Evolutionary Biol Ecol &amp; Environm Sci, Ave Diagonal 643, Barcelona 08028, Spain; [Moles, Juan] Univ Barcelona UB, Inst Recerca Biodiversitat IRBio, Barcelona, Spain; [Moles, Juan; Brenzinger, Bastian; Berning, Maria, I; Schroedl, Michael] SNSB Bavarian State Collect Zool, Sect Mollusca, Munchhausenstr 21, D-81247 Munich, Germany; [Schroedl, Michael] Ludwig Maximilians Univ Munchen, Biozentrum, Munich, Germany; [Schroedl, Michael] Ludwig Maximilians Univ Munchen, GeoBioctr, Munich, Germany; [Martynov, Alexander] Moscow MV Lomonosov State Univ, Zool Museum, Bolshaya Nikitskaya Str 6, Moscow 125009, Russia; [Korshunova, Tatiana] Koltzov Inst Dev Biol RAS, Moscow 119334, Russia</t>
  </si>
  <si>
    <t>University of Barcelona; University of Barcelona; University of Munich; University of Munich; Lomonosov Moscow State University; Russian Academy of Sciences; Koltzov Institute of Developmental Biology of the Russian Academy of Sciences</t>
  </si>
  <si>
    <t>Moles, J (corresponding author), Univ Barcelona, Fac Biol, Dept Evolutionary Biol Ecol &amp; Environm Sci, Ave Diagonal 643, Barcelona 08028, Spain.</t>
  </si>
  <si>
    <t>juan.moles@ub.edu</t>
  </si>
  <si>
    <t>Moles, Juan/H-4786-2018</t>
  </si>
  <si>
    <t>Moles, Juan/0000-0003-4511-4055; Brenzinger, Bastian/0000-0003-3650-190X</t>
  </si>
  <si>
    <t>Faculty of Arts and Sciences, Harvard University; IDB RAS basic research programme [0088-2024-0011]; MSU Zoological Museum [121032300105-0]; DFG [SPP1158, SCHR667/13, SCHR667/15-1, BR5727/1-1]; Spanish Government through the HETGEN1000 project [PID2021-127037NA-I00/MCIN/AEI/10.13039/501100011033]</t>
  </si>
  <si>
    <t>Faculty of Arts and Sciences, Harvard University; IDB RAS basic research programme; MSU Zoological Museum; DFG(German Research Foundation (DFG)); Spanish Government through the HETGEN1000 project</t>
  </si>
  <si>
    <t>We would like to thank the aid of AG Mollusca at ZSM and the LMU, particularly Oleg Savinkin, Karen and Nadya Sanamyan, and Enrico Schwabe. Kazunori Hasegawa is thanked for providing specimens and photographs to A.M. We are indebted to the crew and participants of the RV Polarstern (AWI, Germany). We appreciate G. McDonald, S. Johnson, X. Salvador, and M. White for kindly providing photographs of live specimens. We thank Philippe Bouchet, Juli Pujade, the editor, and the reviewers for their valuable advice. Software licences and literature were supported by the Faculty of Arts and Sciences, Harvard University, and G. Giribet. The work of T.K. is conducted under the IDB RAS basic research programme No. 0088-2024-0011. The work of A.M. is supported by a research project of MSU Zoological Museum (18-1-21 No. 121032300105-0). This project was funded by the DFG-SPP1158 to MS (SCHR667/13 and SCHR667/15-1) and DFG-BR5727/1-1 to B.B. J.M. is indebted to the Alexander von Humboldt Foundation (Germany) and the Spanish Government through the HETGEN1000 project (PID2021-127037NA-I00/MCIN/AEI/10.13039/501100011033/ and by FEDER una manera de hacer Europa).</t>
  </si>
  <si>
    <t>OXFORD UNIV PRESS</t>
  </si>
  <si>
    <t>GREAT CLARENDON ST, OXFORD OX2 6DP, ENGLAND</t>
  </si>
  <si>
    <t>0024-4082</t>
  </si>
  <si>
    <t>1096-3642</t>
  </si>
  <si>
    <t>ZOOL J LINN SOC-LOND</t>
  </si>
  <si>
    <t>Zool. J. Linn. Soc.</t>
  </si>
  <si>
    <t>2023 DEC 26</t>
  </si>
  <si>
    <t>10.1093/zoolinnean/zlad162</t>
  </si>
  <si>
    <t>Zoology</t>
  </si>
  <si>
    <t>DW9N5</t>
  </si>
  <si>
    <t>WOS:001135238100001</t>
  </si>
  <si>
    <t>Puskic, PS; Slocombe, R; Ploeg, R; Roman, L; Lea, MA; Hutton, I; Bridle, AR</t>
  </si>
  <si>
    <t>Puskic, Peter S.; Slocombe, Ron; Ploeg, Richard; Roman, Lauren; Lea, Mary-Anne; Hutton, Ian; Bridle, Andrew R.</t>
  </si>
  <si>
    <t>Exploring the pathology of liver, kidney, muscle, and stomach of fledgling seabirds associated with plastic ingestion</t>
  </si>
  <si>
    <t>JOURNAL OF HAZARDOUS MATERIALS</t>
  </si>
  <si>
    <t>Plastic pollution; Seabird histology; Marine debris; Australia; Shearwaters</t>
  </si>
  <si>
    <t>SHEARWATERS PUFFINUS-CARNEIPES; PERSISTENT ORGANIC POLLUTANTS; DEBRIS INGESTION; MARINE DEBRIS; POLYSTYRENE MICROPLASTICS; TAILED SHEARWATERS; NORTHERN FULMARS; ACCUMULATION; CHEMICALS; POLLUTION</t>
  </si>
  <si>
    <t>There remain significant gaps in knowledge about 'sub-lethal' impacts of plastic ingestion, particularly chronic impacts on cells, tissues, or organs. Few studies have applied traditional animal health tools, such as histopathology, to assess physiological damage to wildlife, with fewer still providing information on the dosage or exposure to plastics needed to elicit negative effects. Our study seeks to investigate a common hypothesis in plastic pollution research; that an increasing plastics burden will have an impact on an animal's health, examining two wild species with high levels of environmental exposure to plastic through their diet. Here we assess the histopathology of the muscle, upper digestive tract, liver and kidney of two seabird species that are known to be commonly exposed to plastic, comparing exposed and non-exposed individuals. Fledgling seabirds showed histopathological evidence of cumulative pressures such as starvation, disease, and endoparasite burden. However, we observed no evidence of chronic harm that could be explicitly linked to the plastics. We found one case of haemorrhage, reaffirming that large/sharp plastic foreign bodies may cause acute physical damage. Given the numerous interacting pressures on the health of fledging seabirds, including exposure to plastic, this study highlights the need to scrutinise plastic-animal interactions and research though a One Health lens.</t>
  </si>
  <si>
    <t>[Puskic, Peter S.; Roman, Lauren; Lea, Mary-Anne; Bridle, Andrew R.] Univ Tasmania, Inst Marine &amp; Antarctic Studies, Hobart, Tas, Australia; [Puskic, Peter S.; Lea, Mary-Anne] Univ Tasmania, Ctr Marine Sociol, Hobart, Tas, Australia; [Slocombe, Ron; Ploeg, Richard] Univ Melbourne, Fac Vet &amp; Agr Sci, Werribee, Vic, Australia; [Roman, Lauren] CSIRO Environm, Hobart, Tas, Australia; [Hutton, Ian] Lord Howe Isl Museum, Lord Howe Isl, Australia</t>
  </si>
  <si>
    <t>University of Tasmania; University of Tasmania; University of Melbourne</t>
  </si>
  <si>
    <t>Puskic, PS (corresponding author), Univ Tasmania, Inst Marine &amp; Antarctic Studies, Hobart, Tas, Australia.</t>
  </si>
  <si>
    <t>peter.puskic@utas.edu.au</t>
  </si>
  <si>
    <t>Lea, Mary-Anne/E-9054-2013; Roman, Lauren/K-3804-2015</t>
  </si>
  <si>
    <t>Roman, Lauren/0000-0003-3591-4905; Ploeg, Richard/0000-0001-6482-8366</t>
  </si>
  <si>
    <t>Australian Wildlife Society student grant; Detached Foundation; Holsworth Wildlife Research Endowment &amp; The Ecological Society of Australia; MONA FOMA; Screen Tasmania by the Minister for the Arts</t>
  </si>
  <si>
    <t>We acknowledge the muwinina, palawa/pakana as the original custodians of the lands of which this study took place, lutruwita/Tasmania. We pay our respects to their elders; past, present, and to those who did not reach elder status, and in particular the Indigenous muttonbirding community who provided yula samples for this study. Thanks to E. Dobson, C. Santos, A. and R. Marshall for their advice and S. Seah, J. Lavers, and A. Bond for assistance in the field. We thank the Lord Howe Island board, the Lord Howe Island Museum and the Lord Howe Island community for their engagement and assistance throughout this project. Funding for this project was provided by Bird Life NSW research fund, the Australian Geographic Society, the Australian Society for Parasitology, the Australian Wildlife Society student grant 2018, the Detached Foundation, The Holsworth Wildlife Research Endowment &amp; The Ecological Society of Australia. This work would not have been possible without the guidance of M. Leef, M. Dang, F. Ferreria, and K. Jantawongsri to whom we are very grateful. We are grateful to the re-visions from S. Smith and K. Sheehan who reviewed an early version of this manuscript as part of the lead author's PhD thesis. Special thanks to Tess Campbell and Sam Mountford, artistic col-laborators on this project, producing the short film, 'On The Shoreline'. Presented as Boundaries by Contemporary Art Tasmania in association with MONA FOMA. This project was assisted through Arts Tasmania and Screen Tasmania by the Minister for the Arts. The Boundaries installation was built by Stuart Houghton with Alex Hullah, with sound design by Jon Smeathers, image support by Jason James, images by Remi Chauvin, sound by Callum Cusick, performances by PONY CAM and curated by Lucy Bleach.r Parasitology, the Australian Wildlife Society student grant 2018, the Detached Foundation, The Holsworth Wildlife Research Endowment &amp; The Ecological Society of Australia. This work would not have been possible without the guidance of M. Leef, M. Dang, F. Ferreria, and K. Jantawongsri to whom we are very grateful. We are grateful to the re-visions from S. Smith and K. Sheehan who reviewed an early version of this manuscript as part of the lead author's PhD thesis. Special thanks to Tess Campbell and Sam Mountford, artistic col-laborators on this project, producing the short film, 'On The Shoreline'. Presented as Boundaries by Contemporary Art Tasmania in association with MONA FOMA. This project was assisted through Arts Tasmania and Screen Tasmania by the Minister for the Arts. The Boundaries installation was built by Stuart Houghton with Alex Hullah, with sound design by Jon Smeathers, image support by Jason James, images by Remi Chauvin, sound by Callum Cusick, performances by PONY CAM and curated by Lucy Bleach.</t>
  </si>
  <si>
    <t>0304-3894</t>
  </si>
  <si>
    <t>1873-3336</t>
  </si>
  <si>
    <t>J HAZARD MATER</t>
  </si>
  <si>
    <t>J. Hazard. Mater.</t>
  </si>
  <si>
    <t>MAR 5</t>
  </si>
  <si>
    <t>10.1016/j.jhazmat.2023.133306</t>
  </si>
  <si>
    <t>Engineering, Environmental; Environmental Sciences</t>
  </si>
  <si>
    <t>Engineering; Environmental Sciences &amp; Ecology</t>
  </si>
  <si>
    <t>FO0P1</t>
  </si>
  <si>
    <t>WOS:001146663800001</t>
  </si>
  <si>
    <t>Bertola, LD; Brüniche-Olsen, A; Kershaw, F; Russo, IRM; MacDonald, AJ; Sunnucks, P; Bruford, MW; Cadena, CD; Ewart, KM; de Bruyn, M; Eldridge, MDB; Frankham, R; Guayasamin, JM; Grueber, CE; Hoareau, TB; Hoban, S; Hohenlohe, PA; Hunter, ME; Kotze, A; Kuja, J; Lacy, RC; Laikre, L; Lo, N; Meek, MH; Mergeay, J; Mittan-Moreau, C; Neaves, LE; O'Brien, D; Ochieng, JW; Ogden, R; Orozco-terWengel, P; Páez-Vacas, M; Pierson, J; Ralls, K; Shaw, RE; Sogbohossou, EA; Stow, A; Steeves, T; Vernesi, C; Watsa, M; Segelbacher, G</t>
  </si>
  <si>
    <t>Bertola, Laura D.; Brueniche-Olsen, Anna; Kershaw, Francine; Russo, Isa-Rita M.; MacDonald, Anna J.; Sunnucks, Paul; Bruford, Michael W.; Cadena, Carlos Daniel; Ewart, Kyle M.; de Bruyn, Mark; Eldridge, Mark D. B.; Frankham, Richard; Guayasamin, Juan M.; Grueber, Catherine E.; Hoareau, Thierry B.; Hoban, Sean; Hohenlohe, Paul A.; Hunter, Margaret E.; Kotze, Antoinette; Kuja, Josiah; Lacy, Robert C.; Laikre, Linda; Lo, Nathan; Meek, Mariah H.; Mergeay, Joachim; Mittan-Moreau, Cinnamon; Neaves, Linda E.; O'Brien, David; Ochieng, Joel W.; Ogden, Rob; Orozco-terWengel, Pablo; Paez-Vacas, Monica; Pierson, Jennifer; Ralls, Katherine; Shaw, Robyn E.; Sogbohossou, Etotepe A.; Stow, Adam; Steeves, Tammy; Vernesi, Cristiano; Watsa, Mrinalini; Segelbacher, Gernot</t>
  </si>
  <si>
    <t>A pragmatic approach for integrating molecular tools into biodiversity conservation</t>
  </si>
  <si>
    <t>CONSERVATION SCIENCE AND PRACTICE</t>
  </si>
  <si>
    <t>conservation; management; molecular tools</t>
  </si>
  <si>
    <t>GENOMICS; GENETICS</t>
  </si>
  <si>
    <t>Molecular tools are increasingly applied for assessing and monitoring biodiversity and informing conservation action. While recent developments in genetic and genomic methods provide greater sensitivity in analysis and the capacity to address new questions, they are not equally available to all practitioners: There is considerable bias across institutions and countries in access to technologies, funding, and training. Consequently, in many cases, more accessible traditional genetic data (e.g., microsatellites) are still utilized for making conservation decisions. Conservation approaches need to be pragmatic by tackling clearly defined management questions and using the most appropriate methods available, while maximizing the use of limited resources. Here we present some key questions to consider when applying the molecular toolbox for accessible and actionable conservation management. Finally, we highlight a number of important steps to be addressed in a collaborative way, which can facilitate the broad integration of molecular data into conservation. Molecular tools are increasingly applied in conservation management; however, they are not equally available to all practitioners. We here provide key questions when establishing a conservation genetic study and highlight important steps which need to be addressed when these tools are globally applied.image</t>
  </si>
  <si>
    <t>[Bertola, Laura D.; Brueniche-Olsen, Anna; Kuja, Josiah] Univ Copenhagen, Dept Biol, Sect Computat &amp; RNA Biol, Copenhagen, Denmark; [Kershaw, Francine] Nat Resources Def Council, New York, NY USA; [Russo, Isa-Rita M.; Bruford, Michael W.; Orozco-terWengel, Pablo] Cardiff Univ, Cardiff Sch Biosci, Cardiff, Wales; [MacDonald, Anna J.] Australian Antarctic Div, Dept Climate Change Energy Environm &amp; Water, Kingston, Tas, Australia; [Sunnucks, Paul] Monash Univ, Sch Biol Sci, Melbourne, Vic, Australia; [Cadena, Carlos Daniel] Univ Los Andes, Dept Ciencias Biol, Bogota, Colombia; [Ewart, Kyle M.; Grueber, Catherine E.; Lo, Nathan] Univ Sydney, Sch Life &amp; Environm Sci, Sydney, NSW, Australia; [de Bruyn, Mark] Griffith Univ, Australian Res Ctr Human Evolut, Sch Environm &amp; Sci, Brisbane, Qld, Australia; [Eldridge, Mark D. B.] Australian Museum, Australian Museum Res Inst, Sydney, NSW, Australia; [Frankham, Richard] Macquarie Univ, Sch Nat Sci, Macquarie Pk, NSW, Australia; [Guayasamin, Juan M.] Univ San Francisco Quito, Inst BIOSFERA USFQ, Colegio Ciencias Biol &amp; Ambientales COCIBA, Lab Biol Evolut, Quito, Ecuador; [Hoareau, Thierry B.] Reneco Int Wildlife Consultants LLC, POB 61741, Abu Dhabi, U Arab Emirates; [Hoareau, Thierry B.] Univ Pretoria, Dept BGM, Pretoria, South Africa; [Hoban, Sean] Morton Arboretum, Ctr Tree Sci, Lisle, IL USA; [Hohenlohe, Paul A.] Univ Idaho, Dept Biol Sci, Moscow, ID USA; [Hunter, Margaret E.] US Geol Survey, Wetland &amp; Aquat Res Ctr, Gainesville, FL USA; [Kotze, Antoinette] South African Natl Biodivers Inst, Pretoria, South Africa; [Lacy, Robert C.] Chicago Zool Soc, Species Conservat Toolkit Initiat, Brookfield, IL USA; [Laikre, Linda] Stockholm Univ, Dept Zool, Div Populat Genet, Stockholm, Sweden; [Meek, Mariah H.] Michigan State Univ, Dept Integrat Biol, AgBio Res, E Lansing, MI 48824 USA; [Meek, Mariah H.; Mittan-Moreau, Cinnamon] Michigan State Univ, Ecol Evolut &amp; Behav Program, E Lansing, MI 48824 USA; [Mergeay, Joachim] Res Inst Nat &amp; Forest, BE-9500 Geraardsbergen, Belgium; [Mergeay, Joachim] KULeuven, Lab Aquat Ecol Evolut &amp; Conservat, B-3000 Leuven, Belgium; [Neaves, Linda E.] Australian Natl Univ, Fenner Sch Environm &amp; Soc, Canberra, ACT, Australia; [O'Brien, David] NatureScot, Inverness, Scotland; [Ochieng, Joel W.] Univ Nairobi, Agr Biotechnol &amp; Wildlife Programme, Nairobi, Kenya; [Ogden, Rob] Royal Dick Sch Vet Studies, Edinburgh, Midlothian, Scotland; [Ogden, Rob] Univ Edinburgh, Roslin Inst, Edinburgh, Midlothian, Scotland; [Paez-Vacas, Monica] Univ Tecnol Indoamer, Fac Ciencias Medio Ambiente, Ctr Invest Biodiversidad &amp; Cambio Climat BioCamb, Quito, Ecuador; [Paez-Vacas, Monica] Univ Tecnol Indoamer, Fac Ciencias Medio Ambiente, Ingn Biodiversidad &amp; Recursos Genet, Quito, Ecuador; [Paez-Vacas, Monica] Fdn Jambatu, Ctr Jambatu Invest &amp; Conservac Anfibios, Quito, Ecuador; [Pierson, Jennifer] Australian Wildlife Conservancy, Subiaco, WA, Australia; [Ralls, Katherine] Natl Zool Pk, Smithsonian Conservat Biol Inst, Ctr Conservat Genom, Washington, DC USA; [Shaw, Robyn E.] Dept Biodivers Conservat &amp; Attract, Biodivers &amp; Conservat Sci, Perth, WA, Australia; [Sogbohossou, Etotepe A.] Univ Abomey Calavi, Lab Appl Ecol, Cotonou, Benin; [Stow, Adam] Macquarie Univ, Dept Biol Sci, Sydney, NSW, Australia; [Steeves, Tammy] Univ Canterbury, Sch Biol Sci, Christchurch, New Zealand; [Vernesi, Cristiano] Fdn Edmund Mach, Res &amp; Innovat Ctr, Forest Ecol Unit, San Michele All Adige, TN, Italy; [Watsa, Mrinalini] San Diego Zoo Wildlife Alliance, Populat Sustainabil, Escondido, CA USA; [Segelbacher, Gernot] Univ Freiburg, Wildlife Ecol &amp; Management, Tennenbacher Str 4, D-79106 Freiburg, Germany</t>
  </si>
  <si>
    <t>University of Copenhagen; Cardiff University; Australian Antarctic Division; Melbourne Genomics Health Alliance; Monash University; Universidad de los Andes (Colombia); University of Sydney; Griffith University; Australian Museum; Macquarie University; Universidad San Francisco de Quito; University of Pretoria; Idaho; University of Idaho; United States Department of the Interior; United States Geological Survey; South African National Biodiversity Institute; Stockholm University; Michigan State University; Michigan State University AgBioResearch; Michigan State University; Research Institute for Nature &amp; Forest; KU Leuven; Australian National University; University of Nairobi; University of Edinburgh; UK Research &amp; Innovation (UKRI); Biotechnology and Biological Sciences Research Council (BBSRC); Roslin Institute; University of Edinburgh; Australian Wildlife Conservancy; Smithsonian Institution; Smithsonian National Zoological Park &amp; Conservation Biology Institute; University of Abomey Calavi; Macquarie University; University of Canterbury; Fondazione Edmund Mach; University of Freiburg</t>
  </si>
  <si>
    <t>Bertola, LD (corresponding author), Univ Copenhagen, Dept Biol, Sect Computat &amp; RNA Biol, Copenhagen, Denmark.;Segelbacher, G (corresponding author), Univ Freiburg, Wildlife Ecol &amp; Management, Tennenbacher Str 4, D-79106 Freiburg, Germany.</t>
  </si>
  <si>
    <t>laura.bertola@gmail.com; gernot.segelbacher@wildlife.uni-freiburg.de</t>
  </si>
  <si>
    <t>Ewart, Kyle/AAZ-2578-2021; Segelbacher, Gernot/F-3633-2011; Mergeay, Joachim/E-7670-2011; de Bruyn, Mark/C-5568-2008</t>
  </si>
  <si>
    <t>Ewart, Kyle/0000-0002-0871-3369; Stow, Adam/0000-0002-6796-4854; Kershaw, Francine/0000-0003-2146-8094; Segelbacher, Gernot/0000-0002-8024-7008; Mergeay, Joachim/0000-0002-6504-0551; Paez-Vacas, Monica/0000-0003-2259-9619; de Bruyn, Mark/0000-0003-1528-9604; Cadena, Carlos Daniel/0000-0003-4530-2478; Bruniche-Olsen, Anna/0000-0002-3364-2064; Russo, Isa-Rita/0000-0001-9504-3633</t>
  </si>
  <si>
    <t>Projekt DEAL</t>
  </si>
  <si>
    <t>We dedicate this paper to our colleague, mentor, and friend, the late Michael W. Bruford, who died on 13, April 2023 and contributed to an earlier version of this paper. Any use of trade, firm, or product names is for descriptive purposes only and does not imply endorsement by the U.S. Government. Open Access funding enabled and organized by Projekt DEAL.</t>
  </si>
  <si>
    <t>2578-4854</t>
  </si>
  <si>
    <t>CONSERV SCI PRACT</t>
  </si>
  <si>
    <t>Conserv. Sci. Pract.</t>
  </si>
  <si>
    <t>10.1111/csp2.13053</t>
  </si>
  <si>
    <t>Biodiversity Conservation</t>
  </si>
  <si>
    <t>Biodiversity &amp; Conservation</t>
  </si>
  <si>
    <t>FA4B3</t>
  </si>
  <si>
    <t>WOS:001138192500001</t>
  </si>
  <si>
    <t>Elvines, DM; Smeaton, M; Ross, DJ; White, CA; Macleod, CK; Bury, SJ; Brown, JCS; Hopkins, GA</t>
  </si>
  <si>
    <t>Elvines, D. M.; Smeaton, M.; Ross, D. J.; White, C. A.; Macleod, C. K.; Bury, S. J.; Brown, J. C. S.; Hopkins, G. A.</t>
  </si>
  <si>
    <t>Performance of biochemical tools as fish waste particle tracers in a dispersive marine system</t>
  </si>
  <si>
    <t>Finfish aquaculture; Depositional footprint; Environmental effects; Fatty acids; Fish waste marker; Organic enrichment</t>
  </si>
  <si>
    <t>MULTI-TROPHIC AQUACULTURE; MUSSELS-MYTILUS-EDULIS; ORGANIC-MATTER; MACROALGAL BIOINDICATORS; ENVIRONMENTAL-IMPACT; ATLANTIC SALMON; BENTHIC IMPACTS; FARM; GROWTH; ENRICHMENT</t>
  </si>
  <si>
    <t>As finfish aquaculture expands to more dispersive coastal environments, inputs of aquaculture-derived organic matter become more diffuse, but widespread. Significant amounts of organic material are likely to be exported beyond the near-farm area, where it may encounter sensitive habitats. Biochemical tracers of organic matter, such as stable isotopes and fatty acids may be useful tools for detecting diffuse waste deposition. We used numerical modelling of direct and resuspended farm waste deposition and empirical environmental measurements to evaluate a range of biochemical indicators (major nutrients, bulk stable isotopes, fatty acids, minor and trace elements) for their efficacy as particle tracers of fish waste around a shallow water (similar to 30 m) salmon farm, in a dispersive coastal farming area. We also compared their efficacy across a range of sampling approaches (in sediment trap material, sediment and Mytilus edulis as a bio-indicator). Elemental carbon, nitrogen and zinc indicators could accurately reflect predicted waste deposition close to the farm, but only terrestrial fatty acid indicators were able to reflect diffuse wastes farther afield suggesting they are more sensitive tracers of fish waste. Their performance as tracers also differed between sediment trap and sediment samples, with most performing better in sediment trap samples. Although translocated mussels showed evidence of fish waste assimilation in areas of high waste deposition, tissue concentrations of fish waste tracers correlated relatively poorly with modelled waste deposition. Our results highlight the sensitivity of terrestrial fatty acids as fish waste tracers for detecting diffuse waste deposition, and demonstrate that concentrations of a number of elements can be used for mapping acute waste deposition. Our findings can inform selection of biochemical tracers for improved monitoring and management of farm wastes in dispersive marine systems.</t>
  </si>
  <si>
    <t>[Elvines, D. M.; Smeaton, M.; Hopkins, G. A.] Cawthron Inst, Nelson 7010, New Zealand; [Elvines, D. M.; Ross, D. J.; White, C. A.; Macleod, C. K.] Univ Tasmania, Inst Marine &amp; Antarctic Studies, Private Bag 49, Hobart, Tas 7001, Australia; [Bury, S. J.; Brown, J. C. S.] Natl Inst Water &amp; Atmospher Res, Wellington, New Zealand</t>
  </si>
  <si>
    <t>Cawthron Institute; University of Tasmania; National Institute of Water &amp; Atmospheric Research (NIWA) - New Zealand</t>
  </si>
  <si>
    <t>Elvines, DM (corresponding author), Cawthron Inst, Nelson 7010, New Zealand.;Elvines, DM (corresponding author), Univ Tasmania, Inst Marine &amp; Antarctic Studies, Private Bag 49, Hobart, Tas 7001, Australia.</t>
  </si>
  <si>
    <t>deanna.elvines@cawthron.org.nz</t>
  </si>
  <si>
    <t>New Zealand Ministry of Business, Innovation and Employment (MBIE) endeavour fund Feed -efficient salmon for the future [CAWX1606]; Cawthron Institute; Sustainable Marine Research Collaborative Agreement through the University of Tasmania Australian Government Research Training Program (RTP) Scholarship, Australia; Ministry for Primary Industries 'Postgraduate Sciences Scholarships' programme, New Zealand; New Zealand Ministry of Business, Innovation and Employment (MBIE) endeavour fund Feed-efficient salmon for the future [CAWX1606]</t>
  </si>
  <si>
    <t>New Zealand Ministry of Business, Innovation and Employment (MBIE) endeavour fund Feed -efficient salmon for the future; Cawthron Institute; Sustainable Marine Research Collaborative Agreement through the University of Tasmania Australian Government Research Training Program (RTP) Scholarship, Australia; Ministry for Primary Industries 'Postgraduate Sciences Scholarships' programme, New Zealand; New Zealand Ministry of Business, Innovation and Employment (MBIE) endeavour fund Feed-efficient salmon for the future</t>
  </si>
  <si>
    <t>This work was funded by Cawthron Institute, the Sustainable Marine Research Collaborative Agreement through the University of Tasmania Australian Government Research Training Program (RTP) Scholarship, Australia; Ministry for Primary Industries 'Postgraduate Sciences Scholarships' programme, New Zealand;, and contributes to the New Zealand Ministry of Business, Innovation and Employment (MBIE) endeavour fund Feed-efficient salmon for the future (CAWX1606) with participation from collaborative finfish aquaculture industry operators and government organisations. The authors declare that they have no conflicting interests that could have appeared to influence the work reported in this paper. We are grateful for the help of Cawthron Institutes Simon Madill, Marc Jary, Emily McGrath and Marlborough Commercial Dive Services James Brodie and Mark Hodren for assistance with sample collection and fieldwork. For sample preparation and analyses we thank Matt Miller and the Food Lab team (Cawthron Institute) , Malcolm Reid and David Barr (Otago University) and Josette Delgado and Rahul Peethambaran (NIWA) . Thanks also to Cawthron Institutes Paula Casanovas, Rob Major, Maureen Ho and Heliose Pavanato for assistance with data analysis and presentation.</t>
  </si>
  <si>
    <t>10.1016/j.ecolind.2023.111474</t>
  </si>
  <si>
    <t>FO9Y6</t>
  </si>
  <si>
    <t>WOS:001146913000001</t>
  </si>
  <si>
    <t>Wang, YT; Wu, QL; Zhang, XY; Zhai, ZS</t>
  </si>
  <si>
    <t>Wang, Yetang; Wu, Qingli; Zhang, Xueying; Zhai, Zhaosheng</t>
  </si>
  <si>
    <t>Record-breaking Antarctic snowfall in 2022 delays global sea level rise</t>
  </si>
  <si>
    <t>SCIENCE BULLETIN</t>
  </si>
  <si>
    <t>[Wang, Yetang; Wu, Qingli; Zhang, Xueying; Zhai, Zhaosheng] Shandong Normal Univ, Coll Geog &amp; Environm, Jinan 250014, Peoples R China</t>
  </si>
  <si>
    <t>Shandong Normal University</t>
  </si>
  <si>
    <t>Wang, YT (corresponding author), Shandong Normal Univ, Coll Geog &amp; Environm, Jinan 250014, Peoples R China.</t>
  </si>
  <si>
    <t>National Natural Science Foundation of China [41971081, 41830644]; National Key Research and Development Program of China [2020YFA0608202]; Strategic Priority Research Program of the Chinese Academy of Sciences [XDA19070103]; Project for Outstanding Youth Innovation Team in the Universities of Shandong Province [2019KJH011]</t>
  </si>
  <si>
    <t>National Natural Science Foundation of China(National Natural Science Foundation of China (NSFC)); National Key Research and Development Program of China; Strategic Priority Research Program of the Chinese Academy of Sciences(Chinese Academy of Sciences); Project for Outstanding Youth Innovation Team in the Universities of Shandong Province</t>
  </si>
  <si>
    <t>This work was supported by the National Natural Science Foundation of China (41971081 and 41830644) , the National Key Research and Development Program of China (2020YFA0608202) , the Strategic Priority Research Program of the Chinese Academy of Sciences (XDA19070103) , and the Project for Outstanding Youth Innovation Team in the Universities of Shandong Province (2019KJH011) .</t>
  </si>
  <si>
    <t>2095-9273</t>
  </si>
  <si>
    <t>2095-9281</t>
  </si>
  <si>
    <t>SCI BULL</t>
  </si>
  <si>
    <t>Sci. Bull.</t>
  </si>
  <si>
    <t>DEC 30</t>
  </si>
  <si>
    <t>10.1016/j.scib.2023.08.055</t>
  </si>
  <si>
    <t>FM9I0</t>
  </si>
  <si>
    <t>WOS:001146352800001</t>
  </si>
  <si>
    <t>Gallagher, KL; Selig, GM; Cimino, MA</t>
  </si>
  <si>
    <t>Gallagher, Katherine L.; Selig, Gina M.; Cimino, Megan A.</t>
  </si>
  <si>
    <t>Descriptions and patterns in opportunistic marine debris collected near Palmer Station, Antarctica</t>
  </si>
  <si>
    <t>Plastic pollution; Littering; Fishing; Remote islands; Seabirds</t>
  </si>
  <si>
    <t>PLASTIC INGESTION; ISLAND SHORES; ACCUMULATION</t>
  </si>
  <si>
    <t>Observations of marine debris in Antarctica have been increasing; however, impacts, distributions, sources, and transport pathways of debris remain poorly understood. Here, we describe the spatial distribution, types, and potential origins of marine debris in 2022/2023 near Palmer Station, Antarctica. We opportunistically collected 135 pieces of marine debris with the majority of items found along shorelines (90 %), some found in/near seabird nests/colonies (7 %) and few on inland rocky terrain (3 %). Plastic and abandoned, lost, or discarded fishing gear dominated observed debris. Results suggest that wind and the Antarctic Coastal Current may be a major pathway for debris. This study is the first assessment of marine debris in this region and suggests that oceanography, weather patterns, and shoreline geomorphology could play a role in determining where debris will accumulate. Continued tracking of debris and development of structured surveys is important for understanding the impacts of human activities in a biological hotspot.</t>
  </si>
  <si>
    <t>[Gallagher, Katherine L.] SUNY Stony Brook, Inst Adv Computat Sci, 100 Nicolls Rd, Stony Brook, NY 11794 USA; [Gallagher, Katherine L.] SUNY Stony Brook, Sch Marine &amp; Atmospher Sci, 100 Nicolls Rd, Stony Brook, NY 11794 USA; [Selig, Gina M.] Hawaii Sea Grant Fellow Natl Sci Fdn, Off Polar Programs, Geosci Directorate, 2415 Eisenhower Ave Suite W7100, Alexandria, VA 22314 USA; [Cimino, Megan A.] Univ Calif Santa Cruz, Inst Marine Sci, 1156 High St, Santa Cruz, CA 95064 USA</t>
  </si>
  <si>
    <t>State University of New York (SUNY) System; State University of New York (SUNY) Stony Brook; State University of New York (SUNY) System; State University of New York (SUNY) Stony Brook; University of California System; University of California Santa Cruz</t>
  </si>
  <si>
    <t>Gallagher, KL (corresponding author), SUNY Stony Brook, Inst Adv Computat Sci, 100 Nicolls Rd, Stony Brook, NY 11794 USA.</t>
  </si>
  <si>
    <t>Katherine.L.Hudson@stonybrook.edu; gselig@nsf.gov; mecimino@ucsc.edu</t>
  </si>
  <si>
    <t>Gallagher, Katherine/0000-0002-3076-8016</t>
  </si>
  <si>
    <t>SOEST [NA22OAR4170108]; NOAA Office of Sea Grant, Department of Commerce [UNIHI-SEAGRANT-4860]</t>
  </si>
  <si>
    <t>SOEST; NOAA Office of Sea Grant, Department of Commerce(National Oceanic Atmospheric Admin (NOAA) - USA)</t>
  </si>
  <si>
    <t>This work was funded by the NSF, Office of Polar Programs (OPP - 2026045) . This research is part of Palmer Station Long-Term Ecological Research program. KLG is supported by the NSF OPP Postdoctoral Research Fellowship (Award 2138277). This paper is funded in part by a grant/cooperative agreement from NOAA, Project E/ET-38 which is sponsored by the University of Hawai'i Sea Grant College Program, SOEST, under Institutional Grant No. NA22OAR4170108 from NOAA Office of Sea Grant, Department of Commerce and grant number UNIHI-SEAGRANT-4860.r SOEST, under Institutional Grant No. NA22OAR4170108 from NOAA Office of Sea Grant, Department of Commerce and grant number UNIHI-SEAGRANT-4860.</t>
  </si>
  <si>
    <t>10.1016/j.marpolbul.2023.115952</t>
  </si>
  <si>
    <t>FF0J0</t>
  </si>
  <si>
    <t>WOS:001144227400001</t>
  </si>
  <si>
    <t>Fu, SJ; Zhang, SY; Leduc, D; Mou, JF; Lin, HS</t>
  </si>
  <si>
    <t>Fu, Sujing; Zhang, Shuyi; Leduc, Daniel; Mou, Jianfeng; Lin, Heshan</t>
  </si>
  <si>
    <t>Two new species of Sabatieria de Rouville, 1903 (Nematoda: Araeolaimida: Comesomatidae) from the Southern Ocean</t>
  </si>
  <si>
    <t>ZOOTAXA</t>
  </si>
  <si>
    <t>Free-living marine nematodes; new species; molecular phylogeny; taxonomy</t>
  </si>
  <si>
    <t>LIVING MARINE NEMATODE; CONTINENTAL-SLOPE; GENUS; FILIPJEV; RECORD; TREE</t>
  </si>
  <si>
    <t>Two new free-living marine nematode species of the genus Sabatieria de Rouville, 1903 are described from the Southern Ocean using morphological and molecular data. Sabatieria brevicaudata sp. nov. is characterized by body length 1476-1740 mu m, short cephalic setae, 13-24% corresponding body diameter long, lateral differentiation of body cuticle with only slightly coarser punctations, spiral amphidial fovea with 3 turns, spicules arcuated and 1.3-1.6 cloacal body diameter long, slightly arcuated gubernacular apophyses, and twelve precloacal supplements, in the form of small pores. Sabatieria multipora sp. nov. is characterized by body length 2139-2324 mu m, short cephalic setae (4-7 mu m long, 30-40% corresponding body diameter long), cuticle with lateral differentiation of distinctly coarser punctations extending from anterior edge of amphidial fovea to anterior of intestine and in the tail region, spiral amphidial fovea with 3 turns, males with spicules 1.9-2.0 cloacal body diameter long, seventeen fine tubular precloacal supplements with distance between adjacent supplements increasing towards anterior, and with curved gubernacular apophyses. We obtained 18S rDNA and 28S rDNA sequences from the two new species, which are both closely related to other species of Sabatieria. Our analyses also show that several genera of Comesomatidae Filipjev, 1918 do not form monophyletic clades.</t>
  </si>
  <si>
    <t>[Fu, Sujing; Zhang, Shuyi; Mou, Jianfeng; Lin, Heshan] Minist Nat Resources, Third Inst Oceanog, Xiamen 361005, Peoples R China; [Leduc, Daniel] Natl Inst Water &amp; Atmospher Res, Wellington 14901, New Zealand</t>
  </si>
  <si>
    <t>Third Institute of Oceanography, Ministry of Natural Resources; Ministry of Natural Resources of the People's Republic of China; National Institute of Water &amp; Atmospheric Research (NIWA) - New Zealand</t>
  </si>
  <si>
    <t>Lin, HS (corresponding author), Minist Nat Resources, Third Inst Oceanog, Xiamen 361005, Peoples R China.</t>
  </si>
  <si>
    <t>fusujing@tio.org.cn; zhangshuyi@tio.org.cn; Daniel.Leduc@niwa.co.nz; moujianfeng@tio.org.cn; linheshan@tio.org.cn</t>
  </si>
  <si>
    <t>Leduc, Daniel/0000-0001-5310-9198</t>
  </si>
  <si>
    <t>National Natural Science Foundation of China [42006127, 42206252]; Scientific Research Foundation of Third Institute of Oceanography, Ministry of Natural Resources, China [2022022]; Impact and Response of Antarctic Seas to Climate Change [IRASCC2020-2022, 01-02-02B 02-03]</t>
  </si>
  <si>
    <t>National Natural Science Foundation of China(National Natural Science Foundation of China (NSFC)); Scientific Research Foundation of Third Institute of Oceanography, Ministry of Natural Resources, China; Impact and Response of Antarctic Seas to Climate Change</t>
  </si>
  <si>
    <t>This work was sponsored by the National Natural Science Foundation of China (No. 42206252), the Scientific Research Foundation of Third Institute of Oceanography, Ministry of Natural Resources, China (No. 2022022), National Natural Science Foundation of China (No. 42006127), and Impact and Response of Antarctic Seas to Climate Change (IRASCC2020-2022-NO.01-02-02B &amp; 02-03). The authors are grateful to Dr. Enming He of Fujian Institute of Subtropical Botany for providing valuable comments on the manuscript, to Zhihua Chen of First Institute of Oceanography, Ministry of Natural Resources, China for providing environmental factors, to Sheng Zeng for the help in the molecular analysis. We are grateful to two anonymous reviewers for their valuable comments and suggestions.</t>
  </si>
  <si>
    <t>MAGNOLIA PRESS</t>
  </si>
  <si>
    <t>AUCKLAND</t>
  </si>
  <si>
    <t>250F Marua Road Mt Wellington, AUCKLAND, ST LUKES 1023, NEW ZEALAND</t>
  </si>
  <si>
    <t>1175-5326</t>
  </si>
  <si>
    <t>1175-5334</t>
  </si>
  <si>
    <t>Zootaxa</t>
  </si>
  <si>
    <t>DEC 22</t>
  </si>
  <si>
    <t>10.11646/zootaxa.5389.5.3</t>
  </si>
  <si>
    <t>HS8Z8</t>
  </si>
  <si>
    <t>WOS:001161600200003</t>
  </si>
  <si>
    <t>Lau, SCY; Wilson, NG; Golledge, NR; Naish, TR; Watts, PC; Silva, CNS; Cooke, IR; Allcock, AL; Mark, FC; Linse, K; Strugnell, JM</t>
  </si>
  <si>
    <t>Lau, Sally C. Y.; Wilson, Nerida G.; Golledge, Nicholas R.; Naish, Tim R.; Watts, Phillip C.; Silva, Catarina N. S.; Cooke, Ira R.; Allcock, A. Louise; Mark, Felix C.; Linse, Katrin; Strugnell, Jan M.</t>
  </si>
  <si>
    <t>Genomic evidence for West Antarctic Ice Sheet collapse during the Last Interglacial</t>
  </si>
  <si>
    <t>SCIENCE</t>
  </si>
  <si>
    <t>POPULATION-SIZE CHANGES; SEA-LEVEL RISE; CRYPTIC SPECIATION; READ ALIGNMENT; FUTURE; DIVERSITY; PATTERNS; INVERTEBRATES; BIODIVERSITY; ADAPTATION</t>
  </si>
  <si>
    <t>The marine-based West Antarctic Ice Sheet (WAIS) is considered vulnerable to irreversible collapse under future climate trajectories, and its tipping point may lie within the mitigated warming scenarios of 1.5 degrees to 2 degrees C of the United Nations Paris Agreement. Knowledge of ice loss during similarly warm past climates could resolve this uncertainty, including the Last Interglacial when global sea levels were 5 to 10 meters higher than today and global average temperatures were 0.5 degrees to 1.5 degrees C warmer than preindustrial levels. Using a panel of genome-wide, single-nucleotide polymorphisms of a circum-Antarctic octopus, we show persistent, historic signals of gene flow only possible with complete WAIS collapse. Our results provide the first empirical evidence that the tipping point of WAIS loss could be reached even under stringent climate mitigation scenarios.</t>
  </si>
  <si>
    <t>[Lau, Sally C. Y.; Silva, Catarina N. S.; Strugnell, Jan M.] James Cook Univ, Ctr Sustainable Trop Fisheries &amp; Aquaculture, Townsville, Qld, Australia; [Lau, Sally C. Y.; Silva, Catarina N. S.; Strugnell, Jan M.] James Cook Univ, Coll Sci &amp; Engn, Townsville, Qld, Australia; [Lau, Sally C. Y.; Strugnell, Jan M.] James Cook Univ, Securing Antarct Environm Future, Townsville, Qld, Australia; [Wilson, Nerida G.] Western Australian Museum, Collect &amp; Res, Welshpool, WA, Australia; [Wilson, Nerida G.] Univ Western Australia, Sch Biol Sci, Perth, WA, Australia; [Wilson, Nerida G.] Western Australian Museum, Securing Antarct Environm Future, Welshpool, WA, Australia; [Golledge, Nicholas R.; Naish, Tim R.] Victoria Univ Wellington, Antarctic Res Ctr, Wellington, New Zealand; [Watts, Phillip C.] Univ Jyvaskyla, Dept Biol &amp; Environm Sci, Jyvaskyla, Finland; [Silva, Catarina N. S.] Univ Coimbra, Ctr Funct Ecol Sci People &amp; Planet CFE, Dept Life Sci, Associate Lab TERRA, Coimbra, Portugal; [Cooke, Ira R.] James Cook Univ, Ctr Trop Bioinformat &amp; Mol Biol, Townsville, Qld, Australia; [Allcock, A. Louise] Univ Galway, Sch Nat Sci, Galway, Ireland; [Allcock, A. Louise] Univ Galway, Ryan Inst, Galway, Ireland; [Mark, Felix C.] Alfred Wegener Inst, Helmholtz Ctr Polar &amp; Marine Res, Bremerhaven, Germany; [Linse, Katrin] British Antarctic Survey, Cambridge, England</t>
  </si>
  <si>
    <t>James Cook University; James Cook University; James Cook University; Western Australian Museum; University of Western Australia; Western Australian Museum; Victoria University Wellington; University of Jyvaskyla; Universidade de Coimbra; James Cook University; Ollscoil na Gaillimhe-University of Galway; Ollscoil na Gaillimhe-University of Galway; Helmholtz Association; Alfred Wegener Institute, Helmholtz Centre for Polar &amp; Marine Research; UK Research &amp; Innovation (UKRI); Natural Environment Research Council (NERC); NERC British Antarctic Survey</t>
  </si>
  <si>
    <t>Lau, SCY (corresponding author), James Cook Univ, Ctr Sustainable Trop Fisheries &amp; Aquaculture, Townsville, Qld, Australia.;Lau, SCY (corresponding author), James Cook Univ, Coll Sci &amp; Engn, Townsville, Qld, Australia.;Lau, SCY (corresponding author), James Cook Univ, Securing Antarct Environm Future, Townsville, Qld, Australia.</t>
  </si>
  <si>
    <t>cheukying.lau@jcu.edu.au</t>
  </si>
  <si>
    <t>Mark, Felix Christopher/P-4759-2016; Strugnell, Jan M/P-9921-2016; Allcock, Louise/A-7359-2012; Cooke, Ira R/B-4409-2008; Nunes Soares Silva, Catarina/A-8402-2008; Wilson, Nerida/G-8433-2011</t>
  </si>
  <si>
    <t>Mark, Felix Christopher/0000-0002-5586-6704; Allcock, Louise/0000-0002-4806-0040; Golledge, Nicholas/0000-0001-7676-8970; Strugnell, Jan/0000-0003-2994-637X; Nunes Soares Silva, Catarina/0000-0001-9401-2616; Watts, Phillip/0000-0001-7755-187X; Cooke, Ira/0000-0001-6520-1397; Wilson, Nerida/0000-0002-0784-0200; Lau, Sally/0000-0002-4955-2530</t>
  </si>
  <si>
    <t>Australian Research Council(ARC) Discovery [DP190101347]; New Zealand Ministry of Business, Innovation and Employment through the Antarctic Science Platform [ANTA1801]; Thomas Davies Research grant (Australian Academy of Science); David Pearse bequest, Antarctic Science Bursary, Antarctic PhD student support grant (Antarctic Science Foundation); Australasian e Research Organisations (AeRO) Cloud Grant; CoSyst grant; Academy of Finland [305532]; Australian Research Council (ARC) [SR200100005]; Scientific Committee on Antarctic Research (SCAR) INSTANT program; Academy of Finland (AKA) [305532] Funding Source: Academy of Finland (AKA)</t>
  </si>
  <si>
    <t>Australian Research Council(ARC) Discovery(Australian Research Council); New Zealand Ministry of Business, Innovation and Employment through the Antarctic Science Platform(New Zealand Ministry of Business, Innovation and Employment (MBIE)); Thomas Davies Research grant (Australian Academy of Science); David Pearse bequest, Antarctic Science Bursary, Antarctic PhD student support grant (Antarctic Science Foundation); Australasian e Research Organisations (AeRO) Cloud Grant; CoSyst grant; Academy of Finland(Research Council of Finland); Australian Research Council (ARC)(Australian Research Council); Scientific Committee on Antarctic Research (SCAR) INSTANT program; Academy of Finland (AKA)(Research Council of Finland)</t>
  </si>
  <si>
    <t>This work was supported by the following: Australian Research Council(ARC) Discovery grant DP190101347 (to J.M.S., N.G.W., N.R.G., and T.R.N.); New Zealand Ministry of Business, Innovation and Employment through the Antarctic Science Platform (ANTA1801)(to N.R.G. and T.R.N.); Thomas Davies Research grant (Australian Academy of Science) (to J.M.S.); David Pearse bequest, Antarctic Science Bursary, Antarctic PhD student support grant (Antarctic Science Foundation), and Australasian e Research Organisations (AeRO) Cloud Grant (to S.C.Y.L.); CoSyst grant (to J.M.S. and P.C.W.); Academy of Finland grant 305532 (to P.C.W.); Australian Research Council (ARC) SRIEAS Grant SR200100005 Securing Antarctica's Environmental Future; Scientific Committee on Antarctic Research (SCAR) INSTANT program.</t>
  </si>
  <si>
    <t>AMER ASSOC ADVANCEMENT SCIENCE</t>
  </si>
  <si>
    <t>1200 NEW YORK AVE, NW, WASHINGTON, DC 20005 USA</t>
  </si>
  <si>
    <t>0036-8075</t>
  </si>
  <si>
    <t>1095-9203</t>
  </si>
  <si>
    <t>Science</t>
  </si>
  <si>
    <t>10.1126/science.ade0664</t>
  </si>
  <si>
    <t>CX6J1</t>
  </si>
  <si>
    <t>Green Published</t>
  </si>
  <si>
    <t>WOS:001128567800034</t>
  </si>
  <si>
    <t>Jayakody, DY; Adams, VM; Pecl, G; Lester, E</t>
  </si>
  <si>
    <t>Jayakody, D. Y.; Adams, V. M.; Pecl, G.; Lester, E.</t>
  </si>
  <si>
    <t>What makes a place special? Understanding drivers and the nature of place attachment</t>
  </si>
  <si>
    <t>APPLIED GEOGRAPHY</t>
  </si>
  <si>
    <t>Climate adaptation; Landscape values; Natural resources; Protected areas; Participatory GIS; Tasmania; Australia</t>
  </si>
  <si>
    <t>PUBLIC-PARTICIPATION GIS; VALUES; PPGIS</t>
  </si>
  <si>
    <t>Place attachment is a key factor in understanding human-nature interactions; Research has shown that place attachment and its influence on environmental behaviour can be positive or negative based on local circumstances. With changing environments, as with climate change, a place-based understanding of place attachment is, therefore, critical to the success of local environmental efforts. Available quantitative and qualitative measures of place attachment can be difficult to translate to spatial planning. Map-based measures provide an operational bridge to spatial planning but cannot easily glean crucial local and personal contexts. This study combined participatory mapping with psychometric scales and interviews to explore place attachment along the East Coast of Tasmania. This integration of approaches provided critical context to findings that are necessary for successful place-based planning. Our results demonstrated that participants strongly identified with the region. Spatial data emphasised the importance of surrounding natural settings, especially protected areas and coastal landscapes, and the recreational, aesthetic, and biological values of these places, to their place attachment. Interviews suggested that interaction with these natural places is critical to participant's sense of self and wellbeing. Consequently, some individuals expressed dissatisfaction and sometimes opposition to management decisions that restricted their continued experience of natural places.</t>
  </si>
  <si>
    <t>[Jayakody, D. Y.; Adams, V. M.; Lester, E.] Univ Tasmania, Sch Geog Planning &amp; Spatial Sci, Hobart, Australia; [Jayakody, D. Y.; Adams, V. M.; Pecl, G.; Lester, E.] Univ Tasmania, Ctr Marine Socioecol, Hobart, Australia; [Pecl, G.] Univ Tasmania, Inst Marine &amp; Antarctic Studies, Hobart, Australia; [Lester, E.] Univ Tasmania, Inst Social Change, Hobart, Tas, Australia; [Jayakody, D. Y.] Univ Tasmania, Private Bag 78,Sandy Bay Campus, Hobart, Tas 7001, Australia</t>
  </si>
  <si>
    <t>University of Tasmania; University of Tasmania; University of Tasmania; University of Tasmania; University of Tasmania</t>
  </si>
  <si>
    <t>Jayakody, DY (corresponding author), Univ Tasmania, Private Bag 78,Sandy Bay Campus, Hobart, Tas 7001, Australia.</t>
  </si>
  <si>
    <t>dimuthu.jayakody@utas.edu.au</t>
  </si>
  <si>
    <t>Pecl, Gretta/D-7267-2011; Adams, Vanessa/A-3834-2012</t>
  </si>
  <si>
    <t>Pecl, Gretta/0000-0003-0192-4339; Adams, Vanessa/0000-0002-3509-7901</t>
  </si>
  <si>
    <t>University of Tasmania, Australia; Centre for Marine Socioecology, Tasmania, Australia</t>
  </si>
  <si>
    <t>This work was supported by the University of Tasmania, Australia and the Centre for Marine Socioecology, Tasmania, Australia.</t>
  </si>
  <si>
    <t>0143-6228</t>
  </si>
  <si>
    <t>1873-7730</t>
  </si>
  <si>
    <t>APPL GEOGR</t>
  </si>
  <si>
    <t>Appl. Geogr.</t>
  </si>
  <si>
    <t>10.1016/j.apgeog.2023.103177</t>
  </si>
  <si>
    <t>Geography</t>
  </si>
  <si>
    <t>Social Science Citation Index (SSCI)</t>
  </si>
  <si>
    <t>FD1P7</t>
  </si>
  <si>
    <t>WOS:001143727900001</t>
  </si>
  <si>
    <t>Barra, M; Guglielmo, L; Bonanno, A; Mangoni, O; Rivaro, P; Rumolo, P; Falco, P; Basilone, G; Fontana, I; Ferreri, R; Giacalone, G; Aronica, S; Minutoli, R; Memmola, F; Granata, A; Genovese, S</t>
  </si>
  <si>
    <t>Barra, Marco; Guglielmo, Letterio; Bonanno, Angelo; Mangoni, Olga; Rivaro, Paola; Rumolo, Paola; Falco, Pierpaolo; Basilone, Gualtiero; Fontana, Ignazio; Ferreri, Rosalia; Giacalone, Giovanni; Aronica, Salvatore; Minutoli, Roberta; Memmola, Francesco; Granata, Antonia; Genovese, Simona</t>
  </si>
  <si>
    <t>Vertical structure characterization of acoustically detected zooplankton aggregation: a case study from the Ross Sea</t>
  </si>
  <si>
    <t>FRONTIERS IN MARINE SCIENCE</t>
  </si>
  <si>
    <t>Euphausia superba; Euphausia crystallorophias; vertical distribution; Ross Sea; sound scattering layers</t>
  </si>
  <si>
    <t>TERRA-NOVA BAY; EUPHAUSIA-CRYSTALLOROPHIAS; PELAGIC FISH; ANTARCTIC SILVERFISH; COMMUNITY STRUCTURE; SARDINELLA-AURITA; AUSTRAL SUMMER; AMUNDSEN SEA; FATTY-ACID; ABUNDANCE</t>
  </si>
  <si>
    <t>Acoustic data were collected by means of Simrad EK60 scientific echosounder on board the research vessel Italica in the Ross Sea during the 2016/2017 austral summer as part of the P-Rose and CELEBeR projects, within the framework of the Italian National Research Program in Antarctica (PNRA). Sampling activities also involved the collection of vertical hydrological profiles using the SBE 9/11plus oceanographic probe. Acoustic data were processed to extract three specific scattering structures linked to Euphausia superba, Euphausia crystallorophias and the so called Sound-Scattering Layers (SSLs; continuous and low-density acoustic structures constituted by different taxa). Four different sectors of the study area were considered: two southern coastal sectors (between the Drygalski Ice Tongue and Coulman Island), a northern sector (similar to 30 nmi East of Cape Hallett) and an offshore one spanning about 2 degrees of latitude from Coulman Island south to the Drygalski Ice Tongue. The vertical structure of each group in each area was then analyzed in relation to the observed environmental conditions. Obtained results highlighted the presence of different vertical structures (both environmental and acoustic) among areas, except for the two southern coastal sectors that were found similar. GAM modelling permitted to evidence specific relationships between the environmental factors and the vertical distribution of the considered acoustic groups, letting to hypothesize the presence of trophic relationships and differences in SSL species composition among areas. The advantages of acoustic techniques to implement opportunistic monitoring strategies in endangered ecosystems are also discussed.</t>
  </si>
  <si>
    <t>[Barra, Marco; Rumolo, Paola] Natl Res Council CNR, Inst Marine Sci, Naples, Italy; [Guglielmo, Letterio] Stn Zool Anton Dohrn, Integrat Marine Ecol Dept, Naples, Italy; [Bonanno, Angelo; Basilone, Gualtiero; Fontana, Ignazio; Ferreri, Rosalia; Giacalone, Giovanni; Aronica, Salvatore; Genovese, Simona] Natl Res Council CNR, Inst Study Anthrop Impacts &amp; Sustainabil Marine En, SS Capo Granitola, Trapani, Italy; [Mangoni, Olga] Univ Naples Federico II, Dept Biol, Naples, Italy; [Rivaro, Paola] Univ Genoa, Dept Chem &amp; Ind Chem, Genoa, Italy; [Falco, Pierpaolo; Memmola, Francesco] Marche Polytech Univ, Dept Life &amp; Environm Sci, Ancona, Italy; [Minutoli, Roberta; Granata, Antonia] Univ Messina, Dept Chem Biol Pharmaceut &amp; Environm Sci, Messina, Italy</t>
  </si>
  <si>
    <t>Consiglio Nazionale delle Ricerche (CNR); Istituto di Scienze Marine (ISMAR-CNR); Stazione Zoologica Anton Dohrn di Napoli; University of Naples Federico II; University of Genoa; Marche Polytechnic University; University of Messina</t>
  </si>
  <si>
    <t>Bonanno, A (corresponding author), Natl Res Council CNR, Inst Study Anthrop Impacts &amp; Sustainabil Marine En, SS Capo Granitola, Trapani, Italy.</t>
  </si>
  <si>
    <t>angelo.bonanno@cnr.it</t>
  </si>
  <si>
    <t>Memmola, Francesco/0009-0005-8003-6728</t>
  </si>
  <si>
    <t>Italian National Program for Antarctic Research [PNRA16_00239, PNRA16_00207]</t>
  </si>
  <si>
    <t>Italian National Program for Antarctic Research</t>
  </si>
  <si>
    <t>The authors express their gratitude to Italian Antarctic National Program (PNRA) and the scientific personnel and crew of the research vessel Italica for logistical support.r The author(s) declare financial support was received for the research, authorship, and/or publication of this article. This study was funded by the Italian National Program for Antarctic Research, in the framework of the Projects P-ROSE (PNRA16_00239) and CELEBeR (PNRA16_00207).</t>
  </si>
  <si>
    <t>FRONTIERS MEDIA SA</t>
  </si>
  <si>
    <t>LAUSANNE</t>
  </si>
  <si>
    <t>AVENUE DU TRIBUNAL FEDERAL 34, LAUSANNE, CH-1015, SWITZERLAND</t>
  </si>
  <si>
    <t>2296-7745</t>
  </si>
  <si>
    <t>FRONT MAR SCI</t>
  </si>
  <si>
    <t>Front. Mar. Sci.</t>
  </si>
  <si>
    <t>10.3389/fmars.2023.1304493</t>
  </si>
  <si>
    <t>EB7I9</t>
  </si>
  <si>
    <t>WOS:001136510800001</t>
  </si>
  <si>
    <t>Yermakova, Y; Hingley, R; Shibata, A</t>
  </si>
  <si>
    <t>Yermakova, Yelena; Hingley, Rebecca; Shibata, Akiho</t>
  </si>
  <si>
    <t>The policy-law-science nexus in the Antarctic</t>
  </si>
  <si>
    <t>ANTARCTIC SCIENCE</t>
  </si>
  <si>
    <t>Editorial Material; Early Access</t>
  </si>
  <si>
    <t>Antarctic Treaty System; climate change; law; policy; SCAR; science-based decision-making</t>
  </si>
  <si>
    <t>TREATY SYSTEM</t>
  </si>
  <si>
    <t>[Yermakova, Yelena] Princeton Univ, Princeton Inst Int &amp; Reg Studies, Princeton, NJ USA; [Hingley, Rebecca] Univ Tasmania, Inst Marine &amp; Antarctic Studies, IMAS, Hobart, Tas 7250, Australia; [Shibata, Akiho] Kobe Univ, Polar Cooperat Res Ctr PCRC, Kobe, Japan</t>
  </si>
  <si>
    <t>Princeton University; University of Tasmania; Kobe University</t>
  </si>
  <si>
    <t>Shibata, A (corresponding author), Kobe Univ, Polar Cooperat Res Ctr PCRC, Kobe, Japan.</t>
  </si>
  <si>
    <t>akihos@kobe-u.ac.jp</t>
  </si>
  <si>
    <t>Shibata, Akiho/0000-0002-8201-9412</t>
  </si>
  <si>
    <t>Mitsubishi Foundation [18KT0006]; JSPS KAKENHI [2020-3, ArCS II JPMXD1420318865]; Mitsubishi Foundation</t>
  </si>
  <si>
    <t>Mitsubishi Foundation; JSPS KAKENHI(Ministry of Education, Culture, Sports, Science and Technology, Japan (MEXT)Japan Society for the Promotion of ScienceGrants-in-Aid for Scientific Research (KAKENHI)); Mitsubishi Foundation</t>
  </si>
  <si>
    <t>Research activities under the PoLSciNex Action Group, including its fellowships to early-career scholars during 2019-2021, are partially funded by JSPS KAKENHI 18KT0006, Mitsubishi Foundation 2020-3 and ArCS II JPMXD1420318865.</t>
  </si>
  <si>
    <t>CAMBRIDGE UNIV PRESS</t>
  </si>
  <si>
    <t>CAMBRIDGE</t>
  </si>
  <si>
    <t>EDINBURGH BLDG, SHAFTESBURY RD, CB2 8RU CAMBRIDGE, ENGLAND</t>
  </si>
  <si>
    <t>0954-1020</t>
  </si>
  <si>
    <t>1365-2079</t>
  </si>
  <si>
    <t>ANTARCT SCI</t>
  </si>
  <si>
    <t>Antarct. Sci.</t>
  </si>
  <si>
    <t>2023 DEC 22</t>
  </si>
  <si>
    <t>10.1017/S0954102023000317</t>
  </si>
  <si>
    <t>Environmental Sciences; Geography, Physical; Geosciences, Multidisciplinary</t>
  </si>
  <si>
    <t>Environmental Sciences &amp; Ecology; Physical Geography; Geology</t>
  </si>
  <si>
    <t>DB7B0</t>
  </si>
  <si>
    <t>Bronze</t>
  </si>
  <si>
    <t>WOS:001129626400001</t>
  </si>
  <si>
    <t>Cormack, A; Slavich, E; Negrete, J; Bornemann, H; Daneri, GA; Rogers, TL</t>
  </si>
  <si>
    <t>Cormack, Andrea; Slavich, Eve; Negrete, Javier; Bornemann, Horst; Daneri, Gustavo A.; Rogers, Tracey L.</t>
  </si>
  <si>
    <t>Extreme dietary specialisation in adult male southern elephant seals: determining variation between individual trophic diets</t>
  </si>
  <si>
    <t>MARINE ECOLOGY PROGRESS SERIES</t>
  </si>
  <si>
    <t>Marine mammal; Diet specialisation; Individual variation; Sex-specific variation; West Antarctic Peninsula; Nitrogen; Stable isotope analysis; Southern Ocean</t>
  </si>
  <si>
    <t>MIROUNGA-LEONINA; BODY-SIZE; RESOURCE USE; INTRASPECIFIC COMPETITION; FORAGING SPECIALIZATION; DIVING BEHAVIOR; ISOTOPIC NICHE; GEORGE ISLAND; STABLE CARBON; HABITAT USE</t>
  </si>
  <si>
    <t>Although dietary studies have provided important insights into the causes and ramifications of diet variation for the southern elephant seal (SES) (Mirounga leonina), adult males are comparatively underrepresented within that literature. Individual males can vary morphologically as well as behaviourally, leading to differences in their life history trajectories and outcomes. Therefore, to improve our understanding of the male diet, we sought to determine the degree of dietary variation between as well as within individuals from the West Antarctic Peninsula. Secondly, we investigated whether individual morphological traits, seasonality, and year influenced their dietary variation. Whiskers were sampled from 31 adult male seals and used to measure the bulk stable isotope nitrogen (delta 15N). We sequentially segmented each whisker to create a time series of datapoints for each individual, allowing us to compare delta 15N variation within each seal as well as assess variation between the seals. We then investigated the relationships between male dietary variation and body length, girth, season, and year. We found that adult male SESs maintained an extremely specialised diet. Variation between individuals was strongly correlated with their body size, with larger seals feeding higher up the trophic web. Interestingly, seasonality and year both influenced variation within the seals' diets, but only year was seen to influence the variability between seals. We discuss the possible causes and ramifications of dietary specialisation for the SES and highlight the need for combined tracking and stable isotope investigations to improve our understanding of the ontogeny of the seals' dietary specialisation.</t>
  </si>
  <si>
    <t>[Cormack, Andrea; Rogers, Tracey L.] Univ New South Wales, Ctr Marine Sci &amp; Innovat, Sch BEES, Sydney, NSW 2052, Australia; [Cormack, Andrea; Rogers, Tracey L.] Univ New South Wales, Sch BEES, Evolut &amp; Ecol Res Ctr, Sydney, NSW 2052, Australia; [Slavich, Eve] Inst Antart Argentino, Dept Biol Predadores Tope, Av 25 De Mayo 1143,B1650HMK, Buenos Aires, Argentina; [Negrete, Javier] Univ Nacl Plata, Fac Ciencias Nat, Av 122 &amp; 60 S-N, RA-1900 La Plata, Buenos Aires, Argentina; [Negrete, Javier] Consejo Nacl Invest Cient &amp; Tecn CONICET, Godoy Cruz 2290,C1425FQB, Buenos Aires, Buenos Aires, Argentina; [Negrete, Javier] Alfred Wegener Inst, Helmholtz Zent Polar &amp; Meeresforschung, Handelshafen 12, D-27570 Bremerhaven, Germany; [Bornemann, Horst] Museo Argentino Ciencias Nat Bernardino Rivadavia, Div Mastozool, Ave Angel Gallardo 470,C1405DJR, Buenos Aires, Argentina; [Daneri, Gustavo A.] Univ New South Wales, Mark Wainwright Analyt Ctr, Affiliat Stats Cent, Sydney, NSW 2052, Australia</t>
  </si>
  <si>
    <t>University of New South Wales Sydney; University of New South Wales Sydney; Instituto Antartico Argentino; National University of La Plata; Consejo Nacional de Investigaciones Cientificas y Tecnicas (CONICET); Helmholtz Association; Alfred Wegener Institute, Helmholtz Centre for Polar &amp; Marine Research; Museo Argentino de Ciencias Naturales Bernardino Rivadavia (MACN); University of New South Wales Sydney</t>
  </si>
  <si>
    <t>Cormack, A (corresponding author), Univ New South Wales, Ctr Marine Sci &amp; Innovat, Sch BEES, Sydney, NSW 2052, Australia.;Cormack, A (corresponding author), Univ New South Wales, Sch BEES, Evolut &amp; Ecol Res Ctr, Sydney, NSW 2052, Australia.</t>
  </si>
  <si>
    <t>acormack@unsw.edu.au</t>
  </si>
  <si>
    <t>Instituto Antartico Argentino and the Direccion Nacional del Antartico (Buenos Aires, Argentina); Alfred Wegener Institute, Helmholtz Centre for Polar</t>
  </si>
  <si>
    <t>Instituto Antartico Argentino and the Direccion Nacional del Antartico (Buenos Aires, Argentina); Alfred Wegener Institute, Helmholtz Centre for Polar(Helmholtz Association)</t>
  </si>
  <si>
    <t>The authors received funding and logistical support to carry out field work from the Instituto Antartico Argentino and the Direccion Nacional del Antartico (Buenos Aires, Argentina) as well as from the Alfred Wegener Institute, Helmholtz Centre for Polar and Marine Research (Bremerhaven, Germany) in continuation of a collaboration established by Maria E.I. Marquez and late Alejandro R. Carlini. Professional support in the field was provided by Lorena Migliorisi, Walter Coppola, and Ariel Pereira.</t>
  </si>
  <si>
    <t>INTER-RESEARCH</t>
  </si>
  <si>
    <t>OLDENDORF LUHE</t>
  </si>
  <si>
    <t>NORDBUNTE 23, D-21385 OLDENDORF LUHE, GERMANY</t>
  </si>
  <si>
    <t>0171-8630</t>
  </si>
  <si>
    <t>1616-1599</t>
  </si>
  <si>
    <t>MAR ECOL PROG SER</t>
  </si>
  <si>
    <t>Mar. Ecol.-Prog. Ser.</t>
  </si>
  <si>
    <t>DEC 21</t>
  </si>
  <si>
    <t>10.3354/meps14472</t>
  </si>
  <si>
    <t>Ecology; Marine &amp; Freshwater Biology; Oceanography</t>
  </si>
  <si>
    <t>Environmental Sciences &amp; Ecology; Marine &amp; Freshwater Biology; Oceanography</t>
  </si>
  <si>
    <t>KB9Z7</t>
  </si>
  <si>
    <t>WOS:001177631100003</t>
  </si>
  <si>
    <t>Kopp, RE; Garner, GG; Hermans, THJ; Jha, S; Kumar, P; Reedy, A; Slangen, ABA; Turilli, M; Edwards, TL; Gregory, JM; Koubbe, G; Levermann, A; Merzky, A; Nowicki, S; Palmer, MD; Smith, C</t>
  </si>
  <si>
    <t>Kopp, Robert E.; Garner, Gregory G.; Hermans, Tim H. J.; Jha, Shantenu; Kumar, Praveen; Reedy, Alexander; Slangen, Aimee B. A.; Turilli, Matteo; Edwards, Tamsin L.; Gregory, Jonathan M.; Koubbe, George; Levermann, Anders; Merzky, Andre; Nowicki, Sophie; Palmer, Matthew D.; Smith, Chris</t>
  </si>
  <si>
    <t>The Framework for Assessing Changes To Sea-level (FACTS) v1.0: a platform for characterizing parametric and structural uncertainty in future global, relative, and extreme sea-level change</t>
  </si>
  <si>
    <t>GEOSCIENTIFIC MODEL DEVELOPMENT</t>
  </si>
  <si>
    <t>SURFACE MASS-BALANCE; ANTARCTIC ICE-SHEET; IMPULSE-RESPONSE; MODEL; RISE; CLIMATE; PROJECTIONS; GREENLAND; SCENARIOS; AMBIGUITY</t>
  </si>
  <si>
    <t>Future sea-level rise projections are characterized by both quantifiable uncertainty and unquantifiable structural uncertainty. Thorough scientific assessment of sea-level rise projections requires analysis of both dimensions of uncertainty. Probabilistic sea-level rise projections evaluate the quantifiable dimension of uncertainty; comparison of alternative probabilistic methods provides an indication of structural uncertainty. Here we describe the Framework for Assessing Changes To Sea-level (FACTS), a modular platform for characterizing different probability distributions for the drivers of sea-level change and their consequences for global mean, regional, and extreme sea-level change. We demonstrate its application by generating seven alternative probability distributions under multiple emissions scenarios for both future global mean sea-level change and future relative and extreme sea-level change at New York City. These distributions, closely aligned with those presented in the Intergovernmental Panel on Climate Change Sixth Assessment Report, emphasize the role of the Antarctic and Greenland ice sheets as drivers of structural uncertainty in sea-level change projections.</t>
  </si>
  <si>
    <t>[Kopp, Robert E.; Garner, Gregory G.; Kumar, Praveen; Reedy, Alexander] Rutgers State Univ, Dept Earth &amp; Planetary Sci, Piscataway, NJ 08854 USA; [Kopp, Robert E.; Garner, Gregory G.; Jha, Shantenu; Kumar, Praveen; Reedy, Alexander] Rutgers State Univ, Rutgers Climate &amp; Energy Inst, New Brunswick, NJ 08854 USA; [Hermans, Tim H. J.; Slangen, Aimee B. A.] NIOZ Royal Netherlands Inst Sea Res, Dept Estuarine &amp; Delta Syst, Yerseke, Netherlands; [Hermans, Tim H. J.] Univ Utrecht, Inst Marine &amp; Atmospher Res Utrecht IMAU, Utrecht, Netherlands; [Jha, Shantenu; Reedy, Alexander; Turilli, Matteo; Koubbe, George; Merzky, Andre] Rutgers State Univ, Dept Elect &amp; Comp Engn, Piscataway, NJ USA; [Jha, Shantenu; Turilli, Matteo] Brookhaven Natl Lab, Computat Sci Initiat, Upton, NY USA; [Edwards, Tamsin L.] Kings Coll London, Dept Geog, London, England; [Gregory, Jonathan M.; Palmer, Matthew D.] Hadley Ctr, Met Off, Exeter, England; [Gregory, Jonathan M.] Univ Reading, Natl Ctr Atmospher Sci, Reading, England; [Levermann, Anders] Potsdam Inst Climate Impact Res, Potsdam, Germany; [Levermann, Anders] Potsdam Univ, Phys Inst, Potsdam, Germany; [Nowicki, Sophie] Univ Buffalo, Dept Geol, Buffalo, NY USA; [Palmer, Matthew D.] Univ Bristol, Sch Earth Sci, Bristol, England; [Smith, Chris] Univ Leeds, Priestley Int Ctr Climate, Leeds, England; [Smith, Chris] Int Inst Appl Syst Anal IIASA, Energy Climate &amp; Environm Program, Laxenburg, Austria; [Garner, Gregory G.] Gro Intelligence, New York, NY USA</t>
  </si>
  <si>
    <t>Rutgers University System; Rutgers University New Brunswick; Rutgers University System; Rutgers University New Brunswick; Utrecht University; Royal Netherlands Institute for Sea Research (NIOZ); Utrecht University; Rutgers University System; Rutgers University New Brunswick; United States Department of Energy (DOE); Brookhaven National Laboratory; University of London; King's College London; Met Office - UK; Hadley Centre; University of Reading; UK Research &amp; Innovation (UKRI); Natural Environment Research Council (NERC); NERC National Centre for Atmospheric Science; Potsdam Institut fur Klimafolgenforschung; University of Potsdam; State University of New York (SUNY) System; State University of New York (SUNY) Buffalo; University of Bristol; University of Leeds; International Institute for Applied Systems Analysis (IIASA)</t>
  </si>
  <si>
    <t>Kopp, RE (corresponding author), Rutgers State Univ, Dept Earth &amp; Planetary Sci, Piscataway, NJ 08854 USA.;Kopp, RE (corresponding author), Rutgers State Univ, Rutgers Climate &amp; Energy Inst, New Brunswick, NJ 08854 USA.</t>
  </si>
  <si>
    <t>robert.kopp@rutgers.edu</t>
  </si>
  <si>
    <t>Gregory, Jonathan/J-2939-2016; Slangen, Aimee/H-5839-2015</t>
  </si>
  <si>
    <t>Gregory, Jonathan/0000-0003-1296-8644; Kopp, Robert/0000-0003-4016-9428; Palmer, Matthew/0000-0001-7422-198X; Slangen, Aimee/0000-0001-6268-6683</t>
  </si>
  <si>
    <t>National Science Foundation [ICER-1663807, ICER-2103754]; National Aeronautics and Space Administration [80NSSC17K0698, 80NSSC20K1724, 80NSSC21K0322]; JPL [105393.509496.02.08.13.31]; Natural Environment Research Council [NE/T009381/1, NE/T007443/1]; Horizon 2020 [869304]; Ministryof Business, Innovation and Employment [RTVU1705]</t>
  </si>
  <si>
    <t>National Science Foundation(National Science Foundation (NSF)); National Aeronautics and Space Administration(National Aeronautics &amp; Space Administration (NASA)); JPL; Natural Environment Research Council(UK Research &amp; Innovation (UKRI)Natural Environment Research Council (NERC)); Horizon 2020(Horizon 2020); Ministryof Business, Innovation and Employment(New Zealand Ministry of Business, Innovation and Employment (MBIE))</t>
  </si>
  <si>
    <t>This research has been supported by the National Science Foundation (grant nos. ICER-1663807 and ICER-2103754, the latter as part of the Megalopolitan Coastal Transformation Hub), the National Aeronautics and Space Administration (grant nos.80NSSC17K0698, 80NSSC20K1724, and 80NSSC21K0322, as well as JPL task no. 105393.509496.02.08.13.31), the Natural Environment Research Council (grant nos. NE/T009381/1, NE/T007443/1, and NE/T009381/1), Horizon 2020 (grant no. 869304), and the Ministryof Business, Innovation and Employment (grant no. RTVU1705).</t>
  </si>
  <si>
    <t>COPERNICUS GESELLSCHAFT MBH</t>
  </si>
  <si>
    <t>GOTTINGEN</t>
  </si>
  <si>
    <t>BAHNHOFSALLEE 1E, GOTTINGEN, 37081, GERMANY</t>
  </si>
  <si>
    <t>1991-959X</t>
  </si>
  <si>
    <t>1991-9603</t>
  </si>
  <si>
    <t>GEOSCI MODEL DEV</t>
  </si>
  <si>
    <t>Geosci. Model Dev.</t>
  </si>
  <si>
    <t>10.5194/gmd-16-7461-2023</t>
  </si>
  <si>
    <t>IU5N0</t>
  </si>
  <si>
    <t>WOS:001168864300001</t>
  </si>
  <si>
    <t>Gon, O; Maclaine, J; Collins, MA; Matcher, G; Pogonoski, JJ</t>
  </si>
  <si>
    <t>Gon, Ofer; Maclaine, James; Collins, Martin A.; Matcher, Gwynneth; Pogonoski, John J.</t>
  </si>
  <si>
    <t>The type series of Poromitra crassiceps (Pisces, Melamphaidae) with lectotype designation</t>
  </si>
  <si>
    <t>molecular genetics; Poromitra altantica; Southern Ocean; syntypes</t>
  </si>
  <si>
    <t>BATHYPELAGIC-FISH; SEA; ABUNDANCE; PATTERNS; RECORDS</t>
  </si>
  <si>
    <t>The type series of Poromitra crassiceps (Gunther, 1878) was thought to include specimens from four localities in the Atlantic, Pacific, and Southern oceans. Comparison of the extant syntypes with the original description revealed that the specimen from the Pacific Ocean was not included in the original type series; one syntype from the Atlantic Ocean was never incorporated into the collection of the Natural History Museum, London, and is considered lost, and another cannot be identified due to its bad condition. The fourth syntype, from the Southern Ocean and in the best condition, is designated lectotype of this species. Molecular analysis of tissue samples collected by us as well as publically available COI sequences showed that only one species, P. crassiceps, is currently known from the Southern Ocean. Specimens from this ocean named P. atlantica (Norman, 1929) in the literature and in collections are probably misidentifications of P. crassiceps. The validity of P. atlantica needs confirmation from fresh material from the type locality.</t>
  </si>
  <si>
    <t>[Gon, Ofer; Matcher, Gwynneth] South African Inst Aquat Biodivers, Somerset St, ZA-6140 Makhanda, South Africa; [Maclaine, James] Nat Hist Museum, Cromwell Rd, London SW7 5BD, England; [Collins, Martin A.] NERC, British Antarctic Survey, High Cross,Madingley Rd, Cambridge CB3 0ET, England; [Pogonoski, John J.] CSIRO, Australian Natl Fish Collect, Natl Res Collect Australia, Castray Esplanade, Hobart, Tas 7001, Australia</t>
  </si>
  <si>
    <t>National Research Foundation - South Africa; South African Institute for Aquatic Biodiversity; Natural History Museum London; UK Research &amp; Innovation (UKRI); Natural Environment Research Council (NERC); NERC British Antarctic Survey; Commonwealth Scientific &amp; Industrial Research Organisation (CSIRO)</t>
  </si>
  <si>
    <t>Gon, O (corresponding author), South African Inst Aquat Biodivers, Somerset St, ZA-6140 Makhanda, South Africa.</t>
  </si>
  <si>
    <t>o.gon@saiab.nrf.ac.za; j.maclaine@nhm.ac.uk; macol@bas.ac.uk; g.matcher@saiab.nrf.ac.za; john.pogonoski@csiro.au</t>
  </si>
  <si>
    <t>Matcher, Gwynneth/0000-0001-6206-696X; Collins, Martin/0000-0001-7132-8650; Pogonoski, John/0000-0002-4878-3919</t>
  </si>
  <si>
    <t>National Research Foundation (NRF)</t>
  </si>
  <si>
    <t>We thank Lucie Goodayle (NHM Photo Unit) for the photographs of the BMNH specimens; Peter McMillan and Darren Stevens of NIWA for providing locality data; Sharon Appleyard and Alastair Graham (CSIRO) for assistance with DNA extractions of CSIRO material and for specimen registration, respectively. We acknowledge that opinions, findings, and conclusions or recommendations expressed in this publication, generated by the National Research Foundation (NRF) supported research, are those of the authors, and that the NRF accepts no liability whatsoever in this regard.</t>
  </si>
  <si>
    <t>10.11646/zootaxa.5389.4.5</t>
  </si>
  <si>
    <t>HS7G5</t>
  </si>
  <si>
    <t>WOS:001161554700005</t>
  </si>
  <si>
    <t>Rybak, M; Arsad, S; Riaux-Gobin, C; Luthfi, OM; Hallegraeff, G; Cias, R; Kierzek, A; Witkowski, A</t>
  </si>
  <si>
    <t>Rybak, Mateusz; Arsad, Sulastri; Riaux-Gobin, Catherine; Luthfi, Oktiyas Muzaky; Hallegraeff, Gustaaf; Cias, Renata; Kierzek, Agnieszka; Witkowski, Andrzej</t>
  </si>
  <si>
    <t>Distribution and morphology of the diatom genus Olifantiella Riaux-Gobin &amp; Compère in Indonesian and Australian waters, including the description of O. gondwanensis sp. nov.</t>
  </si>
  <si>
    <t>PHYTOKEYS</t>
  </si>
  <si>
    <t>Bacillariophyta; buciniportula; Diadesmidaceae; marine coasts; new combination; new species; taxonomy</t>
  </si>
  <si>
    <t>SOUTH-PACIFIC; BACILLARIOPHYTA; SEA; MARINE; ISLAND; COASTS</t>
  </si>
  <si>
    <t>Samples from coastal tropical waters of Central Sulawesi, Bangka Island and Bawean Island in Indonesia and from the Great Barrier Reef at Fitzroy Island in Queensland, Australia were analysed for species composition of diatom assemblages with a focus on Olifantiella. Whereas samples from Fitzroy Island littoral in Australia retrieved only one species of Olifantiella, in Poso Bay, Indonesia, we observed at least six species. All established taxa were documented with light (LM) and scanning electron microscope (SEM) and principal component analysis (PCA) analysis was used to compare the species, based on the basic valve parameters of length, width, length to width ratio and striae density. A new species of the genus Olifantiella, O. gondwanensis is described from Australia. In addition, we showed the distinct nature of O. pilosella var. rhizophorae permitting to species status. Particular attention is placed on girdle bands in this genus.</t>
  </si>
  <si>
    <t>[Rybak, Mateusz] Univ Rzeszow, Inst Agr Sci Land Management &amp; Environm Protect, Dept Agroecol, Rzeszow, Poland; [Arsad, Sulastri; Luthfi, Oktiyas Muzaky; Cias, Renata; Kierzek, Agnieszka; Witkowski, Andrzej] Univ Szczecin, Inst Marine &amp; Environm Sci, Szczecin, Poland; [Arsad, Sulastri; Luthfi, Oktiyas Muzaky] Univ Brawijaya, Fac Fisheries &amp; Marine Sci, Brawijaya, East Java, Indonesia; [Riaux-Gobin, Catherine] Univ Perpignan, Lab Excellence CORAIL, Perpignan, France; [Riaux-Gobin, Catherine] PSL Res Univ, CNRS UPVD EPHE, USR3278 CRIOBE, Perpignan, France; [Hallegraeff, Gustaaf] Univ Tasmania, Inst Marine &amp; Antarctic Studies, Hobart, Tas, Australia</t>
  </si>
  <si>
    <t>University of Rzeszow; University of Szczecin; Brawijaya University; Universite Perpignan Via Domitia; Universite PSL; University of Tasmania</t>
  </si>
  <si>
    <t>Rybak, M (corresponding author), Univ Rzeszow, Inst Agr Sci Land Management &amp; Environm Protect, Dept Agroecol, Rzeszow, Poland.</t>
  </si>
  <si>
    <t>matrybak91@gmail.com</t>
  </si>
  <si>
    <t>Luthfi, Oktiyas Muzaky/AAI-1689-2021</t>
  </si>
  <si>
    <t>Luthfi, Oktiyas Muzaky/0000-0002-9550-9381; Rybak, Mateusz/0000-0001-8998-9537</t>
  </si>
  <si>
    <t>Ministry of Education and Science in Warsaw, Poland [H2020-MSCA-RISE-2016]</t>
  </si>
  <si>
    <t>Ministry of Education and Science in Warsaw, Poland</t>
  </si>
  <si>
    <t>The work was supported by the programme of the Minister of Science and Higher Education under the programme Regional Initiative of Excellence 2019-2023, project number 026/RID/2018/19. Sampling in Indonesia and Australia was performed with-in the European Commission (Horizon 2020) , Project GHaNA, no. 734708/GHANA/H2020-MSCA-RISE-2016 and the Ministry of Education and Science in Warsaw, Poland under the topical subsidy and the implementation of co-financed international research projects of 2017-2022.r H2020-MSCA-RISE-2016 and the Ministry of Education and Science in Warsaw, Poland under the topical subsidy and the implementation of co-financed international research projects of 2017-2022.</t>
  </si>
  <si>
    <t>PENSOFT PUBLISHERS</t>
  </si>
  <si>
    <t>SOFIA</t>
  </si>
  <si>
    <t>12 PROF GEORGI ZLATARSKI ST, SOFIA, 1700, BULGARIA</t>
  </si>
  <si>
    <t>1314-2011</t>
  </si>
  <si>
    <t>1314-2003</t>
  </si>
  <si>
    <t>PhytoKeys</t>
  </si>
  <si>
    <t>10.3897/phytokeys.236.111109</t>
  </si>
  <si>
    <t>Plant Sciences</t>
  </si>
  <si>
    <t>GB2E2</t>
  </si>
  <si>
    <t>WOS:001150124400001</t>
  </si>
  <si>
    <t>Navarrete, C; Gianni, G; Tassara, S; Zaffarana, C; Likerman, J; Márquez, M; Wostbrock, J; Planavsky, N; Tardani, D; Frasette, MP</t>
  </si>
  <si>
    <t>Navarrete, C.; Gianni, G.; Tassara, S.; Zaffarana, C.; Likerman, J.; Marquez, M.; Wostbrock, J.; Planavsky, N.; Tardani, D.; Frasette, M. Perez</t>
  </si>
  <si>
    <t>Massive Jurassic slab break-off revealed by a multidisciplinary reappraisal of the Chon Aike silicic large igneous province</t>
  </si>
  <si>
    <t>EARTH-SCIENCE REVIEWS</t>
  </si>
  <si>
    <t>SLIP; Jurassic; Gondwana; Chon Aike magmatic province; Slab break-off; Slab-sinking</t>
  </si>
  <si>
    <t>NORTH PATAGONIAN MASSIF; OXYGEN-ISOTOPE COMPOSITION; ALKALINE VOLCANIC-ROCKS; LONCO TRAPIAL FORMATION; PAMPEAN FLAT-SLAB; ANTARCTIC PENINSULA; OCEANIC-CRUST; DESEADO MASSIF; ARC MIGRATION; MANTLE-PLUME</t>
  </si>
  <si>
    <t>The origin of the Chon Aike silicic large igneous province (SLIP) is a matter of intense debate, with contrasting hypotheses that range from intraplate settings linked to mantle plume impingement to subduction-related protracted arc magmatism in an active margin. In this study, we propose a new model for the origin of this SLIP based on a multidisciplinary dataset from Patagonia, a comprehensive literature review of southwestern Gondwana, and the results of 2-D thermochemical modeling. We demonstrate that the partial melting of subducted rocks during a massive slab break-off and the subsequent piecemeal sinking of a previously flattened oceanic lithosphere beneath southwestern Gondwana best reconciles most of the data from this magmatic province.Geophysical, geochronological, geochemical, and isotopic data from Chon Aike SLIP, combined with the understanding of the tectonic regime, ore deposits, Jurassic geological events in southwestern Gondwana and numerical modeling results, support an origin primarily linked to the partial melting of partially eclogitized metabasaltic and metasedimentary rocks, enhanced by a warm ambient mantle associated with supercontinent thermal insulation and the thermal effects of the Karoo mantle plume impingement. The demise of the flat slab through large-scale slab break-off would have led to the partial melting of a mixture largely composed of these extensively underplated components and mantle batches. These melts would have variably interacted with mantle and continental rocks and melts, resulting in the formation of most of the Chon Aike SLIP. The reestablishment of the magmatic arc after the initial stages of slab break-off seems to have only affected the northwestern part of this SLIP.</t>
  </si>
  <si>
    <t>[Navarrete, C.; Marquez, M.; Frasette, M. Perez] Natl Univ Patagonia San Juan Bosco, Petro Tecton Patagonian Lab, Tierra Del Fuego, Argentina; [Navarrete, C.; Gianni, G.; Zaffarana, C.; Likerman, J.; Frasette, M. Perez] Natl Council Tech &amp; Sci Res CONICET, Tandil, Argentina; [Tassara, S.; Tardani, D.] Univ OHiggins, Inst Ciencias Ingn, Rancagua 2841959, Chile; [Gianni, G.] Natl Univ San Juan, Seismol Geophys Inst Eng Fernando Volponi IGSV, San Juan, Argentina; [Tassara, S.; Wostbrock, J.; Planavsky, N.] Yale Univ, Dept Earth &amp; Planetary Sci, New Haven, CT 06511 USA; [Zaffarana, C.] Univ Nacl Rio Negro, Inst Invest Paleobiol &amp; Geol, RA-8332 Gen Roca, Rio Negro, Argentina; [Likerman, J.] Univ Buenos Aires, Don Pablo Groeber Inst Andean Studies, Buenos Aires, Argentina</t>
  </si>
  <si>
    <t>Universidad de O'Higgins; Universidad Nacional de San Juan; Yale University; University of Buenos Aires</t>
  </si>
  <si>
    <t>Navarrete, C (corresponding author), Natl Univ Patagonia San Juan Bosco, Petro Tecton Patagonian Lab, Tierra Del Fuego, Argentina.</t>
  </si>
  <si>
    <t>cesarnavarrete@live.com.ar</t>
  </si>
  <si>
    <t>Patagonian Petro-Tectonic Laboratory; National University of Patagonia San Juan Bosco (UNPSJB); CIUNPAT [PICT-2021-GRF- TI-00541]</t>
  </si>
  <si>
    <t>Patagonian Petro-Tectonic Laboratory; National University of Patagonia San Juan Bosco (UNPSJB); CIUNPAT</t>
  </si>
  <si>
    <t>The authors would like to thank the editor of Earth-Science Reviews (Eugenio Aragon), as well as Robert Pankhurst and an anonymous reviewer for their valuable comments and suggestions that helped greatly improve this work. The authors thank the National Scientific and Technical Research Council (CONICET) and the National Agency for the Promotion of Research, Technological Development, and Innovation of Argentina. This research was financed by the projects: PICT-2021-GRF- TI-00541 and CIUNPAT N degrees 1710. Finally, the authors thank the support received from the Patagonian Petro-Tectonic Laboratory and the National University of Patagonia San Juan Bosco (UNPSJB). C.N. especially thanks Gabriela Massaferro, Maria Belen Lastra, and Eric Ferreira for their selfless help. This paper is dedicated to Isabella Navarrete Calvo.</t>
  </si>
  <si>
    <t>0012-8252</t>
  </si>
  <si>
    <t>1872-6828</t>
  </si>
  <si>
    <t>EARTH-SCI REV</t>
  </si>
  <si>
    <t>Earth-Sci. Rev.</t>
  </si>
  <si>
    <t>10.1016/j.earscirev.2023.104651</t>
  </si>
  <si>
    <t>FC2G4</t>
  </si>
  <si>
    <t>WOS:001143478900001</t>
  </si>
  <si>
    <t>Shu, Q; Qiao, FL; Liu, JP; Bao, Y; Song, ZY</t>
  </si>
  <si>
    <t>Shu, Qi; Qiao, Fangli; Liu, Jiping; Bao, Ying; Song, Zhenya</t>
  </si>
  <si>
    <t>Description of FIO-ESM version 2.1 and evaluation of its sea ice simulations</t>
  </si>
  <si>
    <t>FIO-ESM; Climate Model; Ice-ocean heat exchange parameterization; Sea ice extent</t>
  </si>
  <si>
    <t>INTERCOMPARISON PROJECT SCENARIOMIP; CLIMATE MODEL PROJECTIONS; CMIP5; TRENDS</t>
  </si>
  <si>
    <t>To improve Arctic sea ice simulations by the First Institute of Oceanography-Earth System Model (FIO-ESM), the model version has been updated from FIO-ESM v2.0 to FIO-ESM v2.1 by upgrading its sea ice component from Los Alamos Sea-Ice Model (CICE) version 4.0 (CICE4.0) to CICE6.0, and improving the ice-ocean heat exchange process from a two-equation boundary condition parameterization to a more realistic three-equation boundary condition parameterization. Numerical experiments show that the underestimation of Arctic summer sea ice extent (SIE) in FIO-ESM v2.0 is significantly improved by the model enhancements. The root mean square error of the simulated Arctic September SIE during 1979-2014 is reduced from 2.9 million to 0.7 million km2. Nevertheless, the biases of Antarctic SIE increase following the model version update. FIO-ESM v2.1 performs well for the simulations of surface air temperature, sea surface temperature, Atlantic Meridional Overturning Circulation, and Arctic SIE; however, it overestimates summer SIE in the Antarctic. Furthermore, future projections based on FIO-ESM v2.1 indicate that the first ice-free Arctic summer will occur in the 2050s and the 2040s under SSP2-4.5 and SSP5-8.5, respectively.</t>
  </si>
  <si>
    <t>[Shu, Qi; Qiao, Fangli; Bao, Ying; Song, Zhenya] Minist Nat Resources, Inst Oceanog 1, Qingdao 266061, Peoples R China; [Shu, Qi; Qiao, Fangli; Bao, Ying; Song, Zhenya] Minist Nat Resources, Key Lab Marine Sci &amp; Numer Modeling, Qingdao 266061, Peoples R China; [Shu, Qi; Qiao, Fangli; Bao, Ying; Song, Zhenya] Laoshan Lab, Qingdao 266237, Peoples R China; [Shu, Qi; Qiao, Fangli; Bao, Ying; Song, Zhenya] Shandong Key Lab Marine Sci &amp; Numer Modeling, Qingdao 266061, Peoples R China; [Liu, Jiping] Sun Yat Sen Univ, Sch Atmospher Sci, Zhuhai 519082, Peoples R China</t>
  </si>
  <si>
    <t>Ministry of Natural Resources of the People's Republic of China; First Institute of Oceanography, Ministry of Natural Resources; Ministry of Natural Resources of the People's Republic of China; Laoshan Laboratory; Sun Yat Sen University</t>
  </si>
  <si>
    <t>Song, ZY (corresponding author), Minist Nat Resources, Inst Oceanog 1, Qingdao 266061, Peoples R China.;Song, ZY (corresponding author), Minist Nat Resources, Key Lab Marine Sci &amp; Numer Modeling, Qingdao 266061, Peoples R China.</t>
  </si>
  <si>
    <t>songroy@fio.org.cn</t>
  </si>
  <si>
    <t>Song, Zhenya/F-9819-2013</t>
  </si>
  <si>
    <t>Song, Zhenya/0000-0002-8098-5529</t>
  </si>
  <si>
    <t>Basic Scientific Fund for National Public Research Institute of China [2023S01]; National Natural Science Foundation of China [42276253, 42022042, 41821004]; Shandong Provincial Natural Science Foundation [ZR2022JQ17]; Taishan Scholar Foundation of Shandong Province [tsqn202211264]; China-Korea Cooperation Project on Northwest Pacific Marine Ecosystem Simulation under Climate Change</t>
  </si>
  <si>
    <t>Basic Scientific Fund for National Public Research Institute of China; National Natural Science Foundation of China(National Natural Science Foundation of China (NSFC)); Shandong Provincial Natural Science Foundation(Natural Science Foundation of Shandong Province); Taishan Scholar Foundation of Shandong Province; China-Korea Cooperation Project on Northwest Pacific Marine Ecosystem Simulation under Climate Change</t>
  </si>
  <si>
    <t>We would like to thank Prof. Ian Eisenman and the other anonymous reviewer for their helpful comments and suggestions that improved this manuscript. We thank Dr. Xiaoxu Shi for useful discussions. This work was supported by the Basic Scientific Fund for National Public Research Institute of China (2023S01) , National Natural Science Foundation of China (42276253, 42022042, and 41821004) , Shandong Provincial Natural Science Foundation (ZR2022JQ17) , the Taishan Scholar Foundation of Shandong Province (tsqn202211264) , and China-Korea Cooperation Project on Northwest Pacific Marine Ecosystem Simulation under Climate Change.</t>
  </si>
  <si>
    <t>10.1016/j.ocemod.2023.102308</t>
  </si>
  <si>
    <t>FA1S5</t>
  </si>
  <si>
    <t>WOS:001142937500001</t>
  </si>
  <si>
    <t>Jeeva, K; Vichare, G; Seemala, GK; Kulkarni, AS; Paramasivan, E; Moulik, S; Soman, AK; Saikia, P</t>
  </si>
  <si>
    <t>Jeeva, Krishnamoorthy; Vichare, Geeta; Seemala, Gopi K.; Kulkarni, Atul S.; Paramasivan, Elango; Moulik, Subrata; Soman, Anoop K.; Saikia, Pranjal</t>
  </si>
  <si>
    <t>Simultaneous observations of atmospheric vertical potential gradient from coastal Antarctic stations Bharati and Maitri</t>
  </si>
  <si>
    <t>POLAR SCIENCE</t>
  </si>
  <si>
    <t>Atmospheric electric potential gradient; Katabatic winds; Antarctic circumpolar vortex; Air ions</t>
  </si>
  <si>
    <t>ELECTRIC-FIELD; CONDUCTIVITY; CLIMATOLOGY; CIRCUIT</t>
  </si>
  <si>
    <t>Simultaneous observations of the atmospheric electric potential gradient (PG) at Bharati and Maitri stations were studied from 2014 to 2016. A new regional diurnal pattern of fair-weather PG for the coastal Antarctic region, perhaps the ubiquitous characteristics of the PG for the coastal Antarctic region, has been identified. This pattern has a significant broad minimum around noon hours. It is around this time the wind speed is also maximum. The PG data of past years of Syowa, Vostok, and Carnegie Cruise were also used in this study. The surface wind distorts the fair-weather diurnal pattern of PG over Bharati more intensely than at Maitri. The katabatic wind effect on the PG at Bharati appears to be more intense than at Maitri. The topography and katabatic winds associated with the Lambert glacier could be the reason. The observation of Bipolar Air Ion Concentration (BAIC) suggests that the wind speed significantly affects the concentration by accumulation and dispersion. The concentration is maximum when the wind speed is minimum. As the air ion concentration controls the conductivity, the PG is expected to be minimum during these hours to produce an anomalous diurnal pattern in the PG at Bharati. Data quality is improved by measuring the PG with a field monitor at the surface level instead of at an elevated position. This study provides new hope in pursuing globally representative data of the PG for further investigations on the global thunderstorm activity and the solar-terrestrial weather relationship.</t>
  </si>
  <si>
    <t>[Jeeva, Krishnamoorthy; Paramasivan, Elango] Indian Inst Geomagnetism, Equatorial Geophys Res Lab, Krishnapur 627011, Tirunelveli, India; [Vichare, Geeta; Seemala, Gopi K.] Indian Inst Geomagnetism, Navi Mumbai, India; [Kulkarni, Atul S.; Soman, Anoop K.; Saikia, Pranjal] Indian Inst Geomagnetism, Magnet Observ, Alibag 402201, India; [Moulik, Subrata] Assam Univ Campus, Indian Inst Geomagnetism, Magnet Observ, Silchar 788011, India</t>
  </si>
  <si>
    <t>Department of Science &amp; Technology (India); Indian Institute of Geomagnetism (IIG); Department of Science &amp; Technology (India); Indian Institute of Geomagnetism (IIG); Department of Science &amp; Technology (India); Indian Institute of Geomagnetism (IIG); Department of Science &amp; Technology (India); Indian Institute of Geomagnetism (IIG)</t>
  </si>
  <si>
    <t>Jeeva, K (corresponding author), Indian Inst Geomagnetism, Equatorial Geophys Res Lab, Krishnapur 627011, Tirunelveli, India.;Seemala, GK (corresponding author), Indian Inst Geomagnetism, Navi Mumbai, India.</t>
  </si>
  <si>
    <t>123.jeeva@gmail.com; gopi.seemala@gmail.com</t>
  </si>
  <si>
    <t>National Centre for Polar and Ocean Research (NCPOR); Ministry of Earth Sciences, Government of India</t>
  </si>
  <si>
    <t>National Centre for Polar and Ocean Research (NCPOR); Ministry of Earth Sciences, Government of India(Ministry of Earth Science (MoES), Government of India)</t>
  </si>
  <si>
    <t>The Indian Scientific Expedition to Antarctica is supported by the National Centre for Polar and Ocean Research (NCPOR), Ministry of Earth Sciences, Government of India. We are thankful to the Director of the Institute and staff members for scientific discussions and logistics help. Thanks are due to Shri Pritimayo Patra, Shri Sudarsan Patro, and Shri Atul Verma for making a significant contribution to acquiring data during their long winter stay at Bharati. Special thanks to Shri Gopal Singh, who has supported the first author in installing the EFM at Bharati and the necessary technical work at Maitri. We thank all the members of the Indian Institute of Geomagnetism who participated in the Antarctic expeditions and contributed their hard work in acquiring the data. We express our sincere thanks to A. V. Frank-Kamenetski, AARI, for providing the PG data of Vostok station for the year 2011. Our sincere thanks are to Prof. E. R. Williams and Dr. A. K. Kamra for their critical comments during the preparation of the manuscript.</t>
  </si>
  <si>
    <t>1873-9652</t>
  </si>
  <si>
    <t>1876-4428</t>
  </si>
  <si>
    <t>POLAR SCI</t>
  </si>
  <si>
    <t>Polar Sci.</t>
  </si>
  <si>
    <t>DEC</t>
  </si>
  <si>
    <t>10.1016/j.polar.2023.101013</t>
  </si>
  <si>
    <t>Ecology; Geosciences, Multidisciplinary</t>
  </si>
  <si>
    <t>Environmental Sciences &amp; Ecology; Geology</t>
  </si>
  <si>
    <t>FB2Q2</t>
  </si>
  <si>
    <t>WOS:001143227000001</t>
  </si>
  <si>
    <t>Cruz-Flores, M; Lemaire, J; Brault-Favrou, M; Christensen-Dalsgaard, S; Churlaud, C; Descamps, S; Elliott, K; Erikstad, KE; Ezhov, A; Gavrilo, M; Gremillet, D; Guillou, G; Hatch, S; Huffeldt, NP; Kitaysky, AS; Kolbeinsson, Y; Krasnov, Y; Langset, M; Leclaire, S; Linnebjerg, JF; Lorentzen, E; Mallory, ML; Merkel, FR; Montevecchi, W; Mosbech, A; Patterson, A; Perret, S; Provencher, JF; Reiertsen, TK; Renner, H; Strom, H; Takahashi, A; Thiebot, JB; Thorarinsson, TL; Will, A; Bustamante, P; Fort, J</t>
  </si>
  <si>
    <t>Cruz-Flores, Marta; Lemaire, Jeremy; Brault-Favrou, Maud; Christensen-Dalsgaard, Signe; Churlaud, Carine; Descamps, Sebastien; Elliott, Kyle; Erikstad, Kjell Einar; Ezhov, Alexey; Gavrilo, Maria; Gremillet, David; Guillou, Gael; Hatch, Scott; Huffeldt, Nicholas Per; Kitaysky, Alexander S.; Kolbeinsson, Yann; Krasnov, Yuri; Langset, Magdalene; Leclaire, Sarah; Linnebjerg, Jannie F.; Lorentzen, Erlend; Mallory, Mark L.; Merkel, Flemming R.; Montevecchi, William; Mosbech, Anders; Patterson, Allison; Perret, Samuel; Provencher, Jennifer F.; Reiertsen, Tone K.; Renner, Heather; Strom, Hallvard; Takahashi, Akinori; Thiebot, Jean-Baptiste; Thorarinsson, Thorkell Lindberg; Will, Alexis; Bustamante, Paco; Fort, Jerome</t>
  </si>
  <si>
    <t>Spatial distribution of selenium-mercury in Arctic seabirds</t>
  </si>
  <si>
    <t>ENVIRONMENTAL POLLUTION</t>
  </si>
  <si>
    <t>Toxics; Atlantic-Arctic; Pacific-Arctic; Blood; Stable isotopes; Black-legged kittiwake; Brunnich's guillemot; Thick-billed murre</t>
  </si>
  <si>
    <t>METHYLMERCURY; EXPOSURE; PETRELS; COMMUNITIES; ELEMENTS; TISSUES; NICHE</t>
  </si>
  <si>
    <t>Mercury (Hg) is a metallic trace element toxic for humans and wildlife that can originate from natural and anthropic sources. Hg spatial gradients have been found in seabirds from the Arctic and other oceans, suggesting contrasting toxicity risks across regions. Selenium (Se) plays a protective role against Hg toxicity, but its spatial distribution has been much less investigated than that of Hg. From 2015 to 2017, we measured spatial co-exposure of Hg and Se in blood samples of two seabird species, the Brunnich's guillemot (Uria lomvia) and the black-legged kittiwake (Rissa tridactyla) from 17 colonies in the Arctic and subarctic regions, and we calculated their molar ratios (Se:Hg), as a measure of Hg sequestration by Se and, therefore, of Hg exposure risk. We also evaluated concentration differences between species and ocean basins (Pacific-Arctic and Atlantic-Arctic), and examined the influence of trophic ecology on Hg and Se concentrations using nitrogen and carbon stable isotopes. In the Atlantic-Arctic ocean, we found a negative west-to-east gradient of Hg and Se for guillemots, and a positive west-to-east gradient of Se for kittiwakes, suggesting that these species are better protected from Hg toxicity in the European Arctic. Differences in Se gradients between species suggest that they do not follow environmental Se spatial variations. This, together with the absence of a general pattern for isotopes influence on trace element concentrations, could be due to foraging ecology differences between species. In both oceans, the two species showed similar Hg concentrations, but guillemots showed lower Se concentrations and Se:Hg than kittiwakes, suggesting a higher Hg toxicity risk in guillemots. Within species, neither Hg, nor Se or Se:Hg differed between both oceans. Our study highlights the importance of considering Se together with Hg, along with different species and regions, when evaluating Hg toxic effects on marine predators in international monitoring programs.</t>
  </si>
  <si>
    <t>[Cruz-Flores, Marta; Lemaire, Jeremy; Brault-Favrou, Maud; Churlaud, Carine; Guillou, Gael; Bustamante, Paco; Fort, Jerome] La Rochelle Univ, Littoral Environm &amp; Soc LIENSs, CNRS, UMR 7266, 2 Rue Olympe Gouges, F-17000 La Rochelle, France; [Lemaire, Jeremy] Univ Vienna, Dept Behav &amp; Cognit Biol, Djerassipl 1, A-1030 Vienna, Austria; [Descamps, Sebastien; Langset, Magdalene; Lorentzen, Erlend; Patterson, Allison; Strom, Hallvard] Norwegian Inst Nat Res, N-7485 Trondheim, Norway; [Descamps, Sebastien; Lorentzen, Erlend] Fram Ctr, Norwegian Polar Inst, N-9296 Tromso, Norway; [Elliott, Kyle] McGill Univ, Dept Nat Resource Sci, Bellevue, PQ H9X 3V9, Canada; [Erikstad, Kjell Einar] Norwegian Inst Nat Res, FRAM Ctr, NO-9296 Tromso, Norway; [Ezhov, Alexey; Krasnov, Yuri] Russian Acad Sci, Murmansk Marine Biol Inst, Vladimirskaya Str 17, Murmansk 183010, Russia; [Gavrilo, Maria] Arctic &amp; Antarctic Res Inst, St Petersburg 199397, Russia; [Gremillet, David; Perret, Samuel] Univ Montpellier, CNRS EPHE, IRD, CEFE, Montpellier, France; [Gremillet, David] Univ Cape Town, Percy Fitzpatrick Inst African Ornithol, ZA-7701 Rondebosch, South Africa; [Hatch, Scott] US Geol Survey, Alaska Sci Ctr, Anchorage, AK 99508 USA; [Huffeldt, Nicholas Per; Merkel, Flemming R.] Greenland Inst Nat Resources, Nuuk 3900, Greenland; [Kitaysky, Alexander S.] Univ Alaska Fairbanks, Inst Arctic Biol, Dept Biol &amp; Wildlife, Fairbanks, AK 99775 USA; [Kolbeinsson, Yann] Northeast Iceland Nat Res Ctr, Husavik 640, Iceland; [Leclaire, Sarah] Univ Toulouse 3, CNRS, UMR 5174, Lab Evolut &amp; Divers Biol EDB,IRD, F-31062 Toulouse, France; [Linnebjerg, Jannie F.; Merkel, Flemming R.; Mosbech, Anders] Aarhus Univ, Dept Ecosci, Roskilde DK-4000, Denmark; [Mallory, Mark L.] Acadia Univ, Biol, Wolfville, NS B4P 2R6, Canada; [Montevecchi, William] Mem Univ Newfoundland &amp; Labrador St Johns, St John, NF A1C 3X9, Canada; [Provencher, Jennifer F.] Environm &amp; Climate Change Canada, Ecotoxicol &amp; Wildlife Hlth Div, Ottawa, ON K1A 0H3, Canada; [Renner, Heather] US Fish &amp; Wildlife Serv, Alaska Maritime Natl Wildlife Refuge, Homer, AK USA; [Renner, Heather] Alaska Maritime Natl Wildlife Refuge, Honar, AK USA; [Takahashi, Akinori; Thiebot, Jean-Baptiste] Natl Inst Polar Res, 10-3 Midori Cho, Tachikawa, Tokyo 1908518, Japan; [Thiebot, Jean-Baptiste] Hokkaido Univ, Grad Sch Fisheries Sci, 3-1-1 Minato cho, Hakodate, Hokkaido 0418611, Japan; [Will, Alexis] US Arctic Program, World Wildlife Fund, 810 N St, Anchorage, AK 99501 USA; [Cruz-Flores, Marta] La Rochelle Univ, Littoral Environm &amp; Soc, CNRS, UMR 7266, 2 Rue Olympe Gouges, F-17000 La Rochelle, France</t>
  </si>
  <si>
    <t>Centre National de la Recherche Scientifique (CNRS); CNRS - Institute of Ecology &amp; Environment (INEE); University of Vienna; Norwegian Institute Nature Research; Norwegian Polar Institute; McGill University; Norwegian Institute Nature Research; Russian Academy of Sciences; Arctic &amp; Antarctic Research Institute; Universite PSL; Ecole Pratique des Hautes Etudes (EPHE); Institut Agro; Montpellier SupAgro; CIRAD; Centre National de la Recherche Scientifique (CNRS); Institut de Recherche pour le Developpement (IRD); Universite Paul-Valery; Universite de Montpellier; University of Cape Town; United States Department of the Interior; United States Geological Survey; Greenland Institute of Natural Resources; University of Alaska System; University of Alaska Fairbanks; Institut de Recherche pour le Developpement (IRD); Universite de Toulouse; Universite Federale Toulouse Midi-Pyrenees (ComUE); Universite Toulouse III - Paul Sabatier; Ecole Nationale Formation Agronomique (ENSFEA); Centre National de la Recherche Scientifique (CNRS); CNRS - Institute of Ecology &amp; Environment (INEE); Aarhus University; Acadia University; Environment &amp; Climate Change Canada; United States Department of the Interior; US Fish &amp; Wildlife Service; Research Organization of Information &amp; Systems (ROIS); National Institute of Polar Research (NIPR) - Japan; Hokkaido University; World Wildlife Fund; Centre National de la Recherche Scientifique (CNRS); CNRS - Institute of Ecology &amp; Environment (INEE)</t>
  </si>
  <si>
    <t>Cruz-Flores, M (corresponding author), La Rochelle Univ, Littoral Environm &amp; Soc LIENSs, CNRS, UMR 7266, 2 Rue Olympe Gouges, F-17000 La Rochelle, France.;Cruz-Flores, M (corresponding author), La Rochelle Univ, Littoral Environm &amp; Soc, CNRS, UMR 7266, 2 Rue Olympe Gouges, F-17000 La Rochelle, France.</t>
  </si>
  <si>
    <t>martacruzflores@gmail.com</t>
  </si>
  <si>
    <t>Provencher, Jennifer F/J-2839-2016; Bustamante, Paco/G-5833-2011; Cruz-Flores, Marta/AAA-8817-2021; Mosbech, Anders/J-6591-2013</t>
  </si>
  <si>
    <t>Bustamante, Paco/0000-0003-3877-9390; Cruz-Flores, Marta/0000-0001-9905-4727; Linnebjerg, Jannie Fries/0000-0003-4043-0606; Mosbech, Anders/0000-0002-7581-7037; Lemaire, Jeremy/0000-0002-1095-9544; Merkel, Flemming Ravn/0000-0003-3779-8012</t>
  </si>
  <si>
    <t>French National Research Agency MAMBA; ARCTOX international initiative; H2020 Marie Sklodowska Curie Actions; SEATRACK project; Norwegian Ministry of Climate and Environment; Norwegian Ministry of Foreign Affairs, Offshore Norge along with eight energy companies [ANR-16-TERC-0004]; Norwegian Research Council; French Polar Institute 1162 program [101024166]; North Pacific Research Board; Japan Society for the Promotion of Science KAKENHI; Arctic Challenge for Sustainability (ArCS) program of the Japan Ministry of Education, Culture, Sports, Science and Technology (MEXT); French Polar Institute [192141]; Environment and Climate Change Canada; Acadia University [1612-9]; [JP16H02705]; [388]; [41-0-205561]; Agence Nationale de la Recherche (ANR) [ANR-16-TERC-0004] Funding Source: Agence Nationale de la Recherche (ANR)</t>
  </si>
  <si>
    <t>French National Research Agency MAMBA; ARCTOX international initiative; H2020 Marie Sklodowska Curie Actions(Marie Curie ActionsHorizon 2020); SEATRACK project; Norwegian Ministry of Climate and Environment; Norwegian Ministry of Foreign Affairs, Offshore Norge along with eight energy companies; Norwegian Research Council(Research Council of Norway); French Polar Institute 1162 program; North Pacific Research Board; Japan Society for the Promotion of Science KAKENHI(Ministry of Education, Culture, Sports, Science and Technology, Japan (MEXT)Japan Society for the Promotion of ScienceGrants-in-Aid for Scientific Research (KAKENHI)); Arctic Challenge for Sustainability (ArCS) program of the Japan Ministry of Education, Culture, Sports, Science and Technology (MEXT); French Polar Institute; Environment and Climate Change Canada; Acadia University; ; ; ; Agence Nationale de la Recherche (ANR)(Agence Nationale de la Recherche (ANR))</t>
  </si>
  <si>
    <t>We are grateful to all the people involved in fieldwork at the different study sites, including Michael Toolie and David Akeya on St. Lawrence Island. We also thank the platforms Analyses Elementaires and An-alyses Isotopiques of LIENSs laboratory for isotope and trace element analyses, the Cellule Geomatique and Cecilia Pignon-Mussaud for mapping the data, and Julie Charrier for the drawings used in this publication. This study was funded by the French National Research Agency MAMBA (ANR-16-TERC-0004) and is part of the ARCTOX international initiative (https://arctox.cnrs.fr) . This is also a contribution to the ILETOP (ANR-16-CE34-0005) and ARCTIC-STRESSORS (ANR-20-CE34-0006) projects and to the French Polar Institute ADACLIM program (Pgr. 388) . Thanks are due to the CPER (Contrat de Projet Etat-Region) and the FEDER (Fonds Europeen de Developpement Regional) for funding the AMAs, ICPs and IRMSs of LIENSs laboratory. MCF was supported by the H2020 Marie Sklodowska Curie Actions (H2020-MSCA-IF-2020, ref. 101024166) , PB is a honorary member of the IUF (Institut Universitaire de France) . Sampling in Norwegian, Icelandic and Russian sites was supported by the SEATRACK project ( www.seapop. no/en/seatrack/) funded by the Norwegian Ministry of Climate and Environment, the Norwegian Ministry of Foreign Affairs, Offshore Norge along with eight energy companies and the Norwegian Research Council (grant #192141) . Sampling on Middleton Island was funded by the French Polar Institute 1162 program. St. Lawrence Island sampling was funded by the North Pacific Research Board (NPRB #1612-9) and the Japan Society for the Promotion of Science KAKENHI grant number JP16H02705, and the Arctic Challenge for Sustainability (ArCS) program of the Japan Ministry of Education, Culture, Sports, Science and Technology (MEXT) . East Greenland sampling was funded by the French Polar Institute (IPEV-ADACLIM program 388) . Samples from the Gannet Islands were collected with support from Environment and Climate Change Canada (core funding) and Acadia University (Grant 41-0-205561) . Field work in St. Lawrence Island was conducted under the following permissions/permits: Native Village of Savoonga, Kukulget Land Crossing Permit, UAF IACUC protocol #470122, USFWS scientific collection permit #MB70337A, master banding permit #23350, and ADFG permit #16-089. Greenlandic samples were collected under the permit issue by the Government of Greenland (Dept. Fisheries, Hunting and Agriculture permit, ref. 5732726 and 1986082) . Norwegian samples were collected under the permit issued by the Norwegian Food Au-thorities (FOTS ID 6291 and 8482) . Samples from Middleton Island were collected under the approval of the USGS Alaska Science Centre Animal Care and Use Committee, in accordance with US law and under permits from the US Fish and Wildlife Service and the State of Alaska. We finally thank two anonymous referees for constructive feedback.</t>
  </si>
  <si>
    <t>0269-7491</t>
  </si>
  <si>
    <t>1873-6424</t>
  </si>
  <si>
    <t>ENVIRON POLLUT</t>
  </si>
  <si>
    <t>Environ. Pollut.</t>
  </si>
  <si>
    <t>FEB 15</t>
  </si>
  <si>
    <t>10.1016/j.envpol.2023.123110</t>
  </si>
  <si>
    <t>FI1K3</t>
  </si>
  <si>
    <t>WOS:001145039300001</t>
  </si>
  <si>
    <t>Andreev, M</t>
  </si>
  <si>
    <t>Andreev, Mikhail</t>
  </si>
  <si>
    <t>Lichens of Larsemann Hills and adjacent oases in the area of Prydz Bay (Princess Elizabeth Land and MacRobertson Land, Antarctica)</t>
  </si>
  <si>
    <t>Terrestrial flora; Vegetation; Continental oases; Nunataks</t>
  </si>
  <si>
    <t>TELOSCHISTACEAE; ASCOMYCOTA; FUNGUS</t>
  </si>
  <si>
    <t>The lichen flora of coastal (Larsemann Hills, Landing Bluff, Rouer Islands) and internal (Clemence Massif, Radok Lake, Luff Nunatak, Stinear, Rymill and Bloomfield Mountains and others) oases (Princess Elizabeth Land and Mac Robertson Land, Antarctica) was investigated. 72 lichen species (incl. 48 species known for the Larsemann Hills) belonging to 34 genera and 14 families were recorded. Investigated species are listed and data on localities, habitats and frequency of occurrence are provided. The most common lichens in the area are Candelariella flava, Lecidea cancriformis, Lecanora fuscobrunnea, Buellia frigida, Rinodina olivaceobrunnea and Acarospora gwynnii.</t>
  </si>
  <si>
    <t>[Andreev, Mikhail] Komarov Bot Inst, Prof Popov Str 2, St Petersburg 197376, Russia</t>
  </si>
  <si>
    <t>Russian Academy of Sciences; Komarov Botanical Institute, Russian Academy of Sciences</t>
  </si>
  <si>
    <t>Andreev, M (corresponding author), Komarov Bot Inst, Prof Popov Str 2, St Petersburg 197376, Russia.</t>
  </si>
  <si>
    <t>andreevmp@binran.ru</t>
  </si>
  <si>
    <t>Komarov Botanical Institute of the Russian Academy of Sciences [121021600184-6]; Russian Antarctic Expedition</t>
  </si>
  <si>
    <t>Komarov Botanical Institute of the Russian Academy of Sciences; Russian Antarctic Expedition</t>
  </si>
  <si>
    <t>The author is greatly indebted to the leaders of the station Progress and personaly to V. M. Vinogradov, for friendly logistical support and invaluable field assistance. We thank D. M. Vorob'yov, the head of the Polar Marine Geosurvey Expedition (PMGE) , other colleagues, RAE and PMGRE participants and comrades. Dr. O. W. Purvis is greatly thanked for language assistance. This work was supported by the Russian Antarctic Expedition and by the Komarov Botanical Institute of the Russian Academy of Sciences [grant number 121021600184-6] .</t>
  </si>
  <si>
    <t>10.1016/j.polar.2023.101009</t>
  </si>
  <si>
    <t>EY4E3</t>
  </si>
  <si>
    <t>WOS:001142474900001</t>
  </si>
  <si>
    <t>Florinsky, IV</t>
  </si>
  <si>
    <t>Florinsky, I. V.</t>
  </si>
  <si>
    <t>Larsemann Hills: Geomorphometric modeling and mapping</t>
  </si>
  <si>
    <t>Topography; Digital elevation model; Geomorphometry; Surface</t>
  </si>
  <si>
    <t>LAND-SURFACE; DEGLACIATION; SOILS</t>
  </si>
  <si>
    <t>Geomorphometric modeling is widely used in geosciences. However, geomorphometric modeling and mapping of Antarctic oases has not been performed so far. This article presents the first results of our work on geomorphometric modeling and mapping of the Larsemann Hills obtained in the frameworks of the 68th Russian Antarctic Expedition in January-April 2023. As input data, we used a fragment of the Reference Elevation Model of Antarctica (REMA). From the extracted and edited digital elevation model, we derived digital models and maps of the following 17 morphometric variables: slope, aspect, horizontal curvature, vertical curvature, mean curvature, Gaussian curvature, minimal curvature, maximal curvature, unsphericity curvature, difference curvature, vertical excess curvature, horizontal excess curvature, ring curvature, accumulation curvature, catchment area, topographic index, and stream power index. We also conducted a field geomorphometric interpretation work to provide correct physical geographic, geological, and geomorphological interpretations of morphometric maps. In the fieldwork, we carried out 54 foot routes with the total length of about 422 km. During the routes, we collected 150 rock samples for further petrological and mineralogical analyses as well as three-dimensional modeling of the samples. Derived morphometric maps can be useful for structural geological and processoriented hydrological studies. The ultimate goal of the ongoing work is to create a large-scale geomorphometric atlas of Antarctic oases and other ice-free Antarctic territories.</t>
  </si>
  <si>
    <t>[Florinsky, I. V.] Russian Acad Sci, Inst Math Problems Biol, Keldysh Inst Appl Math, Pushchino 142290, Moscow Region, Russia</t>
  </si>
  <si>
    <t>Russian Academy of Sciences; Keldysh Institute of Applied Mathematics; Pushchino Scientific Center for Biological Research (PSCBI) of the Russian Academy of Sciences</t>
  </si>
  <si>
    <t>Florinsky, IV (corresponding author), Russian Acad Sci, Inst Math Problems Biol, Keldysh Inst Appl Math, Pushchino 142290, Moscow Region, Russia.</t>
  </si>
  <si>
    <t>iflor@mail.ru</t>
  </si>
  <si>
    <t>10.1016/j.polar.2023.100969</t>
  </si>
  <si>
    <t>EZ4I8</t>
  </si>
  <si>
    <t>WOS:001142742600001</t>
  </si>
  <si>
    <t>Kumar, V; Bist, S; Akram, R; Kumar, A; Soni, VK; Chug, S</t>
  </si>
  <si>
    <t>Kumar, Vivek; Bist, Sanjay; Akram, Rahil; Kumar, Anikender; Soni, Vijay Kumar; Chug, Sunny</t>
  </si>
  <si>
    <t>Evaluation of meteorological characteristics and the influence of the Southern Annular Mode at newly established Bharati Station, East Antarctica</t>
  </si>
  <si>
    <t>Bharati; Meteorology; East Antarctica; Trend analysis; Southern Annular Mode</t>
  </si>
  <si>
    <t>SURFACE WIND-FIELD; SCHIRMACHER OASIS; UNITED-STATES; OZONE TRENDS; CLIMATOLOGY; MONSOON; MAITRI; PRECIPITATION; VARIABILITY; BLIZZARDS</t>
  </si>
  <si>
    <t>The Indian Antarctic program, a multi-disciplinary and multi-institutional program initiated in 1981 with the first expedition to Antarctica, has been instrumental in advancing our understanding of Antarctic meteorology and its global climate implications. This study focuses on the latest meteorological characteristics of newly established research base Bharati aiming to unravel the climate dynamics of Bharati station in East Antarctica. The meteorological data for the period December 2014 to December 2022 have been analysed in present study. We observed the highest maximum temperature of 9.9 degrees C on January 5, 2018, and the lowest minimum temperature of -40.3 degrees C on September 6, 2016. The monthly mean temperature exhibits pronounced seasonal variation, with a summer maximum of approximately 0 degrees C in December and January, and a winter minimum of about -19 degrees C from May to September. While the eight-year observations are not sufficient for studying long-term trends, we identify a slight increasing tendency in temperature at Bharati. In addition to temperature, we examined the characteristics of pressure, relative humidity, precipitation, wind, and blizzards. The analysis reveals a negative correlation between the Southern Annular Mode (SAM) and temperature and pressure at Bharati. Station experiences predominantly easterly and northeasterly winds. The upper air data were obtained using radiosonde and ozonesonde ascents, enhancing our understanding of the atmospheric conditions in the region. These results provide important knowledge about the weather in Bharati and how it relates to the Southern Annular Mode. Understanding this helps us comprehend how East Antarctica weather influences global climate patterns.</t>
  </si>
  <si>
    <t>[Kumar, Vivek; Bist, Sanjay; Akram, Rahil; Kumar, Anikender; Soni, Vijay Kumar; Chug, Sunny] Minist Earth Sci, India Meteorol Dept, New Delhi 110003, India</t>
  </si>
  <si>
    <t>Ministry of Earth Sciences (MoES) - India; India Meteorological Department (IMD)</t>
  </si>
  <si>
    <t>Kumar, V (corresponding author), Minist Earth Sci, India Meteorol Dept, New Delhi 110003, India.</t>
  </si>
  <si>
    <t>vivekkumarchaurasia@gmail.com</t>
  </si>
  <si>
    <t>Kumar, Vivek/KBA-9081-2024</t>
  </si>
  <si>
    <t>Kumar, Vivek/0000-0002-1774-4837; /0000-0002-3880-3613</t>
  </si>
  <si>
    <t>10.1016/j.polar.2023.101010</t>
  </si>
  <si>
    <t>EZ0F3</t>
  </si>
  <si>
    <t>WOS:001142633700001</t>
  </si>
  <si>
    <t>Naik, A; Arora, D; Pandey, M; Pant, NC; Gupta, R</t>
  </si>
  <si>
    <t>Naik, Aditya; Arora, Devsamridhi; Pandey, Mayuri; Pant, Naresh Chandra; Gupta, Rashmi</t>
  </si>
  <si>
    <t>Evidence of Paleoproterozoic metamorphism in Vestfold Hills, East Antarctica: Insights from phase equilibria modelling and monazite CHIME dating</t>
  </si>
  <si>
    <t>Vestfold Hills; CHIME dating; Charnockite; Granite; Paleoproterozoic</t>
  </si>
  <si>
    <t>GRANULITE-FACIES METAMORPHISM; PRYDZ BAY; CAPRICORN OROGEN; MAFIC DYKES; U-PB; SAPPHIRINE GRANULITES; GEOLOGICAL EVOLUTION; ELECTRON-MICROPROBE; CRUSTAL EVOLUTION; BLOCK</t>
  </si>
  <si>
    <t>The Vestfold Hills sector on the coastal fringe of the Princess Elizabeth Land forms part of an Archean to Paleoproterozoic aged cratonic nucleus of the East Antarctic Shield. A charnockite-granite association from the Mossel Gneiss Group in the northern region of the Vestfold Hills is investigated in this work to characterise the metamorphic-magmatic evolution of the area. Conventional thermometry and phase equilibria modelling indi-cate that the charnockite formed as a result of ultra-high temperature metamorphism at low-intermediate pressure (-4 kbar). Phase equilibria modelling, reveals that the melt-integrated charnockite composition is a restitic product of a protolith of quartz diorite composition which underwent isobaric heating (peak temperature up to 960 degrees C) at 4 kbar pressure followed by anatexis. The anatexis of the quartz diorite protolith also resulted in the formation of the associated granitic melt. U-Th-PbTotal ages obtained from monazites of the granite integrated with CHIME ages extracted using the isochron method indicate an emplacement age of-2200 Ma and two younger events are recorded at-2000 Ma and-1700 Ma. The younger ages are ascribed to the resetting during the emplacement of younger basalt dykes that cross cut the charnockite-granite sequence. Vestfold Hills' geological correlations with Indian and Australian cratons are discussed considering this new data.</t>
  </si>
  <si>
    <t>[Naik, Aditya] Indian Inst Sci Educ &amp; Res, Dept Earth &amp; Environm Sci, Mohali, India; [Arora, Devsamridhi] Univ Allahabad, Natl Ctr Expt Mineral &amp; Petrol, Allahabad, India; [Pandey, Mayuri; Gupta, Rashmi] Banaras Hindu Univ, Dept Geol, Varanasi, India; [Pant, Naresh Chandra] Univ Delhi, Dept Geol, Delhi, India; [Pant, Naresh Chandra] Natl Ctr Polar &amp; Ocean Res NCPOR, Mormugao, Goa, India</t>
  </si>
  <si>
    <t>Indian Institute of Science Education &amp; Research (IISER) - Mohali; University of Allahabad; Banaras Hindu University (BHU); University of Delhi; Ministry of Earth Sciences (MoES) - India; National Centre for Polar and Ocean Research (NCPOR)</t>
  </si>
  <si>
    <t>Arora, D (corresponding author), Univ Allahabad, Natl Ctr Expt Mineral &amp; Petrol, Allahabad, India.</t>
  </si>
  <si>
    <t>devsamridhiarora@gmail.com</t>
  </si>
  <si>
    <t>GUPTA, RASHMI/JED-8985-2023</t>
  </si>
  <si>
    <t>GUPTA, RASHMI/0000-0001-7911-8025; PANDEY, MAYURI/0000-0001-8125-8051; Arora, Devsamridhi/0000-0003-1790-6960</t>
  </si>
  <si>
    <t>ESSO National Centre for Polar and Ocean Research; Banaras Hindu University, India</t>
  </si>
  <si>
    <t>The authors are thankful to the ESSO National Centre for Polar and Ocean Research (NCPOR) , MoES, India and the logistic teams of the 35 th , 36 th , 41 st and 42 nd Indian Scientific Expedition to Antarctica (ISEA) for providing all the logistic help during the expeditions. Prof. NVC Rao is acknowledged for extending the DST National EPMA facility, BHU. MP acknowledges funding received through an IOE seed grant from Banaras Hindu University, India. This work is a contribution of the first major India-led initiative Geo logical E xploration in and around A mery I ce S helf (GeoEAIS) endeavour managed under the Indian Scientific Expedition to Antarctica by NCPOR. Constructive comments by two anonymous reviewers and editorial handling by Prof. Hiroyuki Enomoto and guest editors of the special issue are thankfully acknowledged.</t>
  </si>
  <si>
    <t>10.1016/j.polar.2023.101004</t>
  </si>
  <si>
    <t>EZ7M1</t>
  </si>
  <si>
    <t>WOS:001142825400001</t>
  </si>
  <si>
    <t>Skrypitsyna, TN; Florinsky, IV; Qiao, G</t>
  </si>
  <si>
    <t>Skrypitsyna, T. N.; Florinsky, I. V.; Qiao, G.</t>
  </si>
  <si>
    <t>Motion of the Dålk Glacier (Prydz Bay, East Antarctica): Application of unmanned aerial</t>
  </si>
  <si>
    <t>Unmanned aerial vehicle; Digital elevation model; Glacier surface; Pseudo-stereopair; Parallax</t>
  </si>
  <si>
    <t>ICE-FLOW; DALK GLACIER; MASS-BALANCE; DYNAMICS; VELOCITY; PHOTOGRAMMETRY; PLATFORM; LAND</t>
  </si>
  <si>
    <t>Glaciers fluctuations are an indicator of changes in natural circulation mechanisms in the 'glacia-tion-ocean-atmosphere' system of the Southern Hemisphere. To assess the dynamics of the movement of shelf and outlet Antarctic glaciers, remote sensing methods are mainly used including unmanned aerial surveys. This article discusses methods for assessing the movement of the Dalk Glacier (Ingrid Christensen Coast, East Antarctica) using digital surface models (DSMs) and orthomosaics derived from data of multi-temporal un-manned aerial surveys. We estimated the dynamics of the Dalk Glacier over three weeks in January-February 2017 and over two years from January 2017 to January 2019. To study short-term displacements, a pseudo -parallax method was applied. Biennial displacements of the glacier were estimated by a visual comparison of orthomosaics. During three weeks of the 2017 austral summer, the average velocity of the actively moving part of the glacier was 1.3 m/day. At the same time, the average displacement of the central part of the Dalk Glacier was 423 m over two years, that is, the average velocity was about 0.6 m/day. Our results can serve as a basis for glaciological studies, monitoring, and prediction of fluctuations in hard-to-reach areas of outlet glaciers in Antarctica.</t>
  </si>
  <si>
    <t>[Skrypitsyna, T. N.] Moscow State Univ Geodesy &amp; Cartog MIIGAiK, Dept Photogrammetry, 4 Gorokhovsky Lane, Moscow 105064, Russia; [Florinsky, I. V.] Russian Acad Sci, Inst Math Problems Biol, Keldysh Inst Appl Math, Pushchino 142290, Moscow Region, Russia; [Qiao, G.] Tongji Univ, Coll Surveying &amp; Geoinformat, Shanghai 200092, Peoples R China</t>
  </si>
  <si>
    <t>Russian Academy of Sciences; Keldysh Institute of Applied Mathematics; Pushchino Scientific Center for Biological Research (PSCBI) of the Russian Academy of Sciences; Tongji University</t>
  </si>
  <si>
    <t>tatyana.skrypitsyna@yandex.ru; iflor@mail.ru; qiaogang@tongji.edu.cn</t>
  </si>
  <si>
    <t>10.1016/j.polar.2023.100949</t>
  </si>
  <si>
    <t>EY9X8</t>
  </si>
  <si>
    <t>WOS:001142626200001</t>
  </si>
  <si>
    <t>Vichare, G; Kulkarni, A; Rawat, R; Seemala, GK; Soman, AK; Patro, P</t>
  </si>
  <si>
    <t>Vichare, Geeta; Kulkarni, Atul; Rawat, Rahul; Seemala, Gopi K.; Soman, Anoop K.; Patro, Pritimay</t>
  </si>
  <si>
    <t>Climatology of quiet time geomagnetic field variations at two locations in Antarctica</t>
  </si>
  <si>
    <t>Solar quiet variation; Quiet time magnetic field at high latitudes; Polar Sq; Ionospheric current</t>
  </si>
  <si>
    <t>DETERMINING IONOSPHERIC CURRENTS; MAGNETIC-FIELD; SATELLITE</t>
  </si>
  <si>
    <t>During geomagnetic quiet conditions, Indian Antarctic stations are considered to be located outside the auroral oval: Maitri (CGM coordinates: 63.3 degrees S, 54.2 degrees E) is equatorward and Bharati (CGM coordinates: 74.8 degrees S, 98.4 degrees E) is poleward of the auroral oval. Simultaneous observations of magnetic field variations at these two locations for 10-years (2013-2022) provide an opportunity to study quiet-time magnetic field patterns, if any. Geomagnetic quiet days with Sigma Kp &lt;= 3 are selected, during which the lower values of solar wind and interplanetary parameters are also confirmed. Maitri station exhibits clear southern hemispheric solar quiet (Sq) type of magnetic field variation on geomagnetic quiet days in all seasons, indicating the influence of ionospheric dynamo due to thermospheric winds. Interestingly, Bharati station also displays regular and systematic magnetic field variations in all three components. The D-component at Bharati exhibits very strong variation at early morning hours (7-8 MLT), which is similar to 2-4 times stronger than that of H-component, driving strong equatorward/northward currents during all seasons. Both stations show annual type of seasonal variation with peak amplitude during summer and least during winter. The schematic illustration of global and polar Sqs proposed here explains the results obtained through 10-years' statistical study.</t>
  </si>
  <si>
    <t>[Vichare, Geeta; Kulkarni, Atul; Rawat, Rahul; Seemala, Gopi K.; Soman, Anoop K.; Patro, Pritimay] Indian Inst Geomagnetism, Navi Mumbai, India</t>
  </si>
  <si>
    <t>Department of Science &amp; Technology (India); Indian Institute of Geomagnetism (IIG)</t>
  </si>
  <si>
    <t>Vichare, G (corresponding author), Indian Inst Geomagnetism, Navi Mumbai, India.</t>
  </si>
  <si>
    <t>geeta.vichare@iigm.res.in; gopi.seemala@gmail.com</t>
  </si>
  <si>
    <t>Department of Science and Technology, Government of India</t>
  </si>
  <si>
    <t>Department of Science and Technology, Government of India(Department of Science &amp; Technology (India))</t>
  </si>
  <si>
    <t>Authors acknowledge National Centre for Polar and Oceanic Research (NCPOR), Goa, Ministry of Earth Sciences India, for all the logistic support provided during Indian Antarctic Expeditions to run digital fluxgate magnetometers at Maitri and Bharati stations. The authors thank NASA/GSFC CDAWeb team, Space Science Data Center (http ://nssdcgsfc.nasa.gov/omniweb) for the solar data, and WDC-C2 (Kyoto) for the geomagnetic indices. This work is carried out at IIG and supported by the Department of Science and Technology, Government of India.</t>
  </si>
  <si>
    <t>10.1016/j.polar.2023.100979</t>
  </si>
  <si>
    <t>FC6Z7</t>
  </si>
  <si>
    <t>WOS:001143602700001</t>
  </si>
  <si>
    <t>Pathakoti, M; Mahalakshmi, DV; Gaddamidi, S; Taori, A; Muvva, VR; Bothale, RV; Shaik, I; Raja, P; Chauhan, P</t>
  </si>
  <si>
    <t>Pathakoti, Mahesh; Mahalakshmi, D. V.; Gaddamidi, Sreenivas; Taori, Alok; Muvva, Venkata Ramana; Bothale, Rajashree Vinod; Shaik, Ibrahim; Raja, P.; Chauhan, Prakash</t>
  </si>
  <si>
    <t>Spatio-temporal variability of Atmospheric CO2 and CH4 concentrations over Antarctica using Ground and Space-based measurements</t>
  </si>
  <si>
    <t>Indian scientific expedition; Antarctica; Orbiting carbon Observatory-2; CO2; CH4</t>
  </si>
  <si>
    <t>CARBON-DIOXIDE; METHANE; STATION; SURFACE</t>
  </si>
  <si>
    <t>The present study reports on the variability of atmospheric carbon dioxide (CO2) and methane (CH4) concentrations over Antarctica using data collected during the 2015-2016 and 2016-2017 as part of the Indian Scientific Expedition to Antarctica (ISEA). During the austral summer (January-March), this study examined the spatio-temporal variability in atmospheric CO2 and CH4 concentrations at the Indian Antarctic Stations (IAS). An average atmospheric CO2 concentration was observed to be 396.25 +/- 4.20 ppm at Bharati station during 2015-16 austral summer period, whereas CO2 (CH4) concentrations were 398.7 +/- 0.46 ppm (1780 +/- 2 ppb) and 399.1 +/- 0.41 ppm (1780 +/- 3 ppb) at Bharati and Maitri stations, respectively during 2016-17. During the study period, the Orbiting Carbon Observatory-2 (OCO-2) based column averaged CO2 concentration shows similar values against records. At Bharati and Maitri, the diurnal amplitudes of CO2 (CH4) are varied from 0.11 ppm (0.37 ppb) to 8.90 ppm (11.44 ppb) and 0.54 ppm (1.96 ppb) to 7.30 ppm (16 ppb), respectively. In the austral summer, dominant winds at the IAS are from the east, northeast, and southeast.</t>
  </si>
  <si>
    <t>[Pathakoti, Mahesh; Mahalakshmi, D. V.; Taori, Alok; Muvva, Venkata Ramana; Bothale, Rajashree Vinod; Shaik, Ibrahim; Chauhan, Prakash] Indian Space Res Org ISRO, Natl Remote Sensing Ctr NRSC, Hyderabad 500037, India; [Gaddamidi, Sreenivas] Minist Earth Sci MoES, Indian Inst Trop Meteorol IITM, Pune 411008, India; [Raja, P.] ICAR Indian Inst Soil &amp; Water Conservat, Res Ctr, Ooty 643004, Tamilnadu, India; [Raja, P.] ICAR Indian Inst Soil &amp; Water Conservat, Res Ctr, Koraput 763002, Orissa, India</t>
  </si>
  <si>
    <t>Department of Space (DoS), Government of India; Indian Space Research Organisation (ISRO); National Remote Sensing Centre (NRSC); Ministry of Earth Sciences (MoES) - India; Indian Institute of Tropical Meteorology (IITM); Indian Council of Agricultural Research (ICAR); ICAR - Indian Institute of Soil &amp; Water Conservation; Indian Council of Agricultural Research (ICAR); ICAR - Indian Institute of Soil &amp; Water Conservation</t>
  </si>
  <si>
    <t>Pathakoti, M (corresponding author), Indian Space Res Org ISRO, Natl Remote Sensing Ctr NRSC, Hyderabad 500037, India.</t>
  </si>
  <si>
    <t>mahesh_p@nrsc.gov.in</t>
  </si>
  <si>
    <t>Gaddamidi, Sreenivas/0000-0001-5153-3809; Pathakoti, Mahesh/0000-0002-1887-9792</t>
  </si>
  <si>
    <t>10.1016/j.polar.2023.101012</t>
  </si>
  <si>
    <t>EZ1M4</t>
  </si>
  <si>
    <t>WOS:001142667000001</t>
  </si>
  <si>
    <t>Kobashigawa, JM; Robles, CA; Gaiser, RF; Schinca, DC; Scaffardi, LB; Carmarán, CC</t>
  </si>
  <si>
    <t>Kobashigawa, Jesica M.; Robles, Carolina A.; Gaiser, Rocio F.; Schinca, Daniel C.; Scaffardi, Lucia B.; Carmaran, Cecilia C.</t>
  </si>
  <si>
    <t>Mycosynthesis of silver nanoparticles using psychrotrophic strains of Tulasnella albida Bourdot &amp; Galzin from the South Orkney Islands (Antarctica)</t>
  </si>
  <si>
    <t>REVISTA ARGENTINA DE MICROBIOLOGIA</t>
  </si>
  <si>
    <t>Ag nanoparticles; Antarctic fungi; Nanotechnology; Psychrotrophic</t>
  </si>
  <si>
    <t>GREEN SYNTHESIS; TEMPERATURE; ETHYLENE; FUNGAL; WATER</t>
  </si>
  <si>
    <t>This study is the first report on mycosynthesis of silver nanoparticles (NPs) using psychrotrophic Antarctic filamentous fungi, and the first report regarding Tulasnella (Basidiomycota). In this work, the ability to synthesize silver NPs from cell free filtrates of strains of Tulasnella albida isolated from Antarctica was assessed. All fungal filtrates were capable of synthesizing silver NPs with the addition of AgNO3. UV-vis spectroscopy, TEM and SEM microscopy analyses were performed to characterize the synthesized NPs. ATR-FTIR and Micro Raman spectroscopy analyses were conducted to find functional groups responsible for the reduction of AgNO3 and to detect the presence of silver oxide on the AgNPs. Theoretical calculations of optical absorption based on core-shell Ag-Ag2O were used to characterize the experimental absorption spectra of silver NPs colloids. Spherically shaped silver NPs, typically 2--3 nm in diameter, were obtained. The largest ones showed a capping shell around them, which could be associated with the formation of small silver NPs. Functional groups corresponding to amides and alcohols were detected, confirming the presence of proteins as possible intermediates in the synthesis of AgNPs. On the other hand, the Micro Raman analysis confirms the presence of silver oxide on the surface of the AgNPs. This work presents a simple procedure for the synthesis of silver NPs using a psychrotrophic organism that could be interesting for the industry.(c) 2023 Asociacion Argentina de Microbiologi ' a. Published by Elsevier Espan similar to a, S.L.U. This is an open access article under the CC BY-NC-ND license (http://creativecommons.org/licenses/bync-nd/4.0/).</t>
  </si>
  <si>
    <t>[Kobashigawa, Jesica M.; Robles, Carolina A.; Gaiser, Rocio F.; Carmaran, Cecilia C.] Univ Buenos Aires, Fac Exact &amp; Nat Sci, DBBE, Buenos Aires, Argentina; [Kobashigawa, Jesica M.; Robles, Carolina A.; Carmaran, Cecilia C.] Inst Mycol &amp; Bot INMIBO, CONICET, Buenos Aires, Argentina; [Schinca, Daniel C.; Scaffardi, Lucia B.] UNLP, Opt Res Ctr CIOp, CONICET, CIC, La Plata, Argentina; [Schinca, Daniel C.] Natl Univ Plata, Fac Engn, La Plata, Buenos Aires, Argentina</t>
  </si>
  <si>
    <t>University of Buenos Aires; Consejo Nacional de Investigaciones Cientificas y Tecnicas (CONICET); Consejo Nacional de Investigaciones Cientificas y Tecnicas (CONICET); National University of La Plata</t>
  </si>
  <si>
    <t>Carmarán, CC (corresponding author), Univ Buenos Aires, Fac Exact &amp; Nat Sci, DBBE, Buenos Aires, Argentina.;Carmarán, CC (corresponding author), Inst Mycol &amp; Bot INMIBO, CONICET, Buenos Aires, Argentina.;Scaffardi, LB (corresponding author), UNLP, Opt Res Ctr CIOp, CONICET, CIC, La Plata, Argentina.</t>
  </si>
  <si>
    <t>lucias@ciop.unlp.edu.ar</t>
  </si>
  <si>
    <t>CONICET Argentina [PIP 0956, 0280]; MINCyT-PME [2006-00018, 11/I197]; Engineering Faculty (UNLP); UBACyT [20020190100051BA]; Anpyct [pict 2020-00513, pict 2020-01147]</t>
  </si>
  <si>
    <t>CONICET Argentina(Consejo Nacional de Investigaciones Cientificas y Tecnicas (CONICET)); MINCyT-PME; Engineering Faculty (UNLP); UBACyT; Anpyct</t>
  </si>
  <si>
    <t>We acknowledge Dr. A. Caneiro from Y-TEC S.A. Argentina for the use of TEM FEI TALOS F200X, as well as for his commitment and dedication. This study was supported by PIP 0956 and 0280 (CONICET Argentina) , MINCyT-PME 2006-00018, 11/I197, Engineering Faculty (UNLP) and UBACyT 20020190100051BA (UBA) , pict 2020-00513 and pict 2020-01147 (Anpyct) .</t>
  </si>
  <si>
    <t>ASOCIACION ARGENTINA MICROBIOLOGIA</t>
  </si>
  <si>
    <t>BUENOS AIRES</t>
  </si>
  <si>
    <t>BULNES 44 PB B, BUENOS AIRES, 00000, ARGENTINA</t>
  </si>
  <si>
    <t>0325-7541</t>
  </si>
  <si>
    <t>1851-7617</t>
  </si>
  <si>
    <t>REV ARGENT MICROBIOL</t>
  </si>
  <si>
    <t>Rev. Argent. Microbiol.</t>
  </si>
  <si>
    <t>OCT-DEC</t>
  </si>
  <si>
    <t>10.1016/j.ram.2023.04.004</t>
  </si>
  <si>
    <t>FF0Z9</t>
  </si>
  <si>
    <t>WOS:001144244300001</t>
  </si>
  <si>
    <t>Wei, LJ; Lv, JY; Zuo, PJ; Li, YM; Yang, RQ; Zhang, QH; Jiang, GB</t>
  </si>
  <si>
    <t>Wei, Lijia; Lv, Jingya; Zuo, Peijie; Li, Yingming; Yang, Ruiqiang; Zhang, Qinghua; Jiang, Guibin</t>
  </si>
  <si>
    <t>The occurrence and sources of PAHs, oxygenated PAHs (OPAHs), and nitrated PAHs (NPAHs) in soil and vegetation from the Antarctic, Arctic, and Tibetan Plateau</t>
  </si>
  <si>
    <t>Long-range atmospheric transport (LRAT); PAH derivatives; Source apportionment; Polar regions</t>
  </si>
  <si>
    <t>POLYCYCLIC AROMATIC-HYDROCARBONS; PERSISTENT ORGANIC POLLUTANTS; ORGANOCHLORINE COMPOUNDS; PARTICULATE MATTER; AMBIENT AIR; NITRO-PAHS; DERIVATIVES; TRANSPORT; URBAN; AZAARENES</t>
  </si>
  <si>
    <t>Although the fate of PAHs in the three polar regions (Antarctic, Arctic, and Tibetan Plateau) has been investi-gated, the occurrence and contamination profiles of PAH derivatives such as oxygenated PAHs (OPAHs) and nitrated PAHs (NPAHs) remain unclear. Some of them are more toxic and can be transformed from PAHs in environment. This study explored and compared the concentrations composition profiles and potential sources of PAHs, OPAHs, and NPAHs in soil and vegetation samples from the three polar regions. The total PAH, OPAH, and NPAH concentrations were 3.55-519, n.d.-101, and n.d.-1.10 ng/g dry weight (dw), respectively. The com-pounds were dominated by three-ring PAHs, and the most abundant individual PAH and OPAH were phenan-threne (PHE) and 9-fluorenone (9-FO), respectively. The sources of PAHs and their derivatives were qualitatively analyzed by the diagnostic ratios and quantified using the positive matrix factorization (PMF) model. The ratios of PAH derivatives to parent PAHs (9-FO/fluorene and 9,10-anthraquinone/anthracene) were significantly higher in the Antarctic samples than in the Arctic and TP samples, implying a higher occurrence of secondary OPAH and NPAH formation in the Antarctic region. To our knowledge, this is the first comparative study that simultaneously investigated the contamination profiles of PAHs and their derivatives in the three polar regions. The findings of this study provide a scientific basis for the development of risk assessment and pollution control strategies in these fragile regions.</t>
  </si>
  <si>
    <t>[Wei, Lijia; Lv, Jingya; Zuo, Peijie; Li, Yingming; Yang, Ruiqiang; Zhang, Qinghua; Jiang, Guibin] Chinese Acad Sci, Res Ctr Ecoenvironm Sci, State Key Lab Environm Chem &amp; Ecotoxicol, Beijing 100085, Peoples R China; [Lv, Jingya; Zuo, Peijie; Li, Yingming; Yang, Ruiqiang; Zhang, Qinghua; Jiang, Guibin] Univ Chinese Acad Sci, Beijing 100049, Peoples R China; [Wei, Lijia; Yang, Ruiqiang] UCAS, Hangzhou Inst Adv Study, Sch Environm, Hangzhou 310024, Peoples R China</t>
  </si>
  <si>
    <t>Chinese Academy of Sciences; Research Center for Eco-Environmental Sciences (RCEES); Chinese Academy of Sciences; University of Chinese Academy of Sciences, CAS</t>
  </si>
  <si>
    <t>Yang, RQ (corresponding author), Chinese Acad Sci, Res Ctr Ecoenvironm Sci, State Key Lab Environm Chem &amp; Ecotoxicol, Beijing 100085, Peoples R China.</t>
  </si>
  <si>
    <t>rqyang@rcees.ac.cn</t>
  </si>
  <si>
    <t>National Key Research and Development Program of China [2020YFA0608503]; Second Tibetan Plateau Scientific Expedition and Research Program (STEP) [2019QZKK0605]; National Natural Science Foundation of China [22076204, 21777184]</t>
  </si>
  <si>
    <t>National Key Research and Development Program of China; Second Tibetan Plateau Scientific Expedition and Research Program (STEP); National Natural Science Foundation of China(National Natural Science Foundation of China (NSFC))</t>
  </si>
  <si>
    <t>This work was financially supported by the National Key Research and Development Program of China (2020YFA0608503) , the Second Tibetan Plateau Scientific Expedition and Research Program (STEP) (2019QZKK0605) , and the National Natural Science Foundation of China (22076204 and 21777184) .</t>
  </si>
  <si>
    <t>10.1016/j.scitotenv.2023.169394</t>
  </si>
  <si>
    <t>FE5G9</t>
  </si>
  <si>
    <t>WOS:001144094000001</t>
  </si>
  <si>
    <t>Edwards, G; Visch, W; Hurd, CL; Smith, G; Fitzgibbon, Q</t>
  </si>
  <si>
    <t>Edwards, Grace; Visch, Wouter; Hurd, Catriona L.; Smith, Greg; Fitzgibbon, Quinn</t>
  </si>
  <si>
    <t>Nitrogen excretion by the lobsters Panulirus ornatus and Thenus australiensis and uptake by the brown algae Sargassum siliquosum: Implications for integrated recirculated aquaculture systems</t>
  </si>
  <si>
    <t>AQUACULTURE</t>
  </si>
  <si>
    <t>Nutrient extraction; RAS; Physiology; Seaweed; Lobster</t>
  </si>
  <si>
    <t>AMMONIUM UPTAKE; ROCK LOBSTER; INTERTIDAL SEAWEEDS; FEEDING-BEHAVIOR; NEW-ZEALAND; UREA; GROWTH; MACROALGAE; KINETICS; RESPONSES</t>
  </si>
  <si>
    <t>Farming extractive species such as macroalgae that take up nitrogen (N), with fed species (e.g., lobsters, finfish, prawns) is termed integrated multi-trophic aquaculture (IMTA). In recirculating aquaculture systems (RAS), high concentrations of nitrogenous waste can become toxic to the fed species and macroalgae offers a method of mitigating N waste. To utilise macroalgae as a biofilter for N waste, an understanding of their N ecophysiology of both the fed and extractive species is needed. In this study we first determine the ammonium and urea excretion rates for emerging aquaculture candidates the tropical rock lobsters, Panulirus ornatus (TRL) and slipper lobster, Thenus australiensis (SL). Using multiple flask uptake experiments, we then determined the N ecophysiology of the tropical brown macroalga, Sargassum siliquosum, to assess its potential use as a biofilter in a lobster RAS. Routine (basal) N excretion was predominantly ammonium with only a minor contribution of urea (8 and 13% for TRL and SL respectively). For both lobster species, ammonium and urea excretion substantially increased post-prandial, peaking at levels 3.6 times greater than basal amounts for TRL and 3.2 times greater for SL, and remained elevated for between 32 and 38 h. Uptake of both ammonium and nitrate by S. siliquosum showed saturating kinetics, where the kinetic parameter Vmax is the maximum rate of uptake, Ks is the half-saturation constant and the Vmax:Ks-ratio is a proxy for the algae's affinity of uptake for that respective nutrient: for ammonium Vmax = 110.9 mu moles g-1 dry weight (DW) h-1 and Ks = 37.9 mu M and for nitrate Vmax = 152.7 mu moles g-1 DW h-1 and Ks = 58.52 mu M. Urea uptake was highly variable with both positive and negative (i.e. urea release from tissue) rates recorded; when positive values were considered, Vmax = 55.5 mu moles g-1 DW h-1 and Ks = 17.65 mu M. We used uptake and excretion rates from our study to derive a unit mass stocking ratio of algae to lobster (algae: animal) to offset N pollution in RAS. The ratios of TRL to algae to offset NH4+ and urea post-prandial were 5.15E-04 and 3.09E-04 respectively and for SL, 4.46E-04 and 6.31E-04 respectively. The findings serve as a reference for future studies on integrating Sargassum species into RAS and IMTA systems.</t>
  </si>
  <si>
    <t>[Edwards, Grace] Univ Western Australia, Sch Biol Sci, Crawley, WA 6009, Australia; [Edwards, Grace] Univ Western Australia, Oceans Inst, Crawley, WA 6009, Australia; [Edwards, Grace; Visch, Wouter; Hurd, Catriona L.; Smith, Greg; Fitzgibbon, Quinn] Univ Tasmania, Inst Marine &amp; Antarctic Studies, Hobart, Tas 7005, Australia</t>
  </si>
  <si>
    <t>University of Western Australia; University of Western Australia; University of Tasmania</t>
  </si>
  <si>
    <t>Edwards, G (corresponding author), Univ Western Australia, Sch Biol Sci, Crawley, WA 6009, Australia.</t>
  </si>
  <si>
    <t>grace.edwards@research.uwa.edu.au</t>
  </si>
  <si>
    <t>Visch, Wouter/0000-0003-4291-6239; Edwards, Grace/0000-0003-4590-0531</t>
  </si>
  <si>
    <t>Australian Research Council Industrial Transformation Hub for Sustainable Onshore Lobster Aquaculture [IH190100014]</t>
  </si>
  <si>
    <t>Australian Research Council Industrial Transformation Hub for Sustainable Onshore Lobster Aquaculture(Australian Research Council)</t>
  </si>
  <si>
    <t>The authors wish to thank Charlotte Levi for her assistance in maintaining cultures and support in conducting experiments and physiological assays. We also thank Shuangyao Wang and Andrea Wirtz for their support in conducting urea analysis at IMAS laboratories. This research was fully sponsored by the Australian Research Council Industrial Transformation Hub for Sustainable Onshore Lobster Aquaculture (project number IH190100014) .</t>
  </si>
  <si>
    <t>0044-8486</t>
  </si>
  <si>
    <t>1873-5622</t>
  </si>
  <si>
    <t>Aquaculture</t>
  </si>
  <si>
    <t>FEB 25</t>
  </si>
  <si>
    <t>10.1016/j.aquaculture.2023.740486</t>
  </si>
  <si>
    <t>Fisheries; Marine &amp; Freshwater Biology</t>
  </si>
  <si>
    <t>FN8B2</t>
  </si>
  <si>
    <t>WOS:001146597200001</t>
  </si>
  <si>
    <t>Grigoreva, SD; Kuznetsova, MR; Kiniabaeva, ER</t>
  </si>
  <si>
    <t>Grigoreva, Svetlana D.; Kuznetsova, Mariia R.; Kiniabaeva, Elvira R.</t>
  </si>
  <si>
    <t>New data on Progress Lake (Larsemann Hills, East Antarctica): Recently discovered subglacial part of the basin</t>
  </si>
  <si>
    <t>Larsemann Hills; Lake basin; Perennial ice; Ground -penetrating radar; Hydrological observations</t>
  </si>
  <si>
    <t>In this paper, we present new data on the structure of the basin of Progress Lake (Larsemann Hills, East Antarctica). Located close to major logistic facilities of the polar stations and known for regular outburst floods, this lake was an object of interest in terms of ensuring safety of logistics operations. First reconnaissance survey carried out to the west of the known boarder of the Progress Lake showed the presence of a subglacial cavity filled with water. Based on the results of detailed ground-penetrating radar survey, electro-thermal drilling, water level observations, echo-sounding survey, and underwater photography, we show that this cavity acts as a subglacial part of the Progress Lake. We present the main morphometrical characteristics of Progress Lake calculated according to the new data: total area (203 600 m2), volume (1 806 300 m3), average depth (8.9 m), maximum depth (42.3 m), length (1160 m), maximum width (330 m). We also present an updated map of the Progress Lake and hydrological data (water level changes, water temperature, salinity, ion composition). The presence of perennial ice cover above the western part of the lake basin is explained by the specific microclimatic conditions of the area.</t>
  </si>
  <si>
    <t>[Grigoreva, Svetlana D.; Kuznetsova, Mariia R.] Arctic &amp; Antarctic Res Inst, 38 Beringa Str, St Petersburg 199397, Russia; [Kuznetsova, Mariia R.; Kiniabaeva, Elvira R.] St Petersburg State Univ, 7-9 Univ Skaia Emb, St Petersburg 199034, Russia; [Kiniabaeva, Elvira R.] JSC Zarubezhgeol, 69 Novocheremushkinskaya Str, Moscow 117418, Russia; [Grigoreva, Svetlana D.] Apt 798 11 Uyezdnyy Ave, St Petersburg 192148, Russia</t>
  </si>
  <si>
    <t>Arctic &amp; Antarctic Research Institute; Saint Petersburg State University</t>
  </si>
  <si>
    <t>Grigoreva, SD (corresponding author), Apt 798 11 Uyezdnyy Ave, St Petersburg 192148, Russia.</t>
  </si>
  <si>
    <t>sdgrigorieva@aari.ru</t>
  </si>
  <si>
    <t>10.1016/j.polar.2023.100925</t>
  </si>
  <si>
    <t>EY9Y2</t>
  </si>
  <si>
    <t>WOS:001142626600001</t>
  </si>
  <si>
    <t>Joju, GS; Warrier, AK; Chaparro, MAE; Mahesh, BS; Matthew, FA; Anusree, S; Mohan, R</t>
  </si>
  <si>
    <t>Joju, G. S.; Warrier, Anish Kumar; Chaparro, Marcos A. E.; Mahesh, B. S.; Matthew, Freddy Abraham; Anusree, S.; Mohan, Rahul</t>
  </si>
  <si>
    <t>Mineral magnetic properties of surface soils from the Broknes and Grovnes Peninsula, Larsemann Hills, East Antarctica</t>
  </si>
  <si>
    <t>Soils; Weathering; Environmental magnetism; Pedogenesis; Particle size</t>
  </si>
  <si>
    <t>SOUTH-SHETLAND ISLANDS; TRACE-METALS; ICE-FREE; LAKE; SUSCEPTIBILITY; POLLUTION; AREA; BAY</t>
  </si>
  <si>
    <t>This study presents the mineral magnetic, particle size, and organic content data of surface soils from Larsemann Hills, East Antarctica. The analysis of isothermal remanent magnetization and the high specific magnetic susceptibility values -mean (+/- S.D.) values of 117.7 (+/- 175.0) x 10-8m3kg- 1 for Broknes Peninsula and of 330.9 (+/- 217.4) x 10-8m3kg- 1 for Grovnes Peninsula- indicate high concentrations of low-coercivity magnetic minerals. The magnetic minerals are coarse-grained in the multidomain and pseudo-single domain range, and the significant correlation between some magnetic parameters suggests the dominant control of multidomain grains. The remanent acquisition coercivity H1/2 shows mean (+/- S.D.) values of 38.2 (+/- 4.9) for Broknes and 38.3 (+/- 3.7) mT for Grovnes soils suggesting magnetite dominance. The soils lie in the sand and loamy sand textural classes, and the concentration of organic matter is very low. Values of percentage frequency-dependent susceptibility indicate insignificant proportions of superparamagnetic grains, and therefore no significant evidence for pedogenic magnetic minerals was observed in these soils. The magnetic signal of Larsemann Hills soils was primarily terrigenous with no contributions from bacterial magnetite, authigenic greigite and anthropogenic magnetic minerals.</t>
  </si>
  <si>
    <t>[Joju, G. S.; Warrier, Anish Kumar; Matthew, Freddy Abraham; Anusree, S.] Manipal Acad Higher Educ, Manipal Inst Technol, Ctr Climate Studies, Dept Civil Engn, Manipal 576104, Karnataka, India; [Chaparro, Marcos A. E.] UNCPBA CICPBA CONICET, Ctr Invest Fis &amp; Ingn, Ctr Prov Buenos Aires CIFICEN, Pinto 399, RA-7000 Tandil, Argentina; [Chaparro, Marcos A. E.] Univ Nacl Ctr Prov Buenos Aires UNCPBA, Fac Ciencias Exactas, IFAS, Tandil, Buenos Aires, Argentina; [Mahesh, B. S.; Mohan, Rahul] Natl Ctr Polar &amp; Ocean Res, Antarctic Sci Div, Vasco Da Gama 403804, Goa, India</t>
  </si>
  <si>
    <t>Manipal Academy of Higher Education (MAHE); Ministry of Earth Sciences (MoES) - India; National Centre for Polar and Ocean Research (NCPOR)</t>
  </si>
  <si>
    <t>Warrier, AK (corresponding author), Manipal Acad Higher Educ, Manipal Inst Technol, Ctr Climate Studies, Dept Civil Engn, Manipal 576104, Karnataka, India.</t>
  </si>
  <si>
    <t>anish.warrier@manipal.edu</t>
  </si>
  <si>
    <t>Chaparro, Marcos A.E./O-9042-2019</t>
  </si>
  <si>
    <t>Chaparro, Marcos A.E./0000-0003-2832-2151; Sebastian, Joju George/0000-0002-0342-2159</t>
  </si>
  <si>
    <t>National Centre for Polar and Ocean Research, Goa; ESSO-National Centre for Polar and Ocean Research, Ministry of Earth Sciences [NCPOR/2019/PACER-POP/ES-02]</t>
  </si>
  <si>
    <t>National Centre for Polar and Ocean Research, Goa; ESSO-National Centre for Polar and Ocean Research, Ministry of Earth Sciences</t>
  </si>
  <si>
    <t>The authors are grateful to the Director, National Centre for Polar and Ocean Research, Goa, for his support and encouragement. AKW thanks Dr. R. Shankar for providing access to the magnetic instruments used for this study, which were procured through a research project sanctioned to Dr. Shankar (DOD Sanction no.: DOD/11-MRDF/1/48/P/ 94-ODII/12-10-96). We are thankful to the Antarctic Logistics Division, NCPOR and members of the 33rd Indian Scientific Expedition to Antarctica for their assistance during sampling work. AKW acknowledges the financial support provided by the ESSO-National Centre for Polar and Ocean Research, Ministry of Earth Sciences, in the form of a research project (Sanction: NCPOR/2019/PACER-POP/ES-02 dated July 05, 2019) under the PACER Outreach Programme (POP) initiative, to undertake this research. We thank the editor-in-chief and two anonymous reviewers whose comments helped improve the manuscript's quality. This is NCPOR contribution number J-15/ 2023-24.</t>
  </si>
  <si>
    <t>10.1016/j.polar.2023.100968</t>
  </si>
  <si>
    <t>EZ4S4</t>
  </si>
  <si>
    <t>WOS:001142752300001</t>
  </si>
  <si>
    <t>Kannemadugu, HBS; Syamala, PS; Taori, A; Bothale, RV; Chauhan, P</t>
  </si>
  <si>
    <t>Kannemadugu, Hareef Baba Shaeb; Syamala, Prijith Sudhakaran; Taori, Alok; Bothale, Rajashree Vinod; Chauhan, Prakash</t>
  </si>
  <si>
    <t>Atmospheric aerosol optical properties and trends over Antarctica using in-situ measurements and MERRA-2 aerosol products</t>
  </si>
  <si>
    <t>Aerosol optical thickness; Black carbon; Antarctica; MERRA-2</t>
  </si>
  <si>
    <t>BLACK CARBON; ABSORPTION; SULFUR; SYSTEM</t>
  </si>
  <si>
    <t>Columnar aerosol loading and surface level atmospheric black carbon (BC) concentration over the Antarctic are examined using the measurements carried out at the Indian Antarctic stations, Bharati and Maitri, as part of the 36th Indian Scientific Expedition (2016-17) to Antarctica (ISEA). The mean aerosol optical depth (AOD) at wavelength 500 nm at Bharati is observed to be 0.101 +/- 0.01, whereas that at Maitri is 0.047 +/- 0.003. Columnar aerosol loading at Bharati is found to be more than two times that measured at Maitri. The daily mean surface level atmospheric BC concentration at Bharati in the Austral summer from December 2016 to February 2017 is 24 +/- 16.5 ngm- 3. Comparison of this measurement with earlier reported values over the same region indicates an increase in surface-level atmospheric BC concentration. Long-term (1997-2017) trend analysis carried out using MERRA-2 aerosol reanalysis data also corroborates the increasing trend in AOD and BC concentration with 0.005 (0.007) yr -1 and 0.3 (0.27) ngm- 3 yr-1 over Bharati (Maitri) respectively. Spectral variations of aerosol absorption coefficients show absorption angstrom exponent values (AAE) close to unity (1.096 +/- 0.029), which indicates that fossil fuel emission is the primary source of absorbing aerosols over this region. During the study period, air mass back trajectory analysis indicates that the sources are from the Antarctic, coastal, and southern ocean regions with no long-range transport from other continents in the southern hemisphere.</t>
  </si>
  <si>
    <t>[Kannemadugu, Hareef Baba Shaeb; Taori, Alok; Bothale, Rajashree Vinod; Chauhan, Prakash] Govt India, Natl Remote Sensing Ctr, Earth &amp; Climate Sci Area, ISRO,Dept Space, Hyderabad 500037, India; [Syamala, Prijith Sudhakaran] Vikram Sarabhai Space Ctr, Space Phys Lab, Thiruvananthapuram, India</t>
  </si>
  <si>
    <t>Department of Space (DoS), Government of India; Indian Space Research Organisation (ISRO); National Remote Sensing Centre (NRSC); Department of Space (DoS), Government of India; Indian Space Research Organisation (ISRO); Vikram Sarabhai Space Center (VSSC)</t>
  </si>
  <si>
    <t>Kannemadugu, HBS (corresponding author), Govt India, Natl Remote Sensing Ctr, Earth &amp; Climate Sci Area, ISRO,Dept Space, Hyderabad 500037, India.</t>
  </si>
  <si>
    <t>babaphyiway@gmail.com</t>
  </si>
  <si>
    <t>Aerosol Radiative Forcing over India project of the ISRO Geosphere and Biosphere Program; National Information System for Climate and Environmental Studies (NICES)</t>
  </si>
  <si>
    <t>The authors thank NCPOR for providing the earlier ISEA data through the website (https://npdc.ncaor.gov.in/) . We thank the director of NCPOR and the Ministry of Earth Sciences for their support in participating in the 36th ISEA. The authors thank Mr. Satyesh Ghetiya and Mr. Sreenicas G for installation and data collection. We acknowl-edge the NOAA Air Resources Laboratory for the providing the HYSPLIT model. This study was carried out under the Aerosol Radiative Forcing over India project of the ISRO Geosphere and Biosphere Program and National Information System for Climate and Environmental Studies (NICES) . We thank anonymous reviewers for the critical comments which could improve the manuscript.</t>
  </si>
  <si>
    <t>10.1016/j.polar.2023.101011</t>
  </si>
  <si>
    <t>FA2X0</t>
  </si>
  <si>
    <t>WOS:001142968000001</t>
  </si>
  <si>
    <t>Maheshwari, M; Rajkumar, KS; Pallipad, J; Rajak, DR; Oza, SR; Kumar, R</t>
  </si>
  <si>
    <t>Maheshwari, Megha; Rajkumar, Kamaljit Singh; Pallipad, Jayaprasad; Rajak, Dhani Ram; Oza, Sandip Rashmikant; Kumar, Raj</t>
  </si>
  <si>
    <t>Surface roughness from in-situ measurements around Indian Antarctic stations</t>
  </si>
  <si>
    <t>Surface roughness; Laser distometer; Indian antarctic expedition</t>
  </si>
  <si>
    <t>GREENLAND ICE-SHEET; BLUE-ICE; GLACIER SURFACE; SNOW; ALTIMETER; AREAS; MODEL; PATTERNS; ENVISAT; HEAT</t>
  </si>
  <si>
    <t>Surface roughness is an important parameter in deriving energy balance over the polar ice-sheets and glaciers. In Antarctica, roughness appears as snow patches and is affected by wind transport. It is also influenced by snowfall, snowdrifts, snowmelt, and snow grain size. In this paper, we derive surface roughness using a laser distometer. The roughness measurements were collected during the 32nd Indian Scientific Expedition to Antarctica 2013 (ISEA-32). After removal of all the possible error sources, it is found that around the Indian Antarctic station Bharati (69.41 degrees S, 76.18 degrees E), roughness is in the range of 0.7-1.2 cm. Snowfall and wind introduce fluctuations in surface roughness measurements. Measurements around Maitri (70.76 degrees S, 11.73 degrees E) showed that different ice surfaces have different values of roughness (0.6-1.4 cm), with the minimum roughness in the interior ice sheet surrounded by hummocks. Sastrugi patterns were also captured in the analysis. Backscattering signatures from RADARSAT-2 imagery were examined in conjunction with the roughness measurements.</t>
  </si>
  <si>
    <t>[Maheshwari, Megha] UR Rao Satellite Ctr ISRO, Bengaluru 560017, Karnataka, India; [Rajkumar, Kamaljit Singh] Manipur Tech Univ, Imphal 795004, Manipur, India; [Pallipad, Jayaprasad; Rajak, Dhani Ram; Oza, Sandip Rashmikant; Kumar, Raj] Space Applicat Ctr ISRO, Ahmadabad 380015, Gujarat, India</t>
  </si>
  <si>
    <t>Department of Space (DoS), Government of India; Indian Space Research Organisation (ISRO); U R Rao Satellite Centre (URSC); Department of Space (DoS), Government of India; Indian Space Research Organisation (ISRO); Space Applications Centre (SAC)</t>
  </si>
  <si>
    <t>Rajkumar, KS (corresponding author), Manipur Tech Univ, Imphal 795004, Manipur, India.</t>
  </si>
  <si>
    <t>kamaljit.rajkumar@gmail.com</t>
  </si>
  <si>
    <t>Rajkumar, Kamaljit/I-8045-2013</t>
  </si>
  <si>
    <t>Rajkumar, Kamaljit/0000-0001-8864-3526</t>
  </si>
  <si>
    <t>10.1016/j.polar.2023.100971</t>
  </si>
  <si>
    <t>EZ6R9</t>
  </si>
  <si>
    <t>WOS:001142805000001</t>
  </si>
  <si>
    <t>Nagar, S; Ray, Y; Rao, RK; Kumar, A; Mohan, R</t>
  </si>
  <si>
    <t>Nagar, Swati; Ray, Yogesh; Rao, Rakesh; Kumar, Avinash; Mohan, Rahul</t>
  </si>
  <si>
    <t>International collaboration- An indispensable tool for Antarctic research: Status report of India's endeavours on the icy continent</t>
  </si>
  <si>
    <t>International collaboration; Indian Antarctic program; Logistic challenges; Capacity building; Scientific Social Responsibility</t>
  </si>
  <si>
    <t>SCIENCE; SHELF</t>
  </si>
  <si>
    <t>Antarctica, the southernmost continent on Earth, is a harsh and remote place with an extreme climate. Despite its challenges, the continent has become a significant site for scientific research, particularly in the fields of earth sciences, glaciology, environmental science, atmospheric sciences, meteorology, palaeoclimatology, and biology. As a signatory to the Antarctic Treaty, India has actively pursued scientific research on the continent since 1981. The Indian Antarctic Program has conducted research, provided logistical support, and monitored environmental activities in Antarctica for over four decades. Science is a currency in Antarctica, and international collaboration is the route to progress. This article explores India's efforts, particularly those of the Ministry of Earth Sciences, Government of India, and the National Centre for Polar and Ocean Research, in fostering international collab-oration in Antarctica.</t>
  </si>
  <si>
    <t>[Nagar, Swati; Ray, Yogesh; Kumar, Avinash; Mohan, Rahul] Minist Earth Sci, Natl Ctr Polar &amp; Ocean Res, Headland Sada 403804, Goa, India; [Rao, Rakesh] Enscitec Prod, Bambolim 403202, Goa, India</t>
  </si>
  <si>
    <t>Ministry of Earth Sciences (MoES) - India; National Centre for Polar and Ocean Research (NCPOR)</t>
  </si>
  <si>
    <t>Ray, Y (corresponding author), Minist Earth Sci, Natl Ctr Polar &amp; Ocean Res, Headland Sada 403804, Goa, India.</t>
  </si>
  <si>
    <t>yogesh@ncpor.res.in</t>
  </si>
  <si>
    <t>Avinash, Kumar/0000-0002-6511-8435</t>
  </si>
  <si>
    <t>National Centre for Polar and Ocean Research (NCPOR); Ministry of Earth Sciences (MoES)</t>
  </si>
  <si>
    <t>The authors gratefully acknowledge the Director, National Centre for Polar and Ocean Research (NCPOR) and the Ministry of Earth Sciences (MoES), for their continuous support and encouragement. The authors are thankful to two anonymous reviewers for their constructive comments, which considerably improved the manuscript. This is NCPOR contribution no. J-35/2023-24.</t>
  </si>
  <si>
    <t>10.1016/j.polar.2023.101003</t>
  </si>
  <si>
    <t>EZ2A4</t>
  </si>
  <si>
    <t>WOS:001142681200001</t>
  </si>
  <si>
    <t>Seemala, GK; Katual, I; Kapil, C; Vichare, G</t>
  </si>
  <si>
    <t>Seemala, Gopi K.; Katual, Ipsita; Kapil, Chandan; Vichare, Geeta</t>
  </si>
  <si>
    <t>Seasonal and solar activity dependence of TEC over Bharati station, Antarctica</t>
  </si>
  <si>
    <t>Polar ionosphere; Total electron content (TEC); Seasonal and solar variation of ionosphere at; Antarctica</t>
  </si>
  <si>
    <t>GPS PHASE SCINTILLATION; HIGH-LATITUDES; PLASMA; STORM; IRREGULARITIES; IONOSPHERE; CONVECTION; EQUATORIAL; FEATURES; SYSTEM</t>
  </si>
  <si>
    <t>The total electron content (TEC) is a key parameter that is used to understand the effects of ionosphere on satellite-based navigation and communication signals. The ionosphere at polar is highly dynamic and acts as a major sink for the solar-terrestrial energy transfer processes, different magnetospheric and space weather events. Especially in Antarctica, the observation is still sparse due to a limited number of stations. In this paper, the study of ionosphere variability over Bharati station (69.41 degrees S, 76.19 degrees E), an Indian Antarctic research base at Larsemann Hills, was carried out. During the geomagnetically quiet conditions, the Bharati station is located outside of auroral oval but towards the poleward of auroral oval. The variation of ionosphere for diurnal, seasonal, and solar activity was studied using the TEC data for the years 2010-2022 which covers the solar cycle 24. The TEC diurnal pattern is strong even during polar days and nights with a peak at local noon. The seasonal variability was distinctly observed with about 50% increase in TEC during equinoctial months compared to summer months during high solar active year 2014. However, during low solar active year there is a marginal increase of TEC in equinoxes compared to summer.</t>
  </si>
  <si>
    <t>[Seemala, Gopi K.; Katual, Ipsita; Kapil, Chandan; Vichare, Geeta] Indian Inst Geomagnetism, Navi Mumbai, India</t>
  </si>
  <si>
    <t>Seemala, GK (corresponding author), Indian Inst Geomagnetism, Navi Mumbai, India.</t>
  </si>
  <si>
    <t>gopi.seemala@gmail.com</t>
  </si>
  <si>
    <t>Katual, Ipsita/0009-0005-7187-6901</t>
  </si>
  <si>
    <t>National Centre for Polar and Ocean Research (NCPOR) , Goa, under the Ministry of Earth Sciences, India</t>
  </si>
  <si>
    <t>The Indian Scientific Expedition to Antarctica is supported by National Centre for Polar and Ocean Research (NCPOR) , Goa, under the Ministry of Earth Sciences, India. The authors would like to thank the staff of IIG and NCPOR for their scientific and logistic supports at Antarctic expeditions. The authors also thank NASA/GSFC CDAWeb team, Space Science Data Center (http://nssdcgsfc.nasa.gov/omniweb) for the solar data, F10.7 solar flux, WDC-C2 (Kyoto) for the International quite days data, which is available at http://wdc.kugi.kyoto-u.ac.jp.</t>
  </si>
  <si>
    <t>10.1016/j.polar.2023.101001</t>
  </si>
  <si>
    <t>EY9R8</t>
  </si>
  <si>
    <t>WOS:001142620100001</t>
  </si>
  <si>
    <t>Sukhanova, A; Bantsev, D; Popov, S; Boronina, A; Shimanchuk, E; Polyakov, S</t>
  </si>
  <si>
    <t>Sukhanova, Anastasiia; Bantsev, Dmitry; Popov, Sergey; Boronina, Alina; Shimanchuk, Egor; Polyakov, Sergey</t>
  </si>
  <si>
    <t>The current state of Lake Dålk (Larsemann Hills, East Antarctica)</t>
  </si>
  <si>
    <t>Antarctic lakes; Mathematical modeling; Ground-penetrating radar</t>
  </si>
  <si>
    <t>BROKNES</t>
  </si>
  <si>
    <t>The study focuses on the current state of englacial Lake Dalk (Larsemann Hills Oasis), which was completely devastated in January 2017 by a catastrophic outburst and formed again in February 2020. A set of works including ground-penetrating radar (GPR) profiling, geodetic survey, core drilling, thermometric measurements and isotopic analysis was performed. As a result, new data were obtained about the modern boundaries of the reservoir, ice thickness and depths, as well as about the peculiarities of freezing of the lake after re-formation. Based on the field data obtained, one-dimensional mathematical modeling of Lake Dalk freezing was carried out, the results of which showed further scenarios of its evolution.</t>
  </si>
  <si>
    <t>[Sukhanova, Anastasiia] First Geotech Co LLC FGC, 4 Kantemirovskaya Str, St Petersburg 194100, Russia; [Bantsev, Dmitry; Popov, Sergey; Boronina, Alina] St Petersburg State Univ SPbU, 7-9 Univ Skaya Emb, St Petersburg 199034, Russia; [Popov, Sergey] Polar Marine Geosurvey Expedit JSC PMGE, 24 Pobedy Str, St Petersburg 198412, Russia; [Boronina, Alina] State Hydrol Inst SHI, 23 2nd Line Vasilyevsky Isl, St Petersburg 199004, Russia; [Shimanchuk, Egor; Polyakov, Sergey] Arctic &amp; Antarctic Res Inst, 38 Bering Str, St Petersburg 119397, Russia</t>
  </si>
  <si>
    <t>Saint Petersburg State University; Arctic &amp; Antarctic Research Institute</t>
  </si>
  <si>
    <t>Sukhanova, A (corresponding author), First Geotech Co LLC FGC, 4 Kantemirovskaya Str, St Petersburg 194100, Russia.</t>
  </si>
  <si>
    <t>suhanova.anastassiya@yandex.ru</t>
  </si>
  <si>
    <t>Popov, Sergey/IYJ-2371-2023; Bantcev, Dmitrii/AAK-2319-2020</t>
  </si>
  <si>
    <t>Popov, Sergey/0000-0002-1830-8658;</t>
  </si>
  <si>
    <t>Russian Science Foundation [Ndegrees 22-27-00266]</t>
  </si>
  <si>
    <t>This work was supported by Russian Science Foundation [N degrees 22-27-00266] .</t>
  </si>
  <si>
    <t>10.1016/j.polar.2023.101006</t>
  </si>
  <si>
    <t>FA3L1</t>
  </si>
  <si>
    <t>WOS:001142982100001</t>
  </si>
  <si>
    <t>Singh, AK; Saini, S; Ray, Y; Grigoreva, S; Cui, XB; Li, XL; Mohan, R; Beg, MJ; Ravindra, R</t>
  </si>
  <si>
    <t>Singh, Anand K.; Saini, Shailendra; Ray, Yogesh; Grigoreva, Svetlana; Cui, Xiangbin; Li, Xianglan; Mohan, Rahul; Beg, M. Javed; Ravindra, Rasik</t>
  </si>
  <si>
    <t>Research advances from Larsemann Hills, Antarctica: International cooperation and future prospects</t>
  </si>
  <si>
    <t>ICAR-2020; International cooperation; Multi-disciplinary research</t>
  </si>
  <si>
    <t>In the Larsemann Hills, three countries - Russia, China, and India - maintain year-round stations, while Australia operates a summer facility. These countries engage in diverse scientific research in the Larsemann Hills and the surrounding areas. The unprecedented cooperation resulted in the International Conference on Antarctic Research (ICAR) at Bharati station in 2020. Additionally, the BRICS working group on ocean and polar science and technology (OPST) has played a crucial role in fostering scientific engagements. This first volume of the special issue compiles twenty-five research findings based on data collected in the region, including presentations from ICAR-2020. Beyond showcasing international cooperation, the special issue also commemorates a decade of the Bharati station's presence in the Larsemann Hills.</t>
  </si>
  <si>
    <t>[Singh, Anand K.; Saini, Shailendra; Ray, Yogesh; Mohan, Rahul; Beg, M. Javed] Minist Earth Sci, Natl Ctr Polar &amp; Ocean Res, Vasco Da Gama 403804, Goa, India; [Grigoreva, Svetlana] Arctic &amp; Antarctic Res Inst, St Petersburg, Russia; [Cui, Xiangbin] Polar Res Inst China, Shanghai, Peoples R China; [Li, Xianglan] Beijing Normal Univ, Beijing, Peoples R China; [Ravindra, Rasik] Minist Earth Sci, New Delhi, India</t>
  </si>
  <si>
    <t>Ministry of Earth Sciences (MoES) - India; National Centre for Polar and Ocean Research (NCPOR); Arctic &amp; Antarctic Research Institute; Polar Research Institute of China; Beijing Normal University; Ministry of Earth Sciences (MoES) - India</t>
  </si>
  <si>
    <t>Singh, AK (corresponding author), Minist Earth Sci, Natl Ctr Polar &amp; Ocean Res, Vasco Da Gama 403804, Goa, India.</t>
  </si>
  <si>
    <t>10.1016/j.polar.2023.101025</t>
  </si>
  <si>
    <t>FC4O0</t>
  </si>
  <si>
    <t>WOS:001143538800001</t>
  </si>
  <si>
    <t>Pacha, AS; Pande, A; Arya, S; Saini, S; Sivakumar, K; Mondol, S</t>
  </si>
  <si>
    <t>Pacha, Ankit Shankar; Pande, Anant; Arya, Shashank; Saini, Shailendra; Sivakumar, Kuppusamy; Mondol, Samrat</t>
  </si>
  <si>
    <t>New insights on the phylogeny and genetic status of a highly vagile seabird from East Antarctica</t>
  </si>
  <si>
    <t>East Antarctica; Oceanitidae; Procellariiformes; Genetic structure; Wilson's storm -petrel</t>
  </si>
  <si>
    <t>WILSONS STORM-PETRELS; LARSEMANN HILLS; CLIMATE-CHANGE; ICE-FREE; ISLANDS</t>
  </si>
  <si>
    <t>Wilson's storm-petrel (Oceanites oceanicus, family Oceanitidae, order Procellariiformes) breeds in rock cavities along the ice-free coastline of Antarctica, a habitat susceptible to environmental change and human disturbance. Despite extensive presence, high numbers and wide-ranging movement, there are taxonomic ambiguities surrounding species' phylogenetic positioning and data gaps for most parts of its range. In this study, we provide support to the phylogenetic status of family Oceanitidae through new genetic datasets and modern analytical approaches. We generated mitochondrial cytochrome b gene sequences from samples collected from east Antarctica's ice-free regions. Reconstructed trees obtained using Bayesian and maximum likelihood models show Oceanitidae as a monophyletic group where Hydrobatidae (northern storm-petrels) appeared as a basal group to the order Procellariiformes. Phylogeographic network analysis resulted in seven distinct haplotypes with strong genetic differentiation (FST &gt; 0.99) between east Antarctic and sub-Antarctic populations. Our study provides one of the first genetic datasets on Wilson's storm-petrel populations in east Antarctica. It serves as a baseline to undertake rigorous investigations into species' population structure, genetic connectivity and demographic responses to human-mediated changes in the austral environment.</t>
  </si>
  <si>
    <t>[Pacha, Ankit Shankar; Pande, Anant; Arya, Shashank; Sivakumar, Kuppusamy; Mondol, Samrat] Wildlife Inst India, Dehra Dun 248001, Uttarakhand, India; [Pande, Anant] Wildlife Conservat Soc India, Marine Program, Bengaluru 560097, Karnataka, India; [Saini, Shailendra] Natl Ctr Polar &amp; Ocean Res, Antarctic Logist, Vasco Da Gama 403804, Goa, India; [Sivakumar, Kuppusamy] Pondicherry Univ, Dept Ecol &amp; Environm Sci, Pondicherry 605014, India</t>
  </si>
  <si>
    <t>Wildlife Institute of India; Ministry of Earth Sciences (MoES) - India; National Centre for Polar and Ocean Research (NCPOR); Pondicherry University</t>
  </si>
  <si>
    <t>Pande, A; Mondol, S (corresponding author), Wildlife Inst India, Dehra Dun 248001, Uttarakhand, India.;Pande, A (corresponding author), Wildlife Conservat Soc India, Marine Program, Bengaluru 560097, Karnataka, India.</t>
  </si>
  <si>
    <t>anant@wcsindia.org; samrat@wii.gov.in</t>
  </si>
  <si>
    <t>Mondol, Samrat/JXN-4527-2024; Pacha, Ankit/KBB-2427-2024</t>
  </si>
  <si>
    <t>Pacha, Ankit/0000-0002-7979-4223; Mondol, Samrat/0000-0003-3034-9396; Kuppusamy, Sivakumar/0000-0002-6938-7480</t>
  </si>
  <si>
    <t>Wildlife Institute of India, Ministry of Environment, Forest and Climate Change, Government of India; National Centre for Polar and Ocean Research, Ministry of Earth Sciences, Government of India</t>
  </si>
  <si>
    <t>This work was supported by Wildlife Institute of India, Ministry of Environment, Forest and Climate Change, Government of India and National Centre for Polar and Ocean Research, Ministry of Earth Sciences, Government of India. Our sincere thanks to the Director, Wildlife Institute of India, and Antarctic Science and Logistics division of National Centre for Polar and Ocean Research for their constant support. The authors are grateful for the field support provided by station leaders and members of the 35th and 39th Indian Scientific Expeditions to Antarctica.</t>
  </si>
  <si>
    <t>10.1016/j.polar.2023.100972</t>
  </si>
  <si>
    <t>FB8B6</t>
  </si>
  <si>
    <t>WOS:001143370000001</t>
  </si>
  <si>
    <t>Arce, R; Ferreiro, I; Hurtado, J; Aldunate, F; Perbolianachis, P; Simón, D; Moratorio, G; Moreno, P; Cristina, J</t>
  </si>
  <si>
    <t>Arce, Rodrigo; Ferreiro, Irene; Hurtado, Joaquin; Aldunate, Fabian; Perbolianachis, Paula; Simon, Diego; Moratorio, Gonzalo; Moreno, Pilar; Cristina, Juan</t>
  </si>
  <si>
    <t>Noninvasive Surveillance and Evolutionary Insight into Siadenovirus among Antarctic Penguins</t>
  </si>
  <si>
    <t>TRANSBOUNDARY AND EMERGING DISEASES</t>
  </si>
  <si>
    <t>GENOME ANALYSIS; ADENOVIRUS; PREDICTION; SEQUENCE; PROTEIN</t>
  </si>
  <si>
    <t>Avian siadenoviruses infect diverse terrestrial and aquatic birds worldwide. Antarctica hosts several avian species that are susceptible to siadenovirus infection, such as penguins and South Polar skuas. However, the presence, diversity, and transmission of these viruses in Antarctic birds are poorly understood due to limited surveillance and sequence data. In this study, we performed a noninvasive surveillance of avian siadenoviruses using fecal samples collected from waterbirds at King George Island (part of South Shetland Islands, Antarctica) from late January to mid-February 2023. Polymerase chain reaction, sequencing, and phylogenetic analysis were used to investigate the occurrence, genetic diversity, and evolutionary relationships of these viruses in this unique environment. The results of these studies confirmed the presence of siadenoviruses in penguins living along the southeastern coast of King George Island. Distinct viral strains, specific to each penguin species studied, were found suggesting limited interspecies transmission and a complex viral ecosystem within Antarctic bird populations. Siadenovirus strains isolated from penguin's species were genetically distinct from those infecting South Polar skuas. An in silico 3D modeling of hexon proteins from siadenoviruses gathered from gentoo penguins permitted to detect key amino acid substitutions in the FG2 domain that may affect capsid structure and function. The persistent prevalence of siadenoviruses in Antarctica underscores the need for ongoing surveillance to understand the evolutionary dynamics of viruses in this region. This study is the first to noninvasively detect siadenoviruses in Antarctic penguins, opening a new avenue for viral research. This approach not only sheds light on viral dynamics but also contributes to the conservation of Antarctica's unique wildlife and biodiversity, especially in the face of increasing global warming.</t>
  </si>
  <si>
    <t>[Arce, Rodrigo; Ferreiro, Irene; Hurtado, Joaquin; Aldunate, Fabian; Perbolianachis, Paula; Simon, Diego; Moratorio, Gonzalo; Moreno, Pilar; Cristina, Juan] Univ Republica, Fac Ciencias, Ctr Invest Nucl, Lab Virol Mol, Igua 4225, Montevideo 11400, Uruguay; [Arce, Rodrigo; Ferreiro, Irene; Hurtado, Joaquin; Aldunate, Fabian; Perbolianachis, Paula; Simon, Diego; Moratorio, Gonzalo; Moreno, Pilar] Inst Pasteur Montevideo, Lab Evoluc Expt Virus, Mataojo 2020, Montevideo 11400, Uruguay; [Moratorio, Gonzalo; Moreno, Pilar] Inst Pasteur Montevideo, Ctr Innovac Vigilancia Epidemiol, Mataojo 2020, Montevideo 11400, Uruguay</t>
  </si>
  <si>
    <t>Universidad de la Republica, Uruguay; Le Reseau International des Instituts Pasteur (RIIP); Institut Pasteur de Montevideo; Le Reseau International des Instituts Pasteur (RIIP); Institut Pasteur de Montevideo</t>
  </si>
  <si>
    <t>Moratorio, G; Moreno, P; Cristina, J (corresponding author), Univ Republica, Fac Ciencias, Ctr Invest Nucl, Lab Virol Mol, Igua 4225, Montevideo 11400, Uruguay.;Moratorio, G; Moreno, P (corresponding author), Inst Pasteur Montevideo, Lab Evoluc Expt Virus, Mataojo 2020, Montevideo 11400, Uruguay.;Moratorio, G; Moreno, P (corresponding author), Inst Pasteur Montevideo, Ctr Innovac Vigilancia Epidemiol, Mataojo 2020, Montevideo 11400, Uruguay.</t>
  </si>
  <si>
    <t>arcerama@gmail.com; irefefe@hotmail.com; jhurtado@fcien.edu.uy; faldunate@fcien.edu.uy; paulaperbolianachis@fcien.edu.uy; dsimon@fcien.edu.uy; gonzamoratorio@gmail.com; pmoreno@fcien.edu.uy; cristina@cin.edu.uy</t>
  </si>
  <si>
    <t>Moreno, Pilar/0000-0001-6155-7206; Arce, Rodrigo/0000-0002-7519-6197; Hurtado, Joaquin/0000-0003-1483-7947</t>
  </si>
  <si>
    <t>Instituto Antartico Uruguayo; Agencia Nacional de Investigacion e Innovacion; PEDECIBA, Uruguay; Comision Sectorial de Investigacion Cientifica, Universidad de la Republica, Uruguay</t>
  </si>
  <si>
    <t>We extend our gratitude to the Instituto Antartico Uruguayo and the staff of the ROU 04 General Artigas vessel and Base Cientifica Antartica Artigas for their invaluable logistic support. This work was supported by the Instituto Antartico Uruguayo, Agencia Nacional de Investigacion e Innovacion, and PEDECIBA, Uruguay. We acknowledge Comision Sectorial de Investigacion Cientifica, Universidad de la Republica, Uruguay, for support through Grupos I + D grant.</t>
  </si>
  <si>
    <t>WILEY-HINDAWI</t>
  </si>
  <si>
    <t>LONDON</t>
  </si>
  <si>
    <t>ADAM HOUSE, 3RD FL, 1 FITZROY SQ, LONDON, WIT 5HE, ENGLAND</t>
  </si>
  <si>
    <t>1865-1674</t>
  </si>
  <si>
    <t>1865-1682</t>
  </si>
  <si>
    <t>TRANSBOUND EMERG DIS</t>
  </si>
  <si>
    <t>Transbound. Emerg. Dis.</t>
  </si>
  <si>
    <t>10.1155/2023/9743267</t>
  </si>
  <si>
    <t>Infectious Diseases; Veterinary Sciences</t>
  </si>
  <si>
    <t>DJ5J7</t>
  </si>
  <si>
    <t>WOS:001131679400001</t>
  </si>
  <si>
    <t>Dewar, M; Wille, M; Gamble, A; Vanstreels, RET; Bouliner, T; Smith, A; Varsani, A; Ratcliffe, N; Black, J; Lynnes, A; Barbosa, A; Hart, T</t>
  </si>
  <si>
    <t>Dewar, Meagan; Wille, Michelle; Gamble, Amandine; Vanstreels, Ralph E. T.; Bouliner, Thierry; Smith, Adrian; Varsani, Arvind; Ratcliffe, Norman; Black, Jennifer; Lynnes, Amanda; Barbosa, Andres; Hart, Tom</t>
  </si>
  <si>
    <t>The risk of highly pathogenic avian influenza in the Southern Ocean: a practical guide for operators and scientists interacting with wildlife</t>
  </si>
  <si>
    <t>Antarctica; avian influenza; bird flu; HPAI; mass mortality events; sub-Antarctic</t>
  </si>
  <si>
    <t>A VIRUS; TRANSMISSION; ECOLOGY; SPREAD</t>
  </si>
  <si>
    <t>Advice from avian influenza experts suggests that there is a high risk that highly pathogenic avian influenza will arrive in the Southern Ocean during the austral summers.</t>
  </si>
  <si>
    <t>[Dewar, Meagan] Federat Univ Australia, Future Reg Res Ctr, Berwick, Australia; [Dewar, Meagan; Wille, Michelle; Gamble, Amandine; Vanstreels, Ralph E. T.; Bouliner, Thierry; Smith, Adrian; Varsani, Arvind; Barbosa, Andres; Hart, Tom] Antarctic Wildlife Hlth Network, Sci Comm Antarctic Res, Expert Grp Birds &amp; Marine Mammals, Univ ofSydney, Sydney, NSW, Australia; [Wille, Michelle] Univ Sydney, Sydney Inst Infect Dis, Sch Life &amp; Environm Sci, Sydney, NSW, Australia; [Wille, Michelle] Univ Sydney, Sch Med Sci, Sydney, NSW, Australia; [Gamble, Amandine] Univ Glasgow, Sch Biodivers One Hlth &amp; Vet Med, Glasgow City, Scotland; [Gamble, Amandine] Cornell Univ, Dept Publ &amp; Ecosyst Hlth, New York, NY USA; [Vanstreels, Ralph E. T.] Univ Calif, Karen C Drayer Wildlife Hlth Ctr, Latin Amer Program, Sao Paulo, Brazil; [Bouliner, Thierry] Univ Montpellier, Ctr Ecol Fonct &amp; Evolut, CNRS, Montpellier, France; [Smith, Adrian] Univ Oxford, Dept Biol, Oxford, England; [Varsani, Arvind] Arizona State Univ, Biodesign Ctr Fundamental &amp; Appl Microbi, Ctr Evolut &amp; Med, Sch Life Sci, Tempe, AZ USA; [Ratcliffe, Norman] British Antarctic Survey, Cambridge, England; [Black, Jennifer] Foreign Commonwealth &amp; Dev Off, London, England; [Lynnes, Amanda] Int Assoc Antarct Tour Operators, South Kingstown, RI USA; [Barbosa, Andres] Spanish Res Council, Dept Evolutionary Ecol, Natl Museum Nat Sci, Madrid, Spain; [Hart, Tom] Oxford Brookes Univ, Dept Biol &amp; Med Sci, Oxford, England</t>
  </si>
  <si>
    <t>Federation University Australia; University of Sydney; University of Sydney; University of Glasgow; Cornell University; Universite PSL; Ecole Pratique des Hautes Etudes (EPHE); Institut Agro; Montpellier SupAgro; CIRAD; Centre National de la Recherche Scientifique (CNRS); Institut de Recherche pour le Developpement (IRD); Universite Paul-Valery; Universite de Montpellier; University of Oxford; Arizona State University; Arizona State University-Tempe; UK Research &amp; Innovation (UKRI); Natural Environment Research Council (NERC); NERC British Antarctic Survey; Oxford Brookes University</t>
  </si>
  <si>
    <t>Dewar, M (corresponding author), Federat Univ Australia, Future Reg Res Ctr, Berwick, Australia.;Dewar, M (corresponding author), Antarctic Wildlife Hlth Network, Sci Comm Antarctic Res, Expert Grp Birds &amp; Marine Mammals, Univ ofSydney, Sydney, NSW, Australia.</t>
  </si>
  <si>
    <t>m.dewar@federation.edu.au</t>
  </si>
  <si>
    <t>Wille, Michelle/F-4819-2013; Dewar, Meagan/AAI-3969-2021; Gamble, Amandine/HLP-7835-2023</t>
  </si>
  <si>
    <t>Wille, Michelle/0000-0002-5629-0196; Gamble, Amandine/0000-0001-5430-9124; Dewar, Meagan/0000-0003-0581-2422</t>
  </si>
  <si>
    <t>2023 DEC 21</t>
  </si>
  <si>
    <t>10.1017/S0954102023000342</t>
  </si>
  <si>
    <t>DB1M9</t>
  </si>
  <si>
    <t>WOS:001129482200001</t>
  </si>
  <si>
    <t>Sinclair, SM; Duffy, GA; Fraser, CI</t>
  </si>
  <si>
    <t>Sinclair, Sophie M.; Duffy, Grant A.; Fraser, Ceridwen I.</t>
  </si>
  <si>
    <t>Repeated freezing impacts buoyancy and photosynthesis of a rafting kelp species</t>
  </si>
  <si>
    <t>Antarctica was once considered biologically isolated, surrounded by oceanic barriers (Fraser et al. 2018). However, floating materials such as kelp rafts (Fraser et al. 2018, Avila et al. 2020), wood (Lewis et al. 2005) and plastics (Avila et al. 2020) are now known to cross these barriers and reach Antarctic shores. Such incursions might enable non-native species (either rafting species themselves or associated hitchhikers) to colonize Antarctica as the climate warms (Avila et al. 2020, Fraser et al. 2020), but whether these species will be able to survive and reproduce in the Antarctic is not yet known. Sea ice is a defining characteristic of Antarctic coastlines, and modelled trajectories of kelp rafts (Fraser et al. 2018) cross-referenced against sea-ice observations (Parkinson 2019) suggest that collisions between rafts and seasonal sea ice occur frequently (Fig. 1a); thus, rafts are expected to be entrained in, on or under sea ice and experience multiple freeze-and-thaw cycles on their journeys to Antarctica. In addition, kelp rafts that reach the Antarctic intertidal will experience temperatures well below 0 degrees C if exposed to the air at low tide. Freezing can cause severe disruptive stress to seaweeds, and ice crystals growing in intercellular spaces can damage cell membranes and cause cell lysis (Eggert 2012). Such damage could affect the buoyancy of kelp tissue and decrease rafting ability. Although some non-native kelp rafts recovered from Antarctic shores appeared to still be reproductively viable, with mature gametes observed in reproductive tissue (Fraser et al. 2018), tissue damage caused by freezing could have widespread effects on the health, function and establishment success of a non-native species traversing the Southern Ocean.</t>
  </si>
  <si>
    <t>[Sinclair, Sophie M.; Duffy, Grant A.; Fraser, Ceridwen I.] Univ Otago, Dept Marine Sci, Dunedin, New Zealand</t>
  </si>
  <si>
    <t>University of Otago</t>
  </si>
  <si>
    <t>Sinclair, SM (corresponding author), Univ Otago, Dept Marine Sci, Dunedin, New Zealand.</t>
  </si>
  <si>
    <t>soph.sinclair22@gmail.com</t>
  </si>
  <si>
    <t>Sinclair, Sophie/KFR-3870-2024</t>
  </si>
  <si>
    <t>Fraser, Ceridwen/0000-0002-6918-8959; Sinclair, Sophie/0009-0001-1555-6314</t>
  </si>
  <si>
    <t>New Zealand Antarctic Science Platform [MBIE ANTA1801]; Royal Society of New Zealand Te Apa rangi Marsden Fund grant [MFP-20-UOO-173]; Royal Society of New Zealand Te Apa rangi Rutherford Discovery Fellowship [RDF-UOO1803]</t>
  </si>
  <si>
    <t>New Zealand Antarctic Science Platform; Royal Society of New Zealand Te Apa rangi Marsden Fund grant(Royal Society of New Zealand); Royal Society of New Zealand Te Apa rangi Rutherford Discovery Fellowship(Royal Society of New Zealand)</t>
  </si>
  <si>
    <t>This work was supported by the New Zealand Antarctic Science Platform (grant no. MBIE ANTA1801) and a Royal Society of New Zealand Te Apa rangi Marsden Fund grant (grant no. MFP-20-UOO-173). SMS, via a funded Summer Scholarship, was supported by a Royal Society of New Zealand Te Apa rangi Rutherford Discovery Fellowship to CIF (grant no. RDF-UOO1803).</t>
  </si>
  <si>
    <t>10.1017/S0954102023000305</t>
  </si>
  <si>
    <t>DB1O1</t>
  </si>
  <si>
    <t>WOS:001129483400001</t>
  </si>
  <si>
    <t>Klocker, A; Munday, D; Gayen, B; Roquet, F; Lacasce, JH</t>
  </si>
  <si>
    <t>Klocker, Andreas; Munday, David; Gayen, Bishakhdatta; Roquet, Fabien; Lacasce, Joseph H.</t>
  </si>
  <si>
    <t>Deep-Reaching Global Ocean Overturning Circulation Generated by Surface Buoyancy Forcing</t>
  </si>
  <si>
    <t>TELLUS SERIES A-DYNAMIC METEOROLOGY AND OCEANOGRAPHY</t>
  </si>
  <si>
    <t>global overturning circulation; buoyancy forcing; rotating horizontal convection; geostrophic balance</t>
  </si>
  <si>
    <t>THERMOHALINE CIRCULATION; HORIZONTAL CONVECTION; THERMAL CIRCULATION; WORLD OCEAN; DRIVEN; MODEL; BOUNDARY; THERMOCLINE; STRATIFICATION; DIFFUSIVITY</t>
  </si>
  <si>
    <t>In contrast with the atmosphere, which is heated from below by solar radiation, the ocean is both heated and cooled from above. To drive a deep-reaching overturning circulation in this context, it is generally assumed that either intense interior mixing by winds and internal tides, or wind-driven upwelling is required; in their absence, the circulation is thought to collapse to a shallow surface cell. We demonstrate, using a primitive equation model with an idealized domain and no wind forcing, that the surface temperature forcing can in fact drive an interhemispheric overturning provided that there is an open channel unblocked in the zonal direction, such as in the Southern Ocean. With this geometry, rotating horizontal convection, in combination with asymmetric surface cooling between the north and south, drives a deep-reaching two-cell overturning circulation. The resulting vertical mid-depth stratification closely resembles that of the real ocean, suggesting that wind-driven pumping is not necessary to produce a deep-reaching overturning circulation, and that buoyancy forcing plays a more important role than is usually assumed.</t>
  </si>
  <si>
    <t>[Klocker, Andreas] NORCE Norwegian Res Ctr, Bjerknes Ctr Climate Res, Bergen, Norway; [Munday, David] British Antarctic Survey, Cambridge, England; [Gayen, Bishakhdatta] Univ Melbourne, Dept Mech Engn, Melbourne, Vic, Australia; [Gayen, Bishakhdatta] Univ Melbourne, Australian Ctr Excellence Antarctic Sci, Melbourne, Vic, Australia; [Gayen, Bishakhdatta] Indian Inst Sci, CAOS, Bengaluru, Karnataka, India; [Roquet, Fabien] Univ Gothenburg, Dept Marine Sci, Gothenburg, Sweden; [Lacasce, Joseph H.] Univ Oslo, Dept Geosci, Oslo, Norway</t>
  </si>
  <si>
    <t>Bjerknes Centre for Climate Research; Norwegian Research Centre (NORCE); UK Research &amp; Innovation (UKRI); Natural Environment Research Council (NERC); NERC British Antarctic Survey; University of Melbourne; Melbourne Bioinformatics; Melbourne Genomics Health Alliance; University of Melbourne; Indian Institute of Science (IISC) - Bangalore; University of Gothenburg; University of Oslo</t>
  </si>
  <si>
    <t>Klocker, A (corresponding author), NORCE Norwegian Res Ctr, Bjerknes Ctr Climate Res, Bergen, Norway.</t>
  </si>
  <si>
    <t>ankl@norceresearch.no</t>
  </si>
  <si>
    <t>Gayen, Bishakhdatta/D-9679-2011; Munday, David/R-1986-2016</t>
  </si>
  <si>
    <t>Gayen, Bishakhdatta/0000-0001-6543-2590; Munday, David/0000-0003-1920-708X</t>
  </si>
  <si>
    <t>Australian Government; Rough Ocean project [302743]; Norwegian Research Council; Australian Research Council Future Fellowship [FT180100037]</t>
  </si>
  <si>
    <t>Australian Government(Australian Government); Rough Ocean project; Norwegian Research Council(Research Council of Norway); Australian Research Council Future Fellowship(Australian Research Council)</t>
  </si>
  <si>
    <t>Model runs were undertaken with the assistance of resources from the National Computational Infrastructure (NCI), which is supported by the Australian Government. AK and JHL were supported by the Rough Ocean project, number 302743, of the Norwegian Research Council and BG is supported by Australian Research Council Future Fellowship FT180100037.</t>
  </si>
  <si>
    <t>STOCKHOLM UNIV PRESS</t>
  </si>
  <si>
    <t>STOCKHOLM</t>
  </si>
  <si>
    <t>STOCKHOLM UNIV LIBRARY, UNIVERSITETSVAGEN 14 D, STOCKHOLM, SE-106 91, SWEDEN</t>
  </si>
  <si>
    <t>1600-0870</t>
  </si>
  <si>
    <t>TELLUS A</t>
  </si>
  <si>
    <t>Tellus Ser. A-Dyn. Meteorol. Oceanogr.</t>
  </si>
  <si>
    <t>DEC 20</t>
  </si>
  <si>
    <t>10.16993/tellusa.3231</t>
  </si>
  <si>
    <t>KA3I1</t>
  </si>
  <si>
    <t>Green Submitted, Green Published, gold</t>
  </si>
  <si>
    <t>WOS:001177197100001</t>
  </si>
  <si>
    <t>Pazmiño, A; Goutail, F; Godin-Beekmann, S; Hauchecorne, A; Pommereau, JP; Chipperfield, MP; Feng, WH; Lefèvre, F; Lecouffe, A; Van Roozendael, M; Jepsen, N; Hansen, G; Kivi, R; Strong, K; Walker, KA</t>
  </si>
  <si>
    <t>Pazmino, Andrea; Goutail, Florence; Godin-Beekmann, Sophie; Hauchecorne, Alain; Pommereau, Jean-Pierre; Chipperfield, Martyn P.; Feng, Wuhu; Lefevre, Franck; Lecouffe, Audrey; Van Roozendael, Michel; Jepsen, Nis; Hansen, Georg; Kivi, Rigel; Strong, Kimberly; Walker, Kaley A.</t>
  </si>
  <si>
    <t>Trends in polar ozone loss since 1989: potential sign of recovery in the Arctic ozone column</t>
  </si>
  <si>
    <t>ATMOSPHERIC CHEMISTRY AND PHYSICS</t>
  </si>
  <si>
    <t>MULTI SENSOR REANALYSIS; MODEL; EMERGENCE; DEPLETION; VORTEX; WINTER; O3</t>
  </si>
  <si>
    <t>Ozone depletion over the polar regions is monitored each year by satellite- and ground-based instruments. In this study, the vortex-averaged ozone loss over the last 3 decades is evaluated for both polar regions using the passive ozone tracer of the chemical transport model TOMCAT/SLIMCAT and total ozone observations from Systeme d'Analyse par Observation Zenithale (SAOZ) ground-based instruments and Multi-Sensor Reanalysis (MSR2). The passive-tracer method allows us to determine the evolution of the daily rate of column ozone destruction and the magnitude of the cumulative column loss at the end of the winter. Three metrics are used in trend analyses that aim to assess the ozone recovery rate over both polar regions: (1) the maximum ozone loss at the end of the winter, (2) the onset day of ozone loss at a specific threshold, and (3) the ozone loss residuals computed from the differences between annual ozone loss and ozone loss values regressed with respect to sunlit volume of polar stratospheric clouds (VPSCs). This latter metric is based on linear and parabolic regressions for ozone loss in the Northern Hemisphere and Southern Hemisphere, respectively. In the Antarctic, metrics 1 and 3 yield trends of - 2.3 % and - 2.2 % per decade for the 2000-2021 period, significant at 1 and 2 standard deviations ( sigma ), respectively. For metric 2, various thresholds were considered at the total ozone loss values of 20 %, 25 %, 30 %, 35 %, and 40 %, all of them showing a time delay as a function of year in terms of when the threshold is reached. The trends are significant at the 2 sigma level and vary from 3.5 to 4.2 d per decade between the various thresholds. In the Arctic, metric 1 exhibits large interannual variability, and no significant trend is detected; this result is highly influenced by the record ozone losses in 2011 and 2020. Metric 2 is not applied in the Northern Hemisphere due to the difficulty in finding a threshold value in enough of the winters. Metric 3 provides a negative trend in Arctic ozone loss residuals with respect to the sunlit VPSC fit of - 2.00 +/- 0.97 (1 sigma ) % per decade, with limited significance at the 2 sigma level. With such a metric, a potential quantitative detection of ozone recovery in the Arctic springtime lower stratosphere can be made.</t>
  </si>
  <si>
    <t>[Pazmino, Andrea; Goutail, Florence; Godin-Beekmann, Sophie; Hauchecorne, Alain; Pommereau, Jean-Pierre; Lefevre, Franck; Lecouffe, Audrey] Sorbonne Univ, Univ Paris Saclay, LATMOS IPSL, CNRS,UVSQ, Guyancourt, France; [Chipperfield, Martyn P.; Feng, Wuhu] Univ Leeds, Sch Earth &amp; Environm, Leeds, England; [Chipperfield, Martyn P.] Univ Leeds, Natl Ctr Earth Observat, Leeds, England; [Feng, Wuhu] Univ Leeds, Natl Ctr Atmospher Sci, Leeds, England; [Van Roozendael, Michel] Royal Belgian Inst Space Aeron BIRA IASB, Atmospher React Gases, Brussels, Belgium; [Jepsen, Nis] Danish Meteorol Inst, Natl Ctr Climate Res, Copenhagen, Denmark; [Hansen, Georg] Norwegian Inst Air Res, ATMOS, Kjeller, Norway; [Kivi, Rigel] Finnish Meteorol Inst, Space &amp; Earth Observat Ctr, Sodankyla, Finland; [Strong, Kimberly; Walker, Kaley A.] Univ Toronto, Dept Phys, Toronto, ON, Canada</t>
  </si>
  <si>
    <t>Sorbonne Universite; Universite Paris Saclay; Universite Paris Cite; Centre National de la Recherche Scientifique (CNRS); University of Leeds; University of Leeds; University of Leeds; UK Research &amp; Innovation (UKRI); Natural Environment Research Council (NERC); NERC National Centre for Atmospheric Science; Danish Meteorological Institute DMI; NILU; Finnish Meteorological Institute; University of Toronto</t>
  </si>
  <si>
    <t>Pazmiño, A (corresponding author), Sorbonne Univ, Univ Paris Saclay, LATMOS IPSL, CNRS,UVSQ, Guyancourt, France.</t>
  </si>
  <si>
    <t>andrea.pazmino@latmos.ipsl.fr</t>
  </si>
  <si>
    <t>Hauchecorne, Alain/0000-0001-9888-6994</t>
  </si>
  <si>
    <t>Centre National de la Recherche Scientifique; Institut National des Sciences de l'Univers (INSU) of the Centre National de la Recherche Scientifique (CNRS); IPEV; Centre National d'tudes Spatiales (CNES); Canadian Network for the Detection of Atmospheric Change (CANDAC); Natural Sciences and Engineering Research Council of Canada; Environment and Climate Change Canada; Canadian Space Agency [NE/R001782/1, NE/V011863/1]; NERC project</t>
  </si>
  <si>
    <t>Centre National de la Recherche Scientifique(Centre National de la Recherche Scientifique (CNRS)); Institut National des Sciences de l'Univers (INSU) of the Centre National de la Recherche Scientifique (CNRS); IPEV; Centre National d'tudes Spatiales (CNES)(Centre National D'etudes Spatiales); Canadian Network for the Detection of Atmospheric Change (CANDAC); Natural Sciences and Engineering Research Council of Canada(Natural Sciences and Engineering Research Council of Canada (NSERC)CGIAR); Environment and Climate Change Canada; Canadian Space Agency(Canadian Space Agency); NERC project(UK Research &amp; Innovation (UKRI)Natural Environment Research Council (NERC))</t>
  </si>
  <si>
    <t>The authors warmly thank the Institut National des Sciences de l'Univers (INSU) of the Centre National de la Recherche Scientifique (CNRS), the IPEV, and the Centre National d'Etudes Spatiales (CNES) for supporting the observations of the SAOZ instruments of the French ACTRIS Research Infrastructure. The authors thank the technical teams operating the SAOZ instruments and NDACC PIs for the consolidated data. The SAOZ measurements at Eureka were made at the Polar Environment Atmospheric Research Laboratory (PEARL) by the Canadian Network for the Detection of Atmospheric Change (CANDAC), primarily supported by the Natural Sciences and Engineering Research Council of Canada, Environment and Climate Change Canada, and the Canadian Space Agency. The authors thank TEMIS for the total ozone column data of MSR2. They are grateful to Cathy Boone of AERIS/ESPRI/IPSL for providing the ERA5 and ECMWF data. The TOMCAT/SLIMCAT work at Leeds was supported by NERC project nos. NE/R001782/1 and NE/V011863/1. The authors thank the two anonymous referees for their constructive reviews.</t>
  </si>
  <si>
    <t>1680-7316</t>
  </si>
  <si>
    <t>1680-7324</t>
  </si>
  <si>
    <t>ATMOS CHEM PHYS</t>
  </si>
  <si>
    <t>Atmos. Chem. Phys.</t>
  </si>
  <si>
    <t>10.5194/acp-23-15655-2023</t>
  </si>
  <si>
    <t>Environmental Sciences; Meteorology &amp; Atmospheric Sciences</t>
  </si>
  <si>
    <t>Environmental Sciences &amp; Ecology; Meteorology &amp; Atmospheric Sciences</t>
  </si>
  <si>
    <t>IU5O7</t>
  </si>
  <si>
    <t>WOS:001168866100001</t>
  </si>
  <si>
    <t>Lavergne, T; Down, E</t>
  </si>
  <si>
    <t>Lavergne, Thomas; Down, Emily</t>
  </si>
  <si>
    <t>A climate data record of year-round global sea-ice drift from the EUMETSAT Ocean and Sea Ice Satellite Application Facility (OSI SAF)</t>
  </si>
  <si>
    <t>EARTH SYSTEM SCIENCE DATA</t>
  </si>
  <si>
    <t>TRACKING ALGORITHM; MOTION TRACKING; SIMPLEX-METHOD; RADIOMETER; SSM/I; PRODUCTS; TRENDS</t>
  </si>
  <si>
    <t>Sea ice in the polar regions can move several tens of kilometres per day under the actions of winds, ocean currents, and internal stresses. Long-term observations of the rate and patterns of this motion are needed to characterize the full response of the polar environment to climate change. Here, we introduce a new climate data record (CDR) of year-round, global, daily sea-ice drift vectors covering 1991-2020. The motion vectors are computed from series of passive microwave imagery in the winter months and from a parametric free-drift model in the summer months. An evaluation against on-ice buoy trajectories reveals that the RMSEs of the sea-ice drift CDR are small and vary with hemisphere and seasons (2.1 km for Arctic winters, 2.6 km for Arctic summer, 3 to 4 km for the Antarctic sea ice). The CDR is un-biased for Arctic winter conditions. The bias is larger for Antarctic and for summer sea-ice motion. The CDR consists of daily product files holding the d X and d Y components of the drift vectors on an Equal-Area Scalable Earth (EASE2) grid with 75 km spacing as well as associated uncertainties and flags. It is prepared in the context of the EUMETSAT Ocean and Sea Ice Satellite Application Facility (OSI SAF)</t>
  </si>
  <si>
    <t>[Lavergne, Thomas; Down, Emily] Norwegian Meteorol Inst, Res &amp; Dev Dept, Oslo, Norway</t>
  </si>
  <si>
    <t>Norwegian Meteorological Institute</t>
  </si>
  <si>
    <t>Lavergne, T (corresponding author), Norwegian Meteorol Inst, Res &amp; Dev Dept, Oslo, Norway.</t>
  </si>
  <si>
    <t>thomas.lavergne@met.no</t>
  </si>
  <si>
    <t>Lavergne, Thomas/0000-0002-9498-4551</t>
  </si>
  <si>
    <t>European Organization for the Exploitation of Meteorological Satellites [CDOP3]</t>
  </si>
  <si>
    <t>European Organization for the Exploitation of Meteorological Satellites</t>
  </si>
  <si>
    <t>This research and the production of the CDR was funded through the EUMETSAT Ocean and Sea Ice Satellite Application Facility, specifically the third Continuous Development and Operations Phase (CDOP3, 2017-2022).</t>
  </si>
  <si>
    <t>1866-3508</t>
  </si>
  <si>
    <t>1866-3516</t>
  </si>
  <si>
    <t>EARTH SYST SCI DATA</t>
  </si>
  <si>
    <t>Earth Syst. Sci. Data</t>
  </si>
  <si>
    <t>10.5194/essd-15-5807-2023</t>
  </si>
  <si>
    <t>Geosciences, Multidisciplinary; Meteorology &amp; Atmospheric Sciences</t>
  </si>
  <si>
    <t>Geology; Meteorology &amp; Atmospheric Sciences</t>
  </si>
  <si>
    <t>JB8Q0</t>
  </si>
  <si>
    <t>WOS:001170789800001</t>
  </si>
  <si>
    <t>Zhu, JP; Xie, AH; Qin, X; Xu, B; Wang, YC</t>
  </si>
  <si>
    <t>Zhu, Jiangping; Xie, Aihong; Qin, Xiang; Xu, Bing; Wang, Yicheng</t>
  </si>
  <si>
    <t>Projection on elevation-dependent and latitude-dependent warming over Antarctica from CMIP6 under different socioeconomic scenarios</t>
  </si>
  <si>
    <t>GLOBAL AND PLANETARY CHANGE</t>
  </si>
  <si>
    <t>Antarctica Amplification; Elevation-Dependent Warming; Latitude-Dependent Warming; Temperature; CMIP6; Socioeconomic scenarios</t>
  </si>
  <si>
    <t>TEMPERATURE VARIABILITY; TIBETAN PLATEAU; AIR-TEMPERATURE; SURFACE; AMPLIFICATION; REGIONS; ERA5</t>
  </si>
  <si>
    <t>Many studies have focused on elevation-dependent warming (EDW) across high mountains, but few studies have examined both EDW and LDW (latitude-dependent warming) on Antarctic warming. This study analyzed the Antarctic amplification (AnA) with respect to EDW and LDW under SSP1-2.6, SSP2-4.5, SSP3-7.0 and SSP5-8.5 from Coupled Model Intercomparison Project Phase 6 (CMIP6) during the period 2015-2100. The results show that the AnA appears under all socioeconomic scenarios, and the greatest signal appears in austral autumn. In the future, Antarctic warming is not only elevation-dependent, but also latitude-dependent. Generally, positive EDW of mean temperature (T-mean), maximum temperature (T-max) and minimum temperature (T-min) appear in the range of 1.0-4.5 km, and the corresponding altitudinal amplification trends are 0.012/0.012/0.011 (SSP1-2.6)- 0.064/0.065/0.053 (SSP5-8.5) degrees C decade(-1)center dot km(-1). Antarctic EDW demonstrates seasonal differences, and is strong in summer and autumn and weak in winter under SSP3-7.0 and SSP5-8.5. For T(mea)n, T-max and T-min, the feature of LDW is varies in different latitude ranges, and also shows seasonal differences. The strongest LDW signal appears in autumn, and the warming rate increases with increasing latitude at 64-79 degrees S under SSP1-2.6. The similar phenomenon can be observed at 68-87 degrees S in the other cases. Moreover, the latitude component contributes more to the warming of T-mean and T-max relative to the corresponding altitude component, which may relates to the much larger range of latitude (similar to 2600 km) than altitude (similar to 4.5 km) over Antarctica, while the EDW contributes more warming than LDW in the changes in T-min in austral summer. Moreover, surface downwelling longwave radiation, water vapor and latent heat flux are the potential factors influencing Antarctic EDW, and the variation in surface downwelling longwave radiation can also be considered as an important influencing factor for Antarctic LDW. Our results provide preliminary insights into EDW and LDW in Antarctica.</t>
  </si>
  <si>
    <t>[Zhu, Jiangping; Xie, Aihong; Qin, Xiang] Chinese Acad Sci, Northwest Inst Ecoenvironm &amp; Resources, State Key Lab Cryospher Sci, Lanzhou 730000, Peoples R China; [Xu, Bing] Weather Modificat Off Liaoning Prov, Shenyang 110000, Peoples R China; [Wang, Yicheng] Lanzhou Cent Meteorol Observ, Lanzhou 730000, Peoples R China</t>
  </si>
  <si>
    <t>Chinese Academy of Sciences</t>
  </si>
  <si>
    <t>Xie, AH (corresponding author), Chinese Acad Sci, Northwest Inst Ecoenvironm &amp; Resources, State Key Lab Cryospher Sci, Lanzhou 730000, Peoples R China.</t>
  </si>
  <si>
    <t>xieaih@lzb.ac.cn</t>
  </si>
  <si>
    <t>Xu, Bing/C-7732-2015</t>
  </si>
  <si>
    <t>National Natural Science Foundation of China [42276260]; Key R &amp; D Plan of Gansu Province [23YFFA0011]; Chinese Academy of Sciences; State Key Laboratory of Cryospheric Sciences [SKLCS-ZZ-2023]</t>
  </si>
  <si>
    <t>National Natural Science Foundation of China(National Natural Science Foundation of China (NSFC)); Key R &amp; D Plan of Gansu Province; Chinese Academy of Sciences(Chinese Academy of Sciences); State Key Laboratory of Cryospheric Sciences</t>
  </si>
  <si>
    <t>This work was supported by the National Natural Science Foundation of China [grant number 42276260] , the Key R &amp; D Plan of Gansu Province [grant number 23YFFA0011] , the 2021 technical support talent project of the Chinese Academy of Sciences, and the State Key Laboratory of Cryospheric Sciences [grant number SKLCS-ZZ-2023] .</t>
  </si>
  <si>
    <t>0921-8181</t>
  </si>
  <si>
    <t>1872-6364</t>
  </si>
  <si>
    <t>GLOBAL PLANET CHANGE</t>
  </si>
  <si>
    <t>Glob. Planet. Change</t>
  </si>
  <si>
    <t>10.1016/j.gloplacha.2023.104327</t>
  </si>
  <si>
    <t>FL6R2</t>
  </si>
  <si>
    <t>WOS:001145991400001</t>
  </si>
  <si>
    <t>Segato, D; Thomas, ER; Tetzner, D; Jackson, S; Moser, DE; Turetta, C; Fernandez, RP; Saiz-Lopez, A; Pedro, J; Markle, B; Spolaor, A</t>
  </si>
  <si>
    <t>Segato, Delia; Thomas, Elizabeth R.; Tetzner, Dieter; Jackson, Sarah; Moser, Dorothea Elisabeth; Turetta, Clara; Fernandez, Rafael P.; Saiz-Lopez, Alfonso; Pedro, Joel; Markle, Bradley; Spolaor, Andrea</t>
  </si>
  <si>
    <t>Investigating halogens and MSA in the Southern Hemisphere: A spatial analysis</t>
  </si>
  <si>
    <t>ATMOSPHERIC ENVIRONMENT</t>
  </si>
  <si>
    <t>ICE-CORE; METHANESULFONIC-ACID; CHEMICAL-COMPOSITION; CLIMATE-CHANGE; SURFACE SNOW; IODINE; ANTARCTICA; BROMINE; MARINE; OCEAN</t>
  </si>
  <si>
    <t>Sub-Antarctic islands and Antarctic coastal regions provide valuable sites for investigating environmental processes in the Southern Ocean. The fact that these sites are situated within the sea ice zone underscores their significance in investigating the impact of sea ice on the chemical composition of the boundary layer. In this study we report multi-year average levels of marine aerosols, including bromine, sodium, methanesulphonic acid and iodine, measured in five firn cores collected from sub-Antarctic Islands and coastal Antarctic sites. The records are compared with published Antarctic records to explore the spatial distribution of these species in the Antarctic region and their relationship with sea ice variability. Being mainly sourced from sea-salt aerosols, sodium and bromine exhibit the largest concentrations in the sub-Antarctic region, with progressively reduced deposition from the coast towards the central Antarctic plateau. Due to its gas-phase chemistry, bromine is depleted with respect to sodium in the sub-Antarctic sites. Bromine emitted in the form of sea-salt aerosols undergoes multi-phase recycling in the lower troposphere and, together with gas-phase bromine emitted from sea ice, is likely to be transported away from the source, depositing in enriched concentrations in the plateau compared to the Br/Na sea-water mass ratio. Similarly to bromine and sodium, methanesulphonic acid and iodine are found in higher concentrations in the sub-Antarctic sites, especially where the ocean is sea ice-covered during spring as primary production is stronger than in the ice-free ocean. Sea-salt mediated recycling of gas-phase iodine enhances its atmospheric lifetime, delivering enriched iodine depositions to the Antarctic plateau. Depicting the spatial distribution of these elements is of great importance for understanding the processes delivering these impurities around Antarctica.</t>
  </si>
  <si>
    <t>[Segato, Delia; Turetta, Clara; Spolaor, Andrea] CaFoscari Univ Venice, Dept Environm Sci Informat &amp; Stat, Via Torino 155, I-30172 Venice Mestre, Italy; [Segato, Delia; Turetta, Clara; Spolaor, Andrea] CNR, Inst Polar Sci, Via Torino 155, I-30172 Venice, Italy; [Thomas, Elizabeth R.; Tetzner, Dieter; Moser, Dorothea Elisabeth] British Antarctic Survey, Ice Dynam &amp; Paleoclimate, Cambridge CB3 0ET, England; [Moser, Dorothea Elisabeth] Univ Cambridge, Dept Earth Sci, Cambridge CB2 3EQ, England; [Fernandez, Rafael P.] FCEN UNCuyo, Inst Interdisciplinary Sci, Natl Res Council ICB, CONICET, Mendoza 5501, Argentina; [Saiz-Lopez, Alfonso] CSIC, Inst Phys Chem Blas Cabrera, Dept Atmospher Chem &amp; Climate, Madrid, Spain; [Pedro, Joel] Australian Antarctic Div, Kingston, Tas, Australia; [Pedro, Joel] Univ Tasmania, Australian Antarctic Program Partnership, Hobart, Tas, Australia; [Jackson, Sarah] Australian Natl Univ, Res Sch Earth Sci, Canberra, ACT 2601, Australia; [Markle, Bradley] Univ Colorado, Inst Arctic &amp; Alpine Res, Dept Geol Sci, Boulder, CO USA; [Segato, Delia] CNR, Inst Polar Sci, 155 Via Torino, I-30172 Venice, Italy</t>
  </si>
  <si>
    <t>Universita Ca Foscari Venezia; Consiglio Nazionale delle Ricerche (CNR); Istituto di Scienze Polari (ISP-CNR); UK Research &amp; Innovation (UKRI); Natural Environment Research Council (NERC); NERC British Antarctic Survey; University of Cambridge; Consejo Nacional de Investigaciones Cientificas y Tecnicas (CONICET); Consejo Superior de Investigaciones Cientificas (CSIC); Australian Antarctic Division; University of Tasmania; Australian National University; University of Colorado System; University of Colorado Boulder; Consiglio Nazionale delle Ricerche (CNR); Istituto di Scienze Polari (ISP-CNR)</t>
  </si>
  <si>
    <t>Segato, D (corresponding author), CNR, Inst Polar Sci, 155 Via Torino, I-30172 Venice, Italy.</t>
  </si>
  <si>
    <t>delia.segato@unive.it</t>
  </si>
  <si>
    <t>Fernandez, Rafael Pedro/ABF-2323-2020; Saiz-Lopez, Alfonso/B-3759-2015</t>
  </si>
  <si>
    <t>Fernandez, Rafael Pedro/0000-0002-4114-5500; Saiz-Lopez, Alfonso/0000-0002-0060-1581; Moser, Dorothea Elisabeth/0000-0001-9085-9713</t>
  </si>
  <si>
    <t>Ecole Poly-technique Federale de Lausanne; Swiss Polar Institute; Ferring Pharmaceuticals Inc; Natural Environment Research Council; Programma Nazionale per la Ricerca in Antartide (PNRA) [PNRA16_00295]; Royal Society (UK)-CNR [IEC/R2/202110]; [ASCI000002]</t>
  </si>
  <si>
    <t>Ecole Poly-technique Federale de Lausanne; Swiss Polar Institute; Ferring Pharmaceuticals Inc(Ferring Pharmaceuticals); Natural Environment Research Council(UK Research &amp; Innovation (UKRI)Natural Environment Research Council (NERC)); Programma Nazionale per la Ricerca in Antartide (PNRA); Royal Society (UK)-CNR;</t>
  </si>
  <si>
    <t>Funding for the subICE campaign was provided by Ecole Poly-technique Federale de Lausanne, the Swiss Polar Institute, and Ferring Pharmaceuticals Inc. E.R.T. received core funding from the Natural Environment Research Council to the British Antarctic Survey's Ice Dynamics and Paleoclimate Programme. The authors are grateful to the Norwegian Polar Institute for granting permission to visit Peter I and Bouvet Island. The authors would also like to acknowledge the co-ordinators and participants of the Antarctic Circumnavigation Expedition for facilitating collection of the subICE cores, especially David Walton, Christian de Marliave, Julia Schmale, Guisella Gacitua, Amy King, Roger Stilwell, and Frederick Paulsen. Funding was also provided by the Programma Nazionale per la Ricerca in Antartide (PNRA; project no. PNRA16_00295) , and by the bilateral international exchange award Royal Society (UK)-CNR, titled Antarctic sea-ice history: developing robust ice core proxies (grant no. IEC/R2/202110) , awarded to Rachael H. Rhodes and Andrea Spolaor. This work contributes to the Antarctic Science Collaboration Initiative program (project ID ASCI000002).</t>
  </si>
  <si>
    <t>1352-2310</t>
  </si>
  <si>
    <t>1873-2844</t>
  </si>
  <si>
    <t>ATMOS ENVIRON</t>
  </si>
  <si>
    <t>Atmos. Environ.</t>
  </si>
  <si>
    <t>10.1016/j.atmosenv.2023.120279</t>
  </si>
  <si>
    <t>FP2R9</t>
  </si>
  <si>
    <t>Green Accepted, hybrid</t>
  </si>
  <si>
    <t>WOS:001146986200001</t>
  </si>
  <si>
    <t>Gutiérrez, E; Letelier, L; Santos-Carvallo, M; Barilari, F; Gutiérrez, L; Pérez-Alvarez, MJ; Sepúlveda, M</t>
  </si>
  <si>
    <t>Gutierrez, Elizabeth; Letelier, Luis; Santos-Carvallo, Macarena; Barilari, Fernanda; Gutierrez, Laura; Perez-Alvarez, Maria Jose; Sepulveda, Maritza</t>
  </si>
  <si>
    <t>Zoning proposal for a marine protected area in Chile: A conservation tool for large cetaceans</t>
  </si>
  <si>
    <t>Marine reserve; Baleen whales; Conservation goals; MARXAN; Economic activities</t>
  </si>
  <si>
    <t>BIODIVERSITY CONSERVATION; MANAGEMENT; PHYSALUS; WATERS</t>
  </si>
  <si>
    <t>The Chan similar to aral Island Marine Reserve (CIMR) is a protected area in north-central Chile that is a feeding area for large cetaceans such as fin, blue and humpback whales. However, a number of studies indicate that a large proportion of whale sightings occur outside this protected area. Thus, an increase in the size (or dimension) of the protected area has been suggested. This requires ensuring compatibility of the protected area with economic activities which take place there, especially fishing, tourism and diving. This study proposes a strategic plan for expanding the CIMR area developed using the decision-making algorithm MARXAN. We proposed three con-servation scenarios: Scenario 0 divided the proposed area into planning units (PU) classed as eitherobligatory or available; Scenario 1 in which all PUs were available and Scenario 2 with the PUs obligatory, available and suggested. The results suggest that Scenario 2 is the most favorable for conservation, since it supports increasing the current area of the reserve, adding a second nautical mile around the island. This would create an area sufficient to fulfill the conservation goals for the three whale species (30% of the feeding areas for blue and fin whales and 10% for humpback whale) without producing an impact on the current activities in the CIMR.This zoning proposal provides a roadmap for the development of protected areas based on scientific baseline, including the participation of local communities that ultimately should validate the proposal to successfully support its implementation.</t>
  </si>
  <si>
    <t>[Gutierrez, Elizabeth; Santos-Carvallo, Macarena; Barilari, Fernanda; Gutierrez, Laura; Sepulveda, Maritza] Univ Valparaiso, Fac Ciencias, Ctr Invest &amp; Gest Recursos Nat CIGREN, Gran Bretana 1111, Playa Ancha, Valparaiso, Chile; [Letelier, Luis] Univ Talca, Avda Lircay S-N, Talca, Chile; [Santos-Carvallo, Macarena; Perez-Alvarez, Maria Jose; Sepulveda, Maritza] Ctr Invest Eutropia, Santiago, Chile; [Perez-Alvarez, Maria Jose] Univ Mayor, Escuela Med Vet, Fac Med &amp; Ciencias Salud, Santiago, Chile; [Perez-Alvarez, Maria Jose] Millennium Inst Biodivers Antarctic &amp; Subantarct E, Santiago, Chile; [Sepulveda, Maritza] Nucleo Milenio INVASAL, Concepcion, Chile</t>
  </si>
  <si>
    <t>Universidad de Valparaiso; Universidad de Talca; Universidad Mayor</t>
  </si>
  <si>
    <t>Sepúlveda, M (corresponding author), Univ Valparaiso, Fac Ciencias, Ctr Invest &amp; Gest Recursos Nat CIGREN, Gran Bretana 1111, Playa Ancha, Valparaiso, Chile.</t>
  </si>
  <si>
    <t>Perez-Alvarez, M.Jose/0000-0003-1440-8966; Gutierrez Cabello, Laura/0009-0003-1227-6610</t>
  </si>
  <si>
    <t>Fondo de Proteccion Ambiental (FPA) - Ministerio de Medio Ambiente [NCN16_034, NAC-I-019-2014, ICN2021_002]; Bienes Publicos de Innova-Corfo [14BPCR-33451]; Fondo de Investigacion Pesquera y Acuicultura (FIPA) , Subsecretaria de Pesca y Acuicultura [FIPA 2018-43]; ANID-Millennium Science Initiative Program [NCN16_034, ICN2021_002]</t>
  </si>
  <si>
    <t>Fondo de Proteccion Ambiental (FPA) - Ministerio de Medio Ambiente; Bienes Publicos de Innova-Corfo; Fondo de Investigacion Pesquera y Acuicultura (FIPA) , Subsecretaria de Pesca y Acuicultura; ANID-Millennium Science Initiative Program</t>
  </si>
  <si>
    <t>Whale sightings data used for this study were obtained from Projects Number NAC-I-019-2014, from the Fondo de Proteccion Ambiental (FPA) - Ministerio de Medio Ambiente, Number 14BPCR-33451 from Bienes Publicos de Innova-Corfo, and Number FIPA 2018-43 from the Fondo de Investigacion Pesquera y Acuicultura (FIPA) , Subsecretaria de Pesca y Acuicultura. E. Gutierrez acknowledges the Magister en Ciencias Biologicas mencion Biodiversidad y Conservacion of the Universidad de Valparaiso. M. Sepulveda and MJ. Perez were partially supported by ANID-Millennium Science Initiative Program-NCN16_034 and -ICN2021_002, respectively.</t>
  </si>
  <si>
    <t>10.1016/j.ocecoaman.2023.106975</t>
  </si>
  <si>
    <t>FA7C7</t>
  </si>
  <si>
    <t>WOS:001143078000001</t>
  </si>
  <si>
    <t>Dolashki, A; Abrashev, R; Kaynarov, D; Krumova, E; Velkova, L; Eneva, R; Engibarov, S; Gocheva, Y; Miteva-Staleva, J; Dishliyska, V; Spasova, B; Angelova, M; Dolashka, P</t>
  </si>
  <si>
    <t>Dolashki, Aleksandar; Abrashev, Radoslav; Kaynarov, Dimitar; Krumova, Ekaterina; Velkova, Lyudmila; Eneva, Rumyana; Engibarov, Stefan; Gocheva, Yana; Miteva-Staleva, Jeny; Dishliyska, Vladislava; Spasova, Boryana; Angelova, Maria; Dolashka, Pavlina</t>
  </si>
  <si>
    <t>Structural and functional characterization of cold-active sialidase isolated from Antarctic fungus Penicillium griseofulvum P29</t>
  </si>
  <si>
    <t>BIOCHEMISTRY AND BIOPHYSICS REPORTS</t>
  </si>
  <si>
    <t>Antarctic fungi; Sialidase; Cold-active enzyme; Structural characterization; 3D-structure; Fluorescence analysis; pH-stability</t>
  </si>
  <si>
    <t>NEURAMINIDASE; PURIFICATION; STRAIN; ARTHROBACTER; PROTEINS; SEQUENCE; ENZYMES; GENE</t>
  </si>
  <si>
    <t>The fungal strain, Penicillium griseofulvum P29, isolated from a soil sample taken from Terra Nova Bay, Antarctica, was found to be a good producer of sialidase (P29). The present study was focused on the purification and structural characterization of the enzyme. P29 enzyme was purified using a Q-Sepharose column and fast performance liquid chromatography separation on a Mono Q column. The determined molecular mass of the purified enzyme of 40 kDa by SDS-PAGE and 39924.40 Da by matrix desorption/ionization mass spectrometry (MALDI-TOF/MS) analysis correlated well with the calculated mass (39903.75 kDa) from the amino acid sequence of the enzyme. P29 sialidase shows a temperature optimum of 37 degrees C and low-temperature stability, confirming its cold-active nature. The enzyme is more active towards alpha(2 -&gt; 3) sialyl linkages than those containing alpha(2 -&gt; 6) linkages.Based on the determined amino acid sequence and 3D structural modeling, a 3D model of P29 sialidase was presented, and the properties of the enzyme were explained. The conformational stability of the enzyme was followed by fluorescence spectroscopy, and the new enzyme was found to be conformationally stable in the neutral pH range of pH 6 to pH 9. In addition, the enzyme was more stable in an alkaline environment than in an acidic environment. The purified cold-active enzyme is the only sialidase produced and characterized from Antarctic fungi to date.</t>
  </si>
  <si>
    <t>[Dolashki, Aleksandar; Kaynarov, Dimitar; Velkova, Lyudmila; Dolashka, Pavlina] Bulgarian Acad Sci, Ctr Phytochem, Inst Organ Chem, Acad Georgy Bonchev Str,Bl 9, Sofia 1113, Bulgaria; [Abrashev, Radoslav; Krumova, Ekaterina; Eneva, Rumyana; Engibarov, Stefan; Gocheva, Yana; Miteva-Staleva, Jeny; Dishliyska, Vladislava; Spasova, Boryana; Angelova, Maria] Bulgarian Acad Sci, Stephan Angeloff Inst Microbiol, Acad Georgy Bonchev Str,Bl 26, Sofia 1113, Bulgaria</t>
  </si>
  <si>
    <t>Bulgarian Academy of Sciences; Bulgarian Academy of Sciences; Stephan Angeloff Institute of Microbiology, Bulgarian Academy of Sciences</t>
  </si>
  <si>
    <t>Dolashki, A (corresponding author), Bulgarian Acad Sci, Ctr Phytochem, Inst Organ Chem, Acad Georgy Bonchev Str,Bl 9, Sofia 1113, Bulgaria.;Abrashev, R (corresponding author), Bulgarian Acad Sci, Stephan Angeloff Inst Microbiol, Acad Georgy Bonchev Str,Bl 26, Sofia 1113, Bulgaria.</t>
  </si>
  <si>
    <t>aleksandar.dolashki@orgchm.bas.bg; rabrashev@microbio.bas.bg</t>
  </si>
  <si>
    <t>National Scientific Fund of the Ministry of Education and Science, Bulgaria [BG05M2OP001-1.002-0019, KP-06-N21/13]; European Union [BG05M2OP001-1.002-0019]</t>
  </si>
  <si>
    <t>National Scientific Fund of the Ministry of Education and Science, Bulgaria; European Union(European Union (EU))</t>
  </si>
  <si>
    <t>This work was supported by the project KP-06-N21/13, financed by the National Scientific Fund of the Ministry of Education and Science, Bulgaria, and co-financed by the European Union through the European structural and investment funds, project BG05M2OP001-1.002-0019: 'Clean Technologies for Sustainable Environment-Waters, Waste, Energy for a Circular Economy'</t>
  </si>
  <si>
    <t>2405-5808</t>
  </si>
  <si>
    <t>BIOCHEM BIOPHYS REP</t>
  </si>
  <si>
    <t>Biochem. Biophys. Rep.</t>
  </si>
  <si>
    <t>10.1016/j.bbrep.2023.101610</t>
  </si>
  <si>
    <t>FR2P7</t>
  </si>
  <si>
    <t>WOS:001147518500001</t>
  </si>
  <si>
    <t>Jones, NR; de Jersey, AM; Lavers, JL; Rodemann, T; Rivers-Auty, J</t>
  </si>
  <si>
    <t>Jones, Nina R.; de Jersey, Alix M.; Lavers, Jennifer L.; Rodemann, Thomas; Rivers-Auty, Jack</t>
  </si>
  <si>
    <t>Identifying laboratory sources of microplastic and nanoplastic contamination from the air, water, and consumables</t>
  </si>
  <si>
    <t>Reverse osmosis; Experiment duration; Contamination control; Procedural contamination; QA/QC; Microparticles; Flow cytometry</t>
  </si>
  <si>
    <t>Microplastic and nanoplastic research has proliferated in recent years in response to the escalating plastic pollution crisis. However, a lack of optimised methods for sampling and sample processing has potential im-plications for contaminating samples resulting in an overestimation of the quantity of microplastics and nano-plastics present in environmental samples. In response, a series of recommendations have been made, but most have not been quantified or validated sources of contamination. In the present study, we investigated sources of plastic contamination in common laboratory procedures including water sources (e.g., Milli-Q), consumables (e. g., unburnt glassware), airflow (e.g., fume hood) and dust. Using flow cytometry, we identified water, air flow and dust as sources of significant contamination. Milli-Q and reverse osmosis were the least contaminated sources when compared with tap water. Interestingly, current recommendations are to use glass consumables in replacement of plastic consumables, however, we have identified glassware and glass consumables as a significant source of contamination. Current best practice is to cover the glass tube with aluminium foil to reduce airborne contamination, but we found fresh aluminium foil to be a significant source of contamination, bringing light to the limitations foil has as a contamination control measure. Lastly, we identified significant quantities of microplastics and nanoplastics present in dust collected within the laboratory, suggesting this is a widespread and underestimated source of contamination. We have provided validated sources of contamination for both consumables and common laboratory procedures and provided mitigation strategies based on these. Additional recommendations include the appropriate design of experimental controls to quantify levels of introduced contamination based on methods and the detection techniques utilised. The application of these mitigation strategies and appropriate experimental design will allow for more accurate estimations on the level of micro plastic and nanoplastic contamination within environmental samples.</t>
  </si>
  <si>
    <t>[Lavers, Jennifer L.] Univ Tasmania, Inst Marine &amp; Antarctic Studies, 20 Castray Esplanade, Banery Poiny, Tas 7004, Australia; [Jones, Nina R.; de Jersey, Alix M.; Rivers-Auty, Jack] Univ Tasmania, Coll Hlth &amp; Med, Tasmankm Sch Med, 17 Liverpool St, Hobart, Tas 7000, Australia; [Lavers, Jennifer L.] Nat Hist Museum, Bird Grp, Akeman St, Tring HP23 6AP, Herts, England; [Lavers, Jennifer L.] Charles Sturt Univ, Gulbali Inst, Wagga Wagga, NSW 2678, Australia; [Rodemann, Thomas] Engn Univ Tasmania, Coll Sci, Cent Sci Lab, Private Bag 74, Hobart, Tas 7001, Australia</t>
  </si>
  <si>
    <t>University of Tasmania; University of Tasmania; Natural History Museum London; Charles Sturt University</t>
  </si>
  <si>
    <t>Lavers, JL (corresponding author), Nat Hist Museum, Bird Grp, Akeman St, Tring HP23 6AP, Herts, England.</t>
  </si>
  <si>
    <t>jennifer.laversl@nhm.ac.uk</t>
  </si>
  <si>
    <t>Rodemann, Thomas/0000-0003-2356-1153</t>
  </si>
  <si>
    <t>Adrift Lab</t>
  </si>
  <si>
    <t>The authors acknowledge the traditional custodians of lutruwita where this research was conducted. We extend our gratitude to AshleyTownsend and Robyn Sewell from UTAS, and Axel Durand from IMAS for supplying water samples. Lastly, we thank Terry Pinfold for Cytec Aurora (R) training. We would like to extend our gratitude to the Adrift Lab for their continued support throughout the entirety of this project.</t>
  </si>
  <si>
    <t>10.1016/j.jhazmat.2023.133276</t>
  </si>
  <si>
    <t>EZ1B5</t>
  </si>
  <si>
    <t>WOS:001142656100001</t>
  </si>
  <si>
    <t>Ugalde, SC; Vu, SV; Giang, CT; Ngoc, NTH; Tran, TKA; Mullen, JD; In, VV; O'Connor, W</t>
  </si>
  <si>
    <t>Ugalde, Sarah C.; Vu, Sang V.; Giang, Cao Truong; Ngoc, Nguyen Thi Hong; Tran, Thi Kim Anh; Mullen, John D.; In, Vu Van; O'Connor, Wayne</t>
  </si>
  <si>
    <t>Status, supply chain, challenges, and opportunities to advance oyster aquaculture in northern Vietnam (vol 572, 739548, 2023)</t>
  </si>
  <si>
    <t>[Ugalde, Sarah C.] Univ Tasmania, Inst Marine &amp; Antarctic Studies, Private Bag 49, Hobart, Tas 7001, Australia; [Ugalde, Sarah C.] Univ Tasmania, Ctr Marine Socioecol, Hobart, Tas, Australia; [Vu, Sang V.; Giang, Cao Truong; Ngoc, Nguyen Thi Hong; In, Vu Van] Res Inst Aquaculture, No 1 Dinh Bang Tu Son Bac, Ninh 16352, Vietnam; [Tran, Thi Kim Anh] Vinh Univ, Sch Agr &amp; Nat Resources, Vinh 460000, Vietnam; [Tran, Thi Kim Anh] Univ Newcastle, Coll Engn Sci &amp; Environm, Global Innovat Ctr Adv Nanomat, Callaghan, NSW 2308, Australia; [Mullen, John D.] Economist, Orange, NSW 2800, Australia; [O'Connor, Wayne] Port Stephens Fisheries Inst, NSW Dept Primary Ind, Taylors Beach, NSW 2316, Australia</t>
  </si>
  <si>
    <t>University of Tasmania; University of Tasmania; Vinh University; University of Newcastle; NSW Department of Primary Industries</t>
  </si>
  <si>
    <t>Ugalde, SC (corresponding author), Univ Tasmania, Inst Marine &amp; Antarctic Studies, Private Bag 49, Hobart, Tas 7001, Australia.</t>
  </si>
  <si>
    <t>sarah.ugalde@utas.edu.au</t>
  </si>
  <si>
    <t>10.1016/j.aquaculture.2023.740471</t>
  </si>
  <si>
    <t>EU9P5</t>
  </si>
  <si>
    <t>WOS:001141567600001</t>
  </si>
  <si>
    <t>Jeong, H; Lee, SS; Park, HS; Stewart, AL</t>
  </si>
  <si>
    <t>Jeong, Hyein; Lee, Sun-Seon; Park, Hyo-Seok; Stewart, Andrew L.</t>
  </si>
  <si>
    <t>Future changes in Antarctic coastal polynyas and bottom water formation simulated by a high-resolution coupled model</t>
  </si>
  <si>
    <t>COMMUNICATIONS EARTH &amp; ENVIRONMENT</t>
  </si>
  <si>
    <t>SOUTHERN-OCEAN POLYNYAS; SEA-ICE EXTENT; WEDDELL SEA; MASS TRANSFORMATION; DEEP-WATER; VARIABILITY; CIRCULATION; SLOWDOWN</t>
  </si>
  <si>
    <t>Antarctic coastal polynyas produce Dense Shelf Water, a precursor to Antarctic Bottom Waters that supply the global abyssal circulation. Future projections of Dense Shelf Water formation are hindered by unresolved small-scale atmosphere-sea ice-ocean interactions in polynyas. Here, we investigate the future evolution of Antarctic coastal polynyas using a high-resolution ocean-ice-atmosphere model. We find that wintertime sea ice production rates remain active even under elevated atmospheric CO2 concentrations. Antarctic winter sea ice production rates are sensitive to atmospheric CO2 concentrations: doubling CO2 (734 ppm) decreases sea ice production by only 6-8%, versus 10-30% under CO2 quadrupling (1468 ppm). While considerable uncertainty remains in future ice-shelf basal melting, which is not accounted for in this study, doubling or quadrupling CO2 substantially freshens Dense Shelf Water due to increased precipitation. Consequently, doubling CO2 weakens Dense Shelf Water formation by similar to 75%, while CO2 quadrupling shuts down Dense Shelf Water formation.</t>
  </si>
  <si>
    <t>[Jeong, Hyein; Park, Hyo-Seok] Hanyang Univ, Inst Ocean &amp; Atmospher Sci IOAS, Ansan, South Korea; [Jeong, Hyein; Park, Hyo-Seok] Hanyang Univ, Dept Marine Sci &amp; Convergence Engn, Ansan, South Korea; [Lee, Sun-Seon] Inst Basic Sci, Ctr Climate Phys, Busan, South Korea; [Lee, Sun-Seon] Pusan Natl Univ, Busan, South Korea; [Stewart, Andrew L.] Univ Calif Los Angeles, Dept Atmospher &amp; Ocean Sci, Los Angeles, CA USA</t>
  </si>
  <si>
    <t>Hanyang University; Hanyang University; Institute for Basic Science - Korea (IBS); Pusan National University; University of California System; University of California Los Angeles</t>
  </si>
  <si>
    <t>Park, HS (corresponding author), Hanyang Univ, Inst Ocean &amp; Atmospher Sci IOAS, Ansan, South Korea.;Park, HS (corresponding author), Hanyang Univ, Dept Marine Sci &amp; Convergence Engn, Ansan, South Korea.</t>
  </si>
  <si>
    <t>hspark1@gmail.com</t>
  </si>
  <si>
    <t>Jeong, Hyein/0000-0002-2235-7188; Stewart, Andrew/0000-0001-5861-4070; Lee, Sun-Seon/0000-0001-7403-6485</t>
  </si>
  <si>
    <t>The National Research Foundation of Korea (NRF) 2020R1A2C2010025 [2021R1I1A1A01056099]; Basic Science Research Program through the National Research Foundation of Korea (NRF) - Ministry of Education [2020R1A2C2010025]; National Research Foundation of Korea (NRF) [IBS-R028-D1]; Institute for Basic Science (IBS) [OCE-1751386]; National Science Foundation</t>
  </si>
  <si>
    <t>The National Research Foundation of Korea (NRF) 2020R1A2C2010025; Basic Science Research Program through the National Research Foundation of Korea (NRF) - Ministry of Education(National Research Foundation of KoreaMinistry of Education (MOE), Republic of KoreaNational Research Council for Economics, Humanities &amp; Social Sciences, Republic of Korea); National Research Foundation of Korea (NRF)(National Research Foundation of Korea); Institute for Basic Science (IBS); National Science Foundation(National Science Foundation (NSF))</t>
  </si>
  <si>
    <t>We would like to thank four anonymous reviewers for their helpful and constructive comments, which helped us improve the manuscript. This research was supported by the Basic Science Research Program through the National Research Foundation of Korea (NRF), which is funded by the Ministry of Education (2021R1I1A1A01056099). H.J. and H.-S.P. were partly supported by the National Research Foundation of Korea (NRF) 2020R1A2C2010025. S.-S.L. was supported by the Institute for Basic Science (IBS) under IBS-R028-D1. A.L.S. was supported by the National Science Foundation grant OCE-1751386. The simulations were conducted on the IBS/ICCP supercomputer Aleph, 1.43 peta flops high-performance Cray XC50-LC Skylake computing system with 18,720 processor cores, 9.59 PB storage, and 43 PB tape archive space. We also acknowledge the support of KREONET.</t>
  </si>
  <si>
    <t>SPRINGERNATURE</t>
  </si>
  <si>
    <t>CAMPUS, 4 CRINAN ST, LONDON, N1 9XW, ENGLAND</t>
  </si>
  <si>
    <t>2662-4435</t>
  </si>
  <si>
    <t>COMMUN EARTH ENVIRON</t>
  </si>
  <si>
    <t>Commun. Earth Environ.</t>
  </si>
  <si>
    <t>10.1038/s43247-023-01156-y</t>
  </si>
  <si>
    <t>Environmental Sciences; Geosciences, Multidisciplinary; Meteorology &amp; Atmospheric Sciences</t>
  </si>
  <si>
    <t>Environmental Sciences &amp; Ecology; Geology; Meteorology &amp; Atmospheric Sciences</t>
  </si>
  <si>
    <t>CY4Z4</t>
  </si>
  <si>
    <t>WOS:001128792600001</t>
  </si>
  <si>
    <t>Gomes-dos-Santos, A; Vilas-Arrondo, N; Machado, AM; Román-Marcote, E; Iglesias, JLD; Baldó, F; Pérez, M; Fonseca, MM; Castro, LFC; Froufe, E</t>
  </si>
  <si>
    <t>Gomes-dos-Santos, Andre; Vilas-Arrondo, Nair; Machado, Andre M.; Roman-Marcote, Esther; Iglesias, Jose Luis Del Rio; Baldo, Francisco; Perez, Montse; Fonseca, Miguel M.; Castro, L. Filipe C.; Froufe, Elsa</t>
  </si>
  <si>
    <t>Mitochondrial replication's role in vertebrate mtDNA strand asymmetry</t>
  </si>
  <si>
    <t>OPEN BIOLOGY</t>
  </si>
  <si>
    <t>mitogenome; strand asymmetry; deep-sea fish; mitochondrial gene order; rearrangements</t>
  </si>
  <si>
    <t>Mitogenomes are defined as compact and structurally stable over aeons. This perception results from a vertebrate-centric vision, where few types of mtDNA rearrangements are described. Here, we bring a new light to the involvement of mitochondrial replication in the strand asymmetry of the vertebrate mtDNA. Using several species of deep-sea hatchetfish (Sternoptychidae) displaying distinct mtDNA structural arrangements, we unravel the inversion of the coding direction of protein-coding genes (PCGs). This unexpected change is coupled with a strand asymmetry nucleotide composition reversal and is shown to be directly related to the strand location of the Control Region (CR). An analysis of the fourfold redundant sites of the PCGs (greater than 6000 vertebrates), revealed the rarity of this phenomenon, found in nine fish species (five deep-sea hatchetfish). Curiously, in Antarctic notothenioid fishes (Trematominae), where a single PCG inversion (the only other record in fish) is coupled with the inversion of the CR, the standard asymmetry is disrupted for the remaining PCGs but not yet reversed, suggesting a transitory state. Our results hint that a relaxation of the classic vertebrate mitochondrial structural stasis promotes disruption of the natural balance of asymmetry of the mtDNA. These findings support the long-lasting hypothesis that replication is the main molecular mechanism promoting the strand-specific compositional bias of this unique and indispensable molecule.</t>
  </si>
  <si>
    <t>[Gomes-dos-Santos, Andre; Machado, Andre M.; Fonseca, Miguel M.; Castro, L. Filipe C.; Froufe, Elsa] Univ Porto, CIIMAR CIMAR Interdisciplinary Ctr Marine &amp; Enviro, Matosinhos, Portugal; [Vilas-Arrondo, Nair] Univ Vigo, Programa Doctorado Ciencias Marinas Tecnol &amp; Gest, Vigo, Spain; [Vilas-Arrondo, Nair; Roman-Marcote, Esther; Iglesias, Jose Luis Del Rio; Perez, Montse] CSIC, Ctr Oceanog Vigo COV, Inst Espanol Oceanog IEO, Subida Radio Faro 50, Vigo 36390, Pontevedra, Spain; [Baldo, Francisco] CSIC, Ctr Oceanog Cadiz COCAD, Inst Espanol Oceanog IEO, Muelle Levante S-N, Cadiz 11006, Spain; [Castro, L. Filipe C.] Univ Porto, Fac Sci, Dept Biol, Porto, Portugal</t>
  </si>
  <si>
    <t>Universidade do Porto; Universidade de Vigo; Consejo Superior de Investigaciones Cientificas (CSIC); Consejo Superior de Investigaciones Cientificas (CSIC); Universidade do Porto</t>
  </si>
  <si>
    <t>Castro, LFC; Froufe, E (corresponding author), Univ Porto, CIIMAR CIMAR Interdisciplinary Ctr Marine &amp; Enviro, Matosinhos, Portugal.;Castro, LFC (corresponding author), Univ Porto, Fac Sci, Dept Biol, Porto, Portugal.</t>
  </si>
  <si>
    <t>lfilipecastro@gmail.com; elsafroufe@gmail.com</t>
  </si>
  <si>
    <t>Baldó, Francisco/B-1477-2016; Froufe, Elsa/F-2286-2013</t>
  </si>
  <si>
    <t>Baldó, Francisco/0000-0003-4220-4207; Gomes-dos-Santos, Andre/0000-0001-9973-4861; Froufe, Elsa/0000-0003-0262-0791; Machado, Andre M./0000-0002-6857-7581; Castro, Luis Filipe/0000-0001-7697-386X</t>
  </si>
  <si>
    <t>Portuguese Foundation for Science and Technology (FCT)</t>
  </si>
  <si>
    <t>Portuguese Foundation for Science and Technology (FCT)(Fundacao para a Ciencia e a Tecnologia (FCT))</t>
  </si>
  <si>
    <t>No Statement Available</t>
  </si>
  <si>
    <t>ROYAL SOC</t>
  </si>
  <si>
    <t>6-9 CARLTON HOUSE TERRACE, LONDON SW1Y 5AG, ENGLAND</t>
  </si>
  <si>
    <t>2046-2441</t>
  </si>
  <si>
    <t>OPEN BIOL</t>
  </si>
  <si>
    <t>Open Biol</t>
  </si>
  <si>
    <t>10.1098/rsob.230181</t>
  </si>
  <si>
    <t>DD3E3</t>
  </si>
  <si>
    <t>Green Accepted, gold</t>
  </si>
  <si>
    <t>WOS:001130046400001</t>
  </si>
  <si>
    <t>de Oliveira, MMF; de Oliveira, JLF; Gilleland, E; Ebecken, NFF</t>
  </si>
  <si>
    <t>de Oliveira, Marilia Mitidieri Fernandes; de Oliveira, Jorge Luiz Fernandes; Gilleland, Eric; Ebecken, Nelson Francisco Favilla</t>
  </si>
  <si>
    <t>Evaluation of trends and analysis of air temperature and wind on the Antarctic Peninsula using extreme value theory</t>
  </si>
  <si>
    <t>THEORETICAL AND APPLIED CLIMATOLOGY</t>
  </si>
  <si>
    <t>SOUTHERN ANNULAR MODE; SEA-ICE-EXTENT; CLIMATE VARIABILITY; SURFACE; PRECIPITATION; STATISTICS; IMPACT; REANALYSIS; ISLAND; OCEAN</t>
  </si>
  <si>
    <t>The west side of the Antarctic Peninsula (AP) has shown great variability since the middle of the last century characterized by warming mainly because of the oceanic and atmospheric effects such as the disintegration of floating ice and the strength of westerly winds. Here, we used two climatic databases (reanalysis from 1979 to 2020 and surface stations from 1947 to 2020) to investigate trends in extreme air temperatures and wind components in the oceanic region between 55 degrees S and 70 degrees S in the west (75 degrees W) and in the east sector (45 degrees W) and over the AP (60 degrees W). Non-parametric statistical trend tests and extreme value approaches are used. A set of annual, monthly, and seasonal series are fitted. The extremal index is applied to measure the degree of independence of monthly excesses over a threshold considered extreme events. Increasing trends are verified in the annual and monthly temperature and wind series. The greatest trends are observed for seasonal series from reanalysis without change-point in summer and winter. Decreasing trends are observed for maximum temperature in summer and positive trends mainly for the westerly winds over the AP. But in winter, the maximum temperature shows an increasing trend also over the AP. Most of reanalysis seasonal minimum temperature and wind components as well as maximum and minimum temperatures from stations present increasing trends with change-point but tend to stability after the breakpoints. The generalized distribution (GEV) is used to fit temperatures and westerly wind between South America (SA) and north of the AP. The 100-year return levels exceed the maximum value of the maximum temperature in Esperanza and maximum westerly winds at several grid points. Pareto and Poison distributions are applied for the maximum temperatures from stations and the 100-year return levels are not exceeded. Our findings show significant positive trends for monthly wind components near the SA in the region of the westerly winds whose changes in position influence directly the SAM, which modifies the atmospheric patterns in the South Hemisphere (SH). A predominance of seasonal warming is identified, which may impact the climate with consequences not only locally but also in other regions.</t>
  </si>
  <si>
    <t>[de Oliveira, Marilia Mitidieri Fernandes; Ebecken, Nelson Francisco Favilla] Univ Fed Rio De Janeiro UFRJ, Civil Engn Postgrad Program COPPE, Ctr Technol, BR-21945970 Rio De Janeiro, Brazil; [de Oliveira, Jorge Luiz Fernandes] Fluminense Fed Univ, Geosci Inst, Dept Geog, Geog Postgrad Program, BR-24210340 Niteroi, Brazil; [Gilleland, Eric] Natl Ctr Atmospher Res NCAR, Res Applicat Lab, 3450 Mitchell Lane, Boulder, CO 80301 USA</t>
  </si>
  <si>
    <t>Universidade Federal do Rio de Janeiro; National Center Atmospheric Research (NCAR) - USA</t>
  </si>
  <si>
    <t>de Oliveira, MMF (corresponding author), Univ Fed Rio De Janeiro UFRJ, Civil Engn Postgrad Program COPPE, Ctr Technol, BR-21945970 Rio De Janeiro, Brazil.</t>
  </si>
  <si>
    <t>marilia@coc.ufrj.br</t>
  </si>
  <si>
    <t>Ebecken, Nelson Francisco Favilla/D-2763-2015</t>
  </si>
  <si>
    <t>Ebecken, Nelson Francisco Favilla/0000-0003-4928-0966</t>
  </si>
  <si>
    <t>Weather and Climate Impacts Assessment Science Program - US National Science Foundation (NSF)</t>
  </si>
  <si>
    <t>The extRemes software package used in this research was initially supported by the Weather and Climate Impacts Assessment Science Program (http://www.assessment.ucar.edu), which is funded by the US National Science Foundation (NSF). I would like to thank John Turner of the British Antarctic Survey and Steve Colwell, the READER data manager for supporting the database from meteorological stations on the Antarctic Peninsula. Appreciation and thanks are also given anonymous reviewer for your constructive comments and suggestions to improve the manuscript.</t>
  </si>
  <si>
    <t>SPRINGER WIEN</t>
  </si>
  <si>
    <t>Vienna</t>
  </si>
  <si>
    <t>Prinz-Eugen-Strasse 8-10, A-1040 Vienna, AUSTRIA</t>
  </si>
  <si>
    <t>0177-798X</t>
  </si>
  <si>
    <t>1434-4483</t>
  </si>
  <si>
    <t>THEOR APPL CLIMATOL</t>
  </si>
  <si>
    <t>Theor. Appl. Climatol.</t>
  </si>
  <si>
    <t>10.1007/s00704-023-04753-1</t>
  </si>
  <si>
    <t>LF2T3</t>
  </si>
  <si>
    <t>WOS:001127524600002</t>
  </si>
  <si>
    <t>Cantero, ALP</t>
  </si>
  <si>
    <t>Pena Cantero, Alvaro Luis</t>
  </si>
  <si>
    <t>On some benthic hydroids from New Zealand deep waters, with the description of a new species</t>
  </si>
  <si>
    <t>Hydrozoa; new records; biodiversity; sub-Antarctic</t>
  </si>
  <si>
    <t>ACRYPTOLARIA NORMAN; CNIDARIA HYDROZOA; REVISION; COAST</t>
  </si>
  <si>
    <t>Six species, including Symplectoscyphus trabeculatus sp. nov., have been found and studied in a small collection of benthic hydroids from deep waters south of New Zealand's South Island. All species belong to Leptothecata, in particular to the families Campanulariidae, Hebellidae, Lafoeidae, Sertularellidae, Symplectoscyphidae and Zygophylacidae, all of them represented by a single species. Half of the species represent new records for New Zealand waters and Hebella macroplana Watson, 2019 is found for the second time and its gonotheca, hitherto unknown, is described.</t>
  </si>
  <si>
    <t>[Pena Cantero, Alvaro Luis] Univ Valencia, Inst Cavanilles Biodiversidad &amp; Biol Evolut, Dept Zool, Apdo Correos 22085, Valencia 46071, Spain</t>
  </si>
  <si>
    <t>University of Valencia</t>
  </si>
  <si>
    <t>Cantero, ALP (corresponding author), Univ Valencia, Inst Cavanilles Biodiversidad &amp; Biol Evolut, Dept Zool, Apdo Correos 22085, Valencia 46071, Spain.</t>
  </si>
  <si>
    <t>alvaro.l.pena@uv.es</t>
  </si>
  <si>
    <t>New Zealand Foundation for Research, Science and Technology [C01X0224, SFAS033]; New Zealand Ministry for Primary Industries</t>
  </si>
  <si>
    <t>New Zealand Foundation for Research, Science and Technology(New Zealand Foundation for Research, Science and Technology); New Zealand Ministry for Primary Industries</t>
  </si>
  <si>
    <t>I want to express my gratitude to the NIWA Invertebrate Collection, Sadie Mills, Di Tracey and Diana Macpherson (NIWA), who provided access to samples and associated sample data. I also want to acknowledge the following research programs that funded the collection studied. Voyage TAN0307: specimens were collected within the project Seamounts: their importance to fisheries and marine ecosystems, undertaken by the NIWA and funded by the former New Zealand Foundation for Research, Science and Technology (C01X0224 (SFAS033)). Voyage TAN1412: specimens were collected during NIWA trawl surveys funded by the New Zealand Ministry for Primary Industries. Stations beginning with TRIP: specimens were collected under the Scientific Observer Program funded by the New Zealand Ministry for Primary Industries. Dr. Ben Sharp, New Zealand Scientific Committee representative to the Commission for the Conservation of Antarctic Marine Living Resources (CCAMLR) Convention, for approving the provision of the sample data, MPI and CCAMLR Observers for collecting the samples at sea. Dr. Steve Parker (NIWA) for coordinating the collection of CCAMLR VME program samples.</t>
  </si>
  <si>
    <t>DEC 19</t>
  </si>
  <si>
    <t>10.11646/zootaxa.5389.2.6</t>
  </si>
  <si>
    <t>HS7B7</t>
  </si>
  <si>
    <t>WOS:001161549700006</t>
  </si>
  <si>
    <t>Swart, NC; Martin, T; Beadling, R; Chen, JJ; Danek, C; England, MH; Farneti, R; Griffies, SM; Hattermann, T; Hauck, J; Haumann, FA; Jüling, A; Li, Q; Marshall, J; Muilwijk, M; Pauling, AG; Purich, A; Smith, IJ; Thomas, M</t>
  </si>
  <si>
    <t>Swart, Neil C.; Martin, Torge; Beadling, Rebecca; Chen, Jia-Jia; Danek, Christopher; England, Matthew H.; Farneti, Riccardo; Griffies, Stephen M.; Hattermann, Tore; Hauck, Judith; Haumann, F. Alexander; Juling, Andre; Li, Qian; Marshall, John; Muilwijk, Morven; Pauling, Andrew G.; Purich, Ariaan; Smith, Inga J.; Thomas, Max</t>
  </si>
  <si>
    <t>The Southern Ocean Freshwater Input from Antarctica (SOFIA) Initiative: scientific objectives and experimental design</t>
  </si>
  <si>
    <t>EARTH SYSTEM MODEL; WEDDELL SEA POLYNYA; BASAL MELT RATES; ICE-SHEET MODEL; DEEP-CONVECTION; NORTH-ATLANTIC; ANTHROPOGENIC CO2; CLIMATE-CHANGE; DRAKE PASSAGE; BOTTOM WATER</t>
  </si>
  <si>
    <t>As the climate warms, the grounded ice sheet and floating ice shelves surrounding Antarctica are melting and releasing additional freshwater into the Southern Ocean. Nonetheless, almost all existing coupled climate models have fixed ice sheets and lack the physics required to represent the dominant sources of Antarctic melt. These missing ice dynamics represent a key uncertainty that is typically unaccounted for in current global climate change projections. Previous modelling studies that have imposed additional Antarctic meltwater have demonstrated regional impacts on Southern Ocean stratification, circulation, and sea ice, as well as remote changes in atmospheric circulation, tropical precipitation, and global temperature. However, these previous studies have used widely varying rates of freshwater forcing, have been conducted using different climate models and configurations, and have reached differing conclusions on the magnitude of meltwater-climate feedbacks. The Southern Ocean Freshwater Input from Antarctica (SOFIA) initiative brings together a team of scientists to quantify the climate system response to Antarctic meltwater input along with key aspects of the uncertainty. In this paper, we summarize the state of knowledge on meltwater discharge from the Antarctic ice sheet and ice shelves to the Southern Ocean and explain the scientific objectives of our initiative. We propose a series of coupled and ocean-sea ice model experiments, including idealized meltwater experiments, historical experiments with observationally consistent meltwater input, and future scenarios driven by meltwater inputs derived from stand-alone ice sheet models. Through coordinating a multi-model ensemble of simulations using a common experimental design, open data archiving, and facilitating scientific collaboration, SOFIA aims to move the community toward better constraining our understanding of the climate system response to Antarctic melt.</t>
  </si>
  <si>
    <t>[Swart, Neil C.] Environm &amp; Climate Change Canada, Canadian Ctr Climate Modelling &amp; Anal, Victoria, BC, Canada; [Martin, Torge] GEOMAR Helmholtz Ctr Ocean Res Kiel, Kiel, Germany; [Beadling, Rebecca] Temple Univ, Earth &amp; Environm Sci Dept, Philadelphia, PA USA; [Chen, Jia-Jia] Hohai Univ, Coll Oceanog, Nanjing, Peoples R China; [Danek, Christopher; Haumann, F. Alexander] Alfred Wegener Inst, Helmholtz Ctr Polar &amp; Marine Res, Bremerhaven, Germany; [England, Matthew H.] Univ New South Wales, Ctr Marine Sci &amp; Innovat CMSI, Sydney, Australia; [England, Matthew H.] Univ New South Wales, ARC Ctr Excellence Antarctic Sci, Sydney, Australia; [Farneti, Riccardo] Abdus Salaam Int Ctr Theoret Phys, Earth Syst Phys Sect, Trieste, Italy; [Griffies, Stephen M.] NOAA, Geophys Fluid Dynam Lab, Princeton, NJ USA; [Griffies, Stephen M.; Haumann, F. Alexander] Princeton Univ, Atmospher &amp; Ocean Sci Program, Princeton, NJ USA; [Hattermann, Tore; Muilwijk, Morven] Norwegian Polar Res Inst, Fram Ctr, Tromso, Norway; [Haumann, F. Alexander] Ludwig Maximilian Univ Munich, Dept Geog, Munich, Germany; [Juling, Andre] Royal Netherlands Meteorol Inst KNMI, De Bilt, Netherlands; [Li, Qian] MIT, Dept Earth Atmospher &amp; Planetary Sci, Cambridge, MA USA; [Marshall, John] NASA, Goddard Inst Space Studies, New York, NY USA; [Pauling, Andrew G.; Smith, Inga J.; Thomas, Max] Univ Otago, Dept Phys, Dunedin, New Zealand; [Purich, Ariaan] Monash Univ, Fac Sci, Melbourne, Australia; [Purich, Ariaan] Monash Univ, Fac Informat Technol, Melbourne, Australia</t>
  </si>
  <si>
    <t>Environment &amp; Climate Change Canada; Canadian Centre for Climate Modelling &amp; Analysis (CCCma); Helmholtz Association; GEOMAR Helmholtz Center for Ocean Research Kiel; Pennsylvania Commonwealth System of Higher Education (PCSHE); Temple University; Hohai University; Helmholtz Association; Alfred Wegener Institute, Helmholtz Centre for Polar &amp; Marine Research; University of New South Wales Sydney; University of New South Wales Sydney; Abdus Salam International Centre for Theoretical Physics (ICTP); National Oceanic Atmospheric Admin (NOAA) - USA; National Oceanic Atmospheric Admin (NOAA) - USA; Princeton University; Norwegian Polar Institute; University of Munich; Royal Netherlands Meteorological Institute; Massachusetts Institute of Technology (MIT); National Aeronautics &amp; Space Administration (NASA); NASA Goddard Space Flight Center; Goddard Institute for Space Studies; University of Otago; Monash University; Monash University</t>
  </si>
  <si>
    <t>Swart, NC (corresponding author), Environm &amp; Climate Change Canada, Canadian Ctr Climate Modelling &amp; Anal, Victoria, BC, Canada.</t>
  </si>
  <si>
    <t>neil.swart@ec.gc.ca</t>
  </si>
  <si>
    <t>CHEN, JIAJIA/GVS-7030-2022; England, Matthew/A-7539-2011; Hauck, Judith/AAC-3967-2019; Haumann, Alexander/J-6679-2014; Farneti, Riccardo/B-5183-2011</t>
  </si>
  <si>
    <t>CHEN, JIAJIA/0000-0002-5438-0606; England, Matthew/0000-0001-9696-2930; Hauck, Judith/0000-0003-4723-9652; Haumann, Alexander/0000-0002-8218-977X; Danek, Christopher/0000-0002-4453-1140; Farneti, Riccardo/0000-0001-7781-6436; Martin, Torge/0000-0002-0882-8780</t>
  </si>
  <si>
    <t>Australian Research Council</t>
  </si>
  <si>
    <t>Australian Research Council(Australian Research Council)</t>
  </si>
  <si>
    <t>The authors thank Nicholas Golledge, Karen J. Heywood, Paul Holland, Katherine Turner, and an anonymous reviewer for their valuable comments helping to improve the manuscript and the experimental design.</t>
  </si>
  <si>
    <t>10.5194/gmd-16-7289-2023</t>
  </si>
  <si>
    <t>IL8V9</t>
  </si>
  <si>
    <t>WOS:001166582900001</t>
  </si>
  <si>
    <t>Schattner, U; Rocha, CB; Ramos, RB; Shtober-Zisu, N; Lobo, FJ; de Mahiques, MM</t>
  </si>
  <si>
    <t>Schattner, U.; Rocha, C. B.; Ramos, R. B.; Shtober-Zisu, N.; Lobo, F. J.; de Mahiques, M. M.</t>
  </si>
  <si>
    <t>Lateral shift from turbidite- to contourite-dominated continental slope, a case study from southeast Brazil slope</t>
  </si>
  <si>
    <t>GEOMORPHOLOGY</t>
  </si>
  <si>
    <t>Marine geomorphology; Ocean bottom currents; Brazil; Atlantic ocean</t>
  </si>
  <si>
    <t>WESTERN BOUNDARY CURRENT; WATER SANTOS BASIN; SAO-PAULO BIGHT; INTERMEDIATE WATER; CIRCULATION; MARGIN; MORPHOLOGY; SEDIMENTS; MOUNDS; SYSTEM</t>
  </si>
  <si>
    <t>New bathymetric and subsurface data from the Santos Basin, offshore southeast Brazil, reveal sharp lateral morphological variations facing the margin-parallel (along-margin) flow of the Antarctic Intermediate Water. The data, derived from 3D Pre-Stack Depth Migrated (PSDM) seismic reflection volumes, show on a -100 km long Southern segment slope gullies, mass transport deposits, and scars. These morphologies sharply shift laterally to a -50 km long Northern segment, typified by a smooth relief built of plastered contourite drifts with occasional elongated depressions. We examine this sharp lateral shift in the morphology of bottom current indicators in view of the hydrodynamical regime, sediment sources, and their distribution pattern. Results indicate that the sharp lateral morphological shift is attributed to (1) a 30 degrees change in slope orientation, and (2) a northward increase in the across-margin velocity component of the Intermediate Water Boundary Current (IWBC). Subsurface data suggest this flow pattern has persisted since the mid-Miocene. In this case study, the lateral morphological shifts under contemporary hydrodynamic conditions emphasize the importance of understanding the coupling between ocean bottom currents and the seafloor in any marine environment.</t>
  </si>
  <si>
    <t>[Schattner, U.; Shtober-Zisu, N.] Univ Haifa, Sch Environm Sci, Haifa, Israel; [Rocha, C. B.; Ramos, R. B.; de Mahiques, M. M.] Univ Sao Paulo, Oceanog Inst, Sao Paulo, Brazil; [Lobo, F. J.] Univ Granada, Inst Andaluz Ciencias Tierra, CSIC, Granada, Spain; [de Mahiques, M. M.] Univ Sao Paulo, Inst Energy &amp; Environm, Sao Paulo, Brazil</t>
  </si>
  <si>
    <t>University of Haifa; Universidade de Sao Paulo; University of Granada; Consejo Superior de Investigaciones Cientificas (CSIC); CSIC - Instituto Andaluz de Ciencias de la Tierra (IACT); Universidade de Sao Paulo</t>
  </si>
  <si>
    <t>Schattner, U (corresponding author), Univ Haifa, Sch Environm Sci, Haifa, Israel.</t>
  </si>
  <si>
    <t>schattner@univ.haifa.ac.il</t>
  </si>
  <si>
    <t>Schattner, Uri/AAC-7679-2019; Lobo, Francisco Jose/J-9836-2012</t>
  </si>
  <si>
    <t>Schattner, Uri/0000-0002-4453-4552; Mahiques, Michel/0000-0002-5249-5610; Lobo, Francisco Jose/0000-0002-3294-7202</t>
  </si>
  <si>
    <t>Sao Paulo Science Foundation (FAPESP) [2020/14356-5]; Brazilian Council for Scientific and Technological Development (CNPq) [300962/2018-5]</t>
  </si>
  <si>
    <t>Sao Paulo Science Foundation (FAPESP)(Fundacao de Amparo a Pesquisa do Estado de Sao Paulo (FAPESP)); Brazilian Council for Scientific and Technological Development (CNPq)(Conselho Nacional de Desenvolvimento Cientifico e Tecnologico (CNPQ))</t>
  </si>
  <si>
    <t>The authors thank the Sao Paulo Science Foundation (FAPESP, Research Grant 2020/14356-5). We thank the Brazilian Agency of Petroleum, Natural Gas, and Biofuels (ANP) for allowing the analysis of seismic data exclusively for educational use. US thanks Schlumberger- Petrel for providing academic licenses that enabled the interpretation of seismic reflection data. MM de M acknowledges the Brazilian Council for Scientific and Technological Development (CNPq, Grant 300962/2018-5). The elevation in Fig. 1 is based on NOAA National Geophysical Data Center. 2009: ETOPO1 1 Arc-Minute Global Relief Model. NOAA National Centers for Environmental Information. Accessed 11/8/2023. We thank the editor and two anonymous reviewers for their invaluable comments that helped us improve the manuscript.</t>
  </si>
  <si>
    <t>0169-555X</t>
  </si>
  <si>
    <t>1872-695X</t>
  </si>
  <si>
    <t>Geomorphology</t>
  </si>
  <si>
    <t>10.1016/j.geomorph.2023.109009</t>
  </si>
  <si>
    <t>FR2Y4</t>
  </si>
  <si>
    <t>WOS:001147527700001</t>
  </si>
  <si>
    <t>de Pablo, MA</t>
  </si>
  <si>
    <t>de Pablo, Miguel angel</t>
  </si>
  <si>
    <t>Timelapse images datasets (2017-2022) from Livingston and Deception Islands, Antarctica, to study snow cover and weather conditions at the PERMATHERMAL monitoring network</t>
  </si>
  <si>
    <t>DATA IN BRIEF</t>
  </si>
  <si>
    <t>Permafrost; Phenomenology; Meteorology; Vegetation; Camera</t>
  </si>
  <si>
    <t>DEPTH; LAKE</t>
  </si>
  <si>
    <t>In the Deception and Livingston Islands, South Shetland Islands, Antarctica, two sites belonging to the international Circumpolar Active Layer Monitoring (CALM) network were established in 2005 and 2009, respectively, as part of the PERMATHERMAL network. In 2017, part of the installed instrumentation was upgraded, incorporating new CC5MPX automatic photographic cameras from Campbell Scientific to acquire three daily photographs at 5Mpx in resolution, 2592 x 1984 pixels in size, and JPEG format. The photographs are taken during the central hours of the day (14, 15, and 16 h GMT) to ensure maximum brightness, even during the Antarctic winter. Powered by batteries and solar panels, two cameras were installed at each site with a panoramic view, devoid of vegetation except for small patches of moss. At each study point, the cameras are oriented in different directions, providing diverse angles of the study area, and allowing observation of various fields of view in the environment. The result is a dataset of images acquired in the 2017-2022 period, organized by site, year, and month, capturing environmental conditions and spatial distribution of the snow cover. This dataset, besides documenting the snow cover, allows assessment of meteorological conditions, prevailing wind directions in the area during snow events, even in more distant areas from the study point due to the configured field of view. In the case of the images from Livingston Island, it also enables the study of the Limnopolar Lake's fluctuating water level during spring and summer. For the images from Deception Island, it provides insight into the presence of pack ice in Foster Port, relevant for volcanic activity and the safety of numerous vessels entering the caldera of the active volcano. (c) 2023 The Author(s). Published by Elsevier Inc. This is an open access article under the CC BY-NC-ND license ( http://creativecommons.org/licenses/by-nc-nd/4.0/ )</t>
  </si>
  <si>
    <t>[de Pablo, Miguel angel] Unidad Geol, Alcala De Henares 28805, Madrid, Spain; [de Pablo, Miguel angel] Dept Geol Geog &amp; Medio Ambiente, Alcala De Henares 28805, Madrid, Spain; [de Pablo, Miguel angel] Univ Alcala, Fac Ciencias, Alcala De Henares 28805, Madrid, Spain</t>
  </si>
  <si>
    <t>Universidad de Alcala</t>
  </si>
  <si>
    <t>de Pablo, MA (corresponding author), Unidad Geol, Alcala De Henares 28805, Madrid, Spain.;de Pablo, MA (corresponding author), Dept Geol Geog &amp; Medio Ambiente, Alcala De Henares 28805, Madrid, Spain.;de Pablo, MA (corresponding author), Univ Alcala, Fac Ciencias, Alcala De Henares 28805, Madrid, Spain.</t>
  </si>
  <si>
    <t>miguelangel.depablo@uah.es</t>
  </si>
  <si>
    <t>de Pablo, Miguel Angel/J-6442-2014</t>
  </si>
  <si>
    <t>de Pablo, Miguel Angel/0000-0002-4496-2741</t>
  </si>
  <si>
    <t>Government of Spain, Ministry of Economy and Competitivity, Spanish Research Agency [CTM2014-52021-R]; Spanish Polar Committee</t>
  </si>
  <si>
    <t>Government of Spain, Ministry of Economy and Competitivity, Spanish Research Agency; Spanish Polar Committee</t>
  </si>
  <si>
    <t>Government of Spain, Ministry of Economy and Competitivity, Spanish Research Agency, by research project PERMASNOW (grant number CTM2014-52021-R) , and Spanish Polar Committee by contracts PERMATHERMAL 2015, 2016, 2017, 2018, 2019, 2020, 2021, and 2022 between Geological Spanish Institute (2015-2019) and Unit of Marine Technology-National Spanish Research Council (2020-2022) .</t>
  </si>
  <si>
    <t>2352-3409</t>
  </si>
  <si>
    <t>DATA BRIEF</t>
  </si>
  <si>
    <t>Data Brief</t>
  </si>
  <si>
    <t>10.1016/j.dib.2023.109970</t>
  </si>
  <si>
    <t>FL1X4</t>
  </si>
  <si>
    <t>WOS:001145864300001</t>
  </si>
  <si>
    <t>Brylka, K; Witkowski, J; Bohaty, SM</t>
  </si>
  <si>
    <t>Brylka, Karolina; Witkowski, Jakub; Bohaty, Steven M.</t>
  </si>
  <si>
    <t>Biogenic silica accumulation and diatom assemblage variations through the Eocene-Oligocene Transition: A Southern Indian Ocean versus South Atlantic perspective</t>
  </si>
  <si>
    <t>PALAEOGEOGRAPHY PALAEOCLIMATOLOGY PALAEOECOLOGY</t>
  </si>
  <si>
    <t>Biogenic opal; Mass accumulation rates; Diatoms; Paleogene; Eocene-Oligocene transition; Southern Ocean</t>
  </si>
  <si>
    <t>MIDDLE EOCENE; ANTARCTIC GLACIATION; MAUD-RISE; SURFACE SEDIMENTS; MARINE; PRODUCTIVITY; EOCENE/OLIGOCENE; PALEOCEANOGRAPHY; CIRCULATION; HISTORY</t>
  </si>
  <si>
    <t>It is widely interpreted that there is a significant link between climate cooling at the Eocene-Oligocene Transition (EOT; -34 Ma) and subsequent diatom proliferation in the world's oceans during the mid to late Cenozoic. Yet, our understanding of biogenic silica flux through the EOT interval is based on limited data from a few sites, and there are many complications in making a meaningful comparison based on biogenic silica concentration data generated using different techniques. Here, we present new biogenic opal flux and diatom assemblage records across EOT from Ocean Drilling Program Site 748 (Southern Kerguelen Plateau, southern Indian Ocean), in addition to new biogenic opal flux records from the South Atlantic (Deep Sea Drilling Project Site 511, Falkland Plateau and Ocean Drilling Program Site 1090, Agulhas Ridge). Observed opal flux shifts and variability at Site 748 are consistent with published data from nearby Site 744; both sites show considerable shifts in biogenic opal accumulation rates corresponding to shifts in published benthic oxygen isotope records through the EOT. In contrast, our new opal flux record for Site 511, derived from biogenic opal concentration measurements via spectrophotometry, differs from the published record derived from insoluble residues, whereas new data generated for Site 1090 are generally consistent with previously published flux reconstructions. The South Atlantic biogenic opal flux records, however, are dissimilar from one another, and both are dissimilar from the Southern Indian Ocean records. Also, the taxonomic composition of the diatom assemblages from Sites 511, 748 and 1090 display considerable differences, with hemiauloids and rhizosolenids - generally inferred as indicative of oligotrophic conditions - being the dominant diatoms at the Southern Kerguelen Plateau (Site 748). Published records show that hemiauloid taxa are absent from the earliest Oligocene interval at Site 1090, which is widely seen as a record of deposition from nutrient-rich waters sustaining abundant diatom assemblages. These differences in diatom assemblages testify to regional differences in nutrient concentrations. In particular, the timing of biogenic opal flux pulses between Sites 1090 and 748 imply a shift in the locus of opal deposition to areas further south in the Southern Ocean across the EOT, likely related to proto-ACC development and strengthening of frontal boundaries. Thus, combined geochemical and micropaleontological evidence points to a regionally variable rather than a global, unified opal flux response to climate cooling through the Eocene-Oligocene Transition.</t>
  </si>
  <si>
    <t>[Brylka, Karolina] Lund Univ, Fac Sci, Dept Geol, Solvegatan 12, S-22362 Lund, Sweden; [Witkowski, Jakub] Univ Szczecin, Inst Marine &amp; Environm Sci, Ul Mickiewicza 18, PL-70383 Szczecin, Poland; [Bohaty, Steven M.] Heidelberg Univ, Inst Earth Sci, Neuenheimer Feld 234, D-69120 Heidelberg, Germany</t>
  </si>
  <si>
    <t>Lund University; University of Szczecin; Ruprecht Karls University Heidelberg</t>
  </si>
  <si>
    <t>Witkowski, J (corresponding author), Univ Szczecin, Inst Marine &amp; Environm Sci, Ul Mickiewicza 18, PL-70383 Szczecin, Poland.</t>
  </si>
  <si>
    <t>jakub.witkowski@usz.edu.pl</t>
  </si>
  <si>
    <t>National Science Centre (Poland) [2016/21/B/ST10/02937]</t>
  </si>
  <si>
    <t>National Science Centre (Poland)(National Science Centre, Poland)</t>
  </si>
  <si>
    <t>This study was funded from the National Science Centre (Poland) grant no. 2016/21/B/ST10/02937. We thank Julita Tomkowiak for assistance in sample preparation and spectrophotometric analyses, and two anonymous reviewers are thanked for their insightful comments.</t>
  </si>
  <si>
    <t>0031-0182</t>
  </si>
  <si>
    <t>1872-616X</t>
  </si>
  <si>
    <t>PALAEOGEOGR PALAEOCL</t>
  </si>
  <si>
    <t>Paleogeogr. Paleoclimatol. Paleoecol.</t>
  </si>
  <si>
    <t>10.1016/j.palaeo.2023.111971</t>
  </si>
  <si>
    <t>Geography, Physical; Geosciences, Multidisciplinary; Paleontology</t>
  </si>
  <si>
    <t>Physical Geography; Geology; Paleontology</t>
  </si>
  <si>
    <t>FQ8V0</t>
  </si>
  <si>
    <t>WOS:001147416500001</t>
  </si>
  <si>
    <t>Bradshaw, S; Hartmann, K; Gardner, C</t>
  </si>
  <si>
    <t>Bradshaw, Stephen; Hartmann, Klaas; Gardner, Caleb</t>
  </si>
  <si>
    <t>Addressing measurement error in lobster growth modelling</t>
  </si>
  <si>
    <t>REGIONAL STUDIES IN MARINE SCIENCE</t>
  </si>
  <si>
    <t>Crustacean; Tag; Recapture; Measurement error; Bayesian; STAN; Citizen science; Growth</t>
  </si>
  <si>
    <t>JASUS-EDWARDSII; ROCK LOBSTER; CITIZEN SCIENCE; MAXIMUM-LIKELIHOOD; CURVES; REPRODUCTION; PALINURIDAE; MORTALITY; DECAPODA</t>
  </si>
  <si>
    <t>Mark and recapture tagging data is key for determining growth in species that are hard or impossible to age. Obtaining this data can be an expensive process, consequently there is an increasing reliance on measurements from non-scientists including commercial and recreational fishers and industry volunteers. A challenge with relying on data collection from these groups is that they are likely to have higher measurement errors. We demonstrate that this measurement error can introduce substantial bias. To account for this we developed a Bayesian model that is robust to a broad range of measurement uncertainty, which enables stochasticity in model outputs to be attributed to more appropriate causes, such as environmental drivers for further investigation. The model was tested through application to Southern Rock Lobster (SRL), Jasus edwardsii data. This was applied in two distinct areas in Tasmania, with different biological characteristics and data collection regimes. Application to this case study demonstrates that high measurement error can be problematic for commonly used methods, however our developed approach allows unbiased growth estimation from such datasets.</t>
  </si>
  <si>
    <t>[Bradshaw, Stephen; Hartmann, Klaas; Gardner, Caleb] Univ Tasmania, Inst Marine &amp; Antarctic Studies, Hobart, Australia</t>
  </si>
  <si>
    <t>University of Tasmania</t>
  </si>
  <si>
    <t>Bradshaw, S (corresponding author), Univ Tasmania, Inst Marine &amp; Antarctic Studies, Hobart, Australia.</t>
  </si>
  <si>
    <t>stephen.bradshaw@utas.edu.au</t>
  </si>
  <si>
    <t>Hartmann, Klaas/B-3991-2008</t>
  </si>
  <si>
    <t>Bradshaw, Stephen/0000-0003-3096-8787</t>
  </si>
  <si>
    <t>2352-4855</t>
  </si>
  <si>
    <t>REG STUD MAR SCI</t>
  </si>
  <si>
    <t>Reg. Stud. Mar. Sci.</t>
  </si>
  <si>
    <t>10.1016/j.rsma.2023.103310</t>
  </si>
  <si>
    <t>Ecology; Marine &amp; Freshwater Biology</t>
  </si>
  <si>
    <t>EY4K8</t>
  </si>
  <si>
    <t>WOS:001142481500001</t>
  </si>
  <si>
    <t>Kirkham, JD; Hogan, KA; Larter, RD; Self, E; Games, K; Huuse, M; Stewart, MA; Ottesen, D; Le Heron, DP; Lawrence, A; Kane, I; Arnold, NS; Dowdeswell, JA</t>
  </si>
  <si>
    <t>Kirkham, James D.; Hogan, Kelly A.; Larter, Robert D.; Self, Ed; Games, Ken; Huuse, Mads; Stewart, Margaret A.; Ottesen, Dag; Le Heron, Daniel P.; Lawrence, Alex; Kane, Ian; Arnold, Neil S.; Dowdeswell, Julian A.</t>
  </si>
  <si>
    <t>The infill of tunnel valleys in the central North Sea: Implications for sedimentary processes, geohazards, and ice-sheet dynamics</t>
  </si>
  <si>
    <t>MARINE GEOLOGY</t>
  </si>
  <si>
    <t>Tunnel valley; 3D seismic reflection data; Meltwater; Deglaciation; Ice sheets; North Sea</t>
  </si>
  <si>
    <t>LATE WEICHSELIAN GLACIATION; FREEZE-ON MECHANISM; RICH BASAL ICE; MIDDLE PLEISTOCENE; DEPOSITIONAL-ENVIRONMENTS; HIGH-RESOLUTION; QUATERNARY SEDIMENTATION; NORWEGIAN CHANNEL; CLIMATE; MORPHOLOGY</t>
  </si>
  <si>
    <t>Tunnel valleys are widespread in formerly glaciated regions such as the North Sea and record sediment transport beneath ice sheets undergoing deglaciation. However, their complex infill architecture often makes their implications for ice-sheet processes difficult to unravel. Here, we use high resolution 3D (HR3D) seismic-reflection data, improved-resolution conventional 3D seismic-reflection data, and geotechnical information from industry-acquired boreholes to image the infill architecture of buried Quaternary tunnel valleys in the North Sea in un-precedented detail. Ten cross-cutting generations of tunnel valleys are mapped beneath the seafloor of the North Sea where only seven were visible previously. Each generation of tunnel valleys potentially reflects a different glaciation, although our evidence may imply that it is possible to rapidly erode and infill multiple generations of tunnel valleys within a single glacial cycle. The infill of the oldest tunnel valley generations reflects sedimentation during relatively gradual ice-sheet retreat, with occasional episodes of overriding by re-advancing grounded ice. Tunnel valleys formed in more recent glaciations are characterised by more variable sedimentation patterns that reflect dynamic fluctuations of the ice margin, including readvances and stagnation, during valley filling and ice retreat. Numerous subglacial landforms are also imaged within the tunnel valleys; these sometimes contain shallow gas accumulations that represent geohazards for seafloor infrastructure installations. In addition, we document examples where salt diapirism has caused fluids to migrate upwards from depth through faults and into the near-surface tunnel valleys. In instances where this occurs, the relatively porous and often highly continuous subglacial landforms present within their infill may allow these fluids to spread laterally for kilometres or even escape from the seafloor; it is therefore important to consider tunnel valleys when monitoring possible CO2 leakage from carbon capture and storage efforts.</t>
  </si>
  <si>
    <t>[Kirkham, James D.; Hogan, Kelly A.; Larter, Robert D.] British Antarctic Survey, Madingley Rd, Cambridge CB3 0ET, England; [Kirkham, James D.; Arnold, Neil S.; Dowdeswell, Julian A.] Univ Cambridge, Scott Polar Res Inst, Cambridge CB2 1ER, England; [Self, Ed; Games, Ken] Gardline Ltd, Hewett Rd, Great Yarmouth NR31 0NN, England; [Huuse, Mads; Lawrence, Alex; Kane, Ian] Univ Manchester, Dept Earth &amp; Environm Sci, Manchester M13 9PL, England; [Stewart, Margaret A.] British Geol Survey, Lyell Ctr, Res Ave South, Edinburgh EH14 4AP, Scotland; [Ottesen, Dag] Geol Survey Norway, POB 6315, N-7491 Trondheim, Norway; [Le Heron, Daniel P.] Univ Wien, Dept Geol, Josef Holaubek Pl 2, A-1190 Vienna, Austria</t>
  </si>
  <si>
    <t>UK Research &amp; Innovation (UKRI); Natural Environment Research Council (NERC); NERC British Antarctic Survey; University of Cambridge; University of Manchester; UK Research &amp; Innovation (UKRI); Natural Environment Research Council (NERC); NERC British Geological Survey; Geological Survey of Norway; University of Vienna</t>
  </si>
  <si>
    <t>Kirkham, JD (corresponding author), British Antarctic Survey, Madingley Rd, Cambridge CB3 0ET, England.</t>
  </si>
  <si>
    <t>jamkir56@bas.ac.uk</t>
  </si>
  <si>
    <t>Le Heron, Daniel/AAK-7639-2020</t>
  </si>
  <si>
    <t>Natural Environment Research Council [NE/L002507/1]; Natural Environment Research Council - British Antarctic Survey Polar Science for Planet Earth programme</t>
  </si>
  <si>
    <t>Natural Environment Research Council(UK Research &amp; Innovation (UKRI)Natural Environment Research Council (NERC)); Natural Environment Research Council - British Antarctic Survey Polar Science for Planet Earth programme</t>
  </si>
  <si>
    <t>We thank bp, Harbour Energy, CNOOC, Equinor Energy AS, Petoro AS, Aker BP ASA, Total Energies EP Norge AS, TGS and PGS for access and permission to publish images extracted from the HR3D seismic data, UHR2D seismic data and the Central North Sea Mega SurveyPlus. S &amp; P Global and Schlumberger are thanked for providing academic seismic interpretation software licenses. James D. Kirkham is supported by the Natural Environment Research Council (grant NE/L002507/1) . Kelly A. Hogan and Robert D. Larter were supported by the Natural Environment Research Council - British Antarctic Survey Polar Science for Planet Earth programme. We thank Christian Huebscher and two anonymous reviewers for helpful comments that improved the manuscript. The interpretations made in this paper are the views of the authors and not necessarily those of the license owners.</t>
  </si>
  <si>
    <t>0025-3227</t>
  </si>
  <si>
    <t>1872-6151</t>
  </si>
  <si>
    <t>MAR GEOL</t>
  </si>
  <si>
    <t>Mar. Geol.</t>
  </si>
  <si>
    <t>10.1016/j.margeo.2023.107185</t>
  </si>
  <si>
    <t>Geosciences, Multidisciplinary; Oceanography</t>
  </si>
  <si>
    <t>Geology; Oceanography</t>
  </si>
  <si>
    <t>EU1E5</t>
  </si>
  <si>
    <t>WOS:001141347700001</t>
  </si>
  <si>
    <t>Parsons, MJG; Barneche, DR; Speed, CW; McCauley, RD; Day, RD; Dang, C; Fisher, R; Gholipour-Kanani, H; Newman, SJ; Semmens, JM; Meekan, MG</t>
  </si>
  <si>
    <t>Parsons, Miles J. G.; Barneche, Diego R.; Speed, Conrad W.; McCauley, Robert D.; Day, Ryan D.; Dang, Cecile; Fisher, Rebecca; Gholipour-Kanani, Hosna; Newman, Stephen J.; Semmens, Jayson M.; Meekan, Mark G.</t>
  </si>
  <si>
    <t>A large-scale experiment finds no consistent evidence of change in mortality or commercial productivity in silverlip pearl oysters (Pinctada maxima) exposed to a seismic source survey</t>
  </si>
  <si>
    <t>Seismic survey; Noise impacts; Pinctada; Sound exposure levels; Particle motion</t>
  </si>
  <si>
    <t>DISEASE</t>
  </si>
  <si>
    <t>High-intensity, impulsive sounds are used to locate oil and gas reserves during seismic exploration of the sea -floor. The impacts of this noise pollution on the health and mortality of marine invertebrates are not well known, including the silverlip pearl oyster (Pinctada maxima), which comprises one of the world's last remaining sig-nificant wildstock pearl oyster fisheries, in northwestern Australia. We exposed approximate to 11,000 P. maxima to a four-day experimental seismic survey, plus one vessel-control day. After exposure, survival rates were monitored throughout a full two-year production cycle, and the number and quality of pearls produced at harvest were assessed. Oysters from two groups, on one sampling day, exhibited reduced survival and pearl productivity compared to controls, but 14 other groups receiving similar or higher exposure levels did not. We therefore found no conclusive evidence of an impact of the seismic source survey on oyster mortality or pearl production.</t>
  </si>
  <si>
    <t>[Parsons, Miles J. G.; Barneche, Diego R.; Speed, Conrad W.; Fisher, Rebecca] Australian Inst Marine Sci, Perth, WA, Australia; [Parsons, Miles J. G.; Barneche, Diego R.; Meekan, Mark G.] Univ Western Australia, UWA Oceans Inst, Crawley, Australia; [Parsons, Miles J. G.; McCauley, Robert D.; Dang, Cecile] Curtin Univ, Ctr Marine Sci &amp; Technol, Bentley, WA, Australia; [Day, Ryan D.; Semmens, Jayson M.] Univ Tasmania, Inst Marine &amp; Antarctic Studies, Battery Point, Tas, Australia; [Dang, Cecile; Gholipour-Kanani, Hosna; Newman, Stephen J.] Dept Primary Ind &amp; Reg Dev, Western Australian Fisheries &amp; Marine Res Labs, Govt Western Australia, Hillarys, WA, Australia</t>
  </si>
  <si>
    <t>Australian Institute of Marine Science; University of Western Australia; Curtin University; University of Tasmania; Western Australian Fisheries &amp; Marine Research Laboratories</t>
  </si>
  <si>
    <t>Parsons, MJG (corresponding author), Australian Inst Marine Sci, Perth, WA, Australia.</t>
  </si>
  <si>
    <t>m.parsons@aims.gov.au</t>
  </si>
  <si>
    <t>Barneche, Diego R/A-3498-2014</t>
  </si>
  <si>
    <t>Barneche, Diego R/0000-0002-4568-2362; Meekan, Mark/0000-0002-3067-9427</t>
  </si>
  <si>
    <t>Santos Limited; AIMS' North West Shoals to Shore Research Program; Santos as part of the company's commitment</t>
  </si>
  <si>
    <t>This study was conducted as part of AIMS' North West Shoals to Shore Research Program and was supported by Santos as part of the company's commitment to better understanding Western Australia's marine environment.</t>
  </si>
  <si>
    <t>10.1016/j.marpolbul.2023.115480</t>
  </si>
  <si>
    <t>ET0C8</t>
  </si>
  <si>
    <t>WOS:001141050000001</t>
  </si>
  <si>
    <t>Lelièvre, Y; Specq, L; Lamy, T; Boyé, A; Downey, RV; Saucède, T</t>
  </si>
  <si>
    <t>Lelievre, Yann; Specq, Lea; Lamy, Thomas; Boye, Aurelien; Downey, Rachel V.; Saucede, Thomas</t>
  </si>
  <si>
    <t>Taxonomic and functional diversity of subtidal benthic communities associated with hard substrates at Crozet archipelago (sub-Antarctic, Southern Ocean)</t>
  </si>
  <si>
    <t>Southern Ocean; sub-Antarctic; Crozet; benthos; community assembly; trait-based approach; underwater imagery; submarine cable</t>
  </si>
  <si>
    <t>SPECIES-DIVERSITY; MACROCYSTIS-PYRIFERA; LANICE-CONCHILEGA; POWER-CABLES; SEA-FLOOR; KELP MACROCYSTIS; CLIMATE-CHANGE; BIODIVERSITY; TRAIT; SCALE</t>
  </si>
  <si>
    <t>Sub-Antarctic coastal marine ecosystems harbor rich and diverse benthic communities. Despite their ecological uniqueness and vulnerability to global changes, studies on benthic communities remain limited. Using underwater video-imagery, we investigated the taxonomic and functional diversity of benthic communities associated with hard substrates at Baie du Marin (Ile de la Possession, Crozet archipelago). The Baie du Marin species richness and diversity were additively partitioned to evaluate spatial patterns of species through the following spatial scales: within images, among images within transects, and among transects. We analyzed imagery data from seven transects located at different sites inside Baie du Marin and covering contrasting natural rocky habitats and underwater artificial cable substrates. A total of 50 faunal (mainly represented by Echinodermata and Porifera phyla) and 14 algae (mainly represented by Rhodophyta phylum) taxa were identified. Rocky substrates were dominated by high densities of the polychaetes Parasabella sp. and Lanice marionensis, whereas submarine cables were dominated by high densities of the bivalve Kidderia sp. attached to macroalgae. Our results show contrasted distribution patterns in the faunal and algal assemblages within the Baie du Marin, with significant ecological differences between submarine cables and natural rocky substrates. Larger spatial scale (i.e., among transects) accounted for most of the bay richness and diversity, highlighting a high-level of habitat heterogeneity within the bay. Through a trait-based approach, our findings revealed that Crozet benthic communities are characterized by low functional richness, evenness, and redundancy, highlighting a potential vulnerability to current and future natural and anthropogenic changes. This study provides a novel bentho-ecological baseline for future assessments of natural and anthropogenic impacts on the marine environment of the Crozet archipelago; and for the conservation management of these remote habitats that make part of the French Southern Territories Marine Protected Area, recently inscribed on the UNESCO World Heritage list.</t>
  </si>
  <si>
    <t>[Lelievre, Yann; Specq, Lea; Saucede, Thomas] Univ Bourgogne, Biogeosci, CNRS, UMR 6282, Dijon, France; [Lamy, Thomas] Univ Montpellier, MARBEC, CNRS, Ifremer,IRD, Montpellier, France; [Boye, Aurelien] IFREMER Ctr Bretagne, DYNECO, Lab Ecol Benthique Cotiere, Plouzane, France; [Downey, Rachel V.] Australian Natl Univ, Fenner Sch Environm &amp; Soc, Canberra, ACT, Australia</t>
  </si>
  <si>
    <t>Centre National de la Recherche Scientifique (CNRS); Universite de Bourgogne; Ifremer; Centre National de la Recherche Scientifique (CNRS); Institut de Recherche pour le Developpement (IRD); Universite de Montpellier; Ifremer; Australian National University</t>
  </si>
  <si>
    <t>Lelièvre, Y (corresponding author), Univ Bourgogne, Biogeosci, CNRS, UMR 6282, Dijon, France.</t>
  </si>
  <si>
    <t>yann.lelievre10@gmail.com</t>
  </si>
  <si>
    <t>Lamy, Thomas/K-9430-2015</t>
  </si>
  <si>
    <t>Lelievre, Yann/0000-0003-3508-418X</t>
  </si>
  <si>
    <t>French Southern and Antarctic Lands (TAAF) [1044 Proteker, 2021-0882, 2258]; French Polar Institute [1044 Proteker]; TAAF-UB convention [2258]</t>
  </si>
  <si>
    <t>French Southern and Antarctic Lands (TAAF); French Polar Institute; TAAF-UB convention</t>
  </si>
  <si>
    <t>The author(s) declare financial support was received for the research, authorship, and/or publication of this article. This study is a contribution to the project No. 2021-0882 Nearshore Cable Inspection and Environmental Survey at IMS Hydroacoustic Station HA04 Crozet, France conducted by the French Southern and Antarctic Lands (TAAF) in response to the CTBTO solicitation and to the French Polar Institute project #1044 Proteker. YL was supported by TAAF-UB convention #2258.</t>
  </si>
  <si>
    <t>10.3389/fmars.2023.1291038</t>
  </si>
  <si>
    <t>EG9M4</t>
  </si>
  <si>
    <t>WOS:001137886300001</t>
  </si>
  <si>
    <t>Yang, K; Meyer, A; Strutton, PG; Fischer, AM</t>
  </si>
  <si>
    <t>Yang, Kai; Meyer, Amelie; Strutton, Peter G.; Fischer, Andrew M.</t>
  </si>
  <si>
    <t>Global trends of fronts and chlorophyll in a warming ocean</t>
  </si>
  <si>
    <t>SURFACE CHLOROPHYLL; CLIMATE-CHANGE; INCREASES; PACIFIC; SYSTEM</t>
  </si>
  <si>
    <t>Ocean fronts affect phytoplankton and higher trophic levels, including commercially important fisheries. As the oceans warm, uncertainty remains around the trends in fronts. Here we examine changes in sea surface temperature fronts (frequency, density, and intensity) and the concentration of chlorophyll, over recent satellite records (2003 - 2020) in ocean warming hotspots - areas that are warming faster than other parts of the ocean. Commonalities exist across hotspots with comparable dynamics. Most equatorial and subtropical gyre hotspots experienced a decline in frontal activity (frequency, density, strength) and chlorophyll concentration, while in high-latitude hotspots, frontal activity and chlorophyll concentration mostly increased. Continued warming may accentuate the impacts, changing both total biomass and the distribution of marine species. Areas with changing fronts and phytoplankton also correspond to areas of important global fish catch, highlighting the potential societal significance of these changes in the context of climate change. Frontal activity and chlorophyll concentrations have increased in high latitude hotspots of ocean warming but have decreased in equatorial and subtropical gyre hotspots, suggest changes in satellite remotely sensed sea surface temperature and chlorophyl concentration between 2003 and 2020.</t>
  </si>
  <si>
    <t>[Yang, Kai; Meyer, Amelie; Strutton, Peter G.; Fischer, Andrew M.] Univ Tasmania, Inst Marine &amp; Antarctic Studies, Hobart, Tas, Australia; [Yang, Kai; Meyer, Amelie; Strutton, Peter G.] Univ Tasmania, Australian Res Council, Ctr Excellence Climate Extremes, Hobart, Tas, Australia</t>
  </si>
  <si>
    <t>University of Tasmania; University of Tasmania</t>
  </si>
  <si>
    <t>Yang, K (corresponding author), Univ Tasmania, Inst Marine &amp; Antarctic Studies, Hobart, Tas, Australia.;Yang, K (corresponding author), Univ Tasmania, Australian Res Council, Ctr Excellence Climate Extremes, Hobart, Tas, Australia.</t>
  </si>
  <si>
    <t>kai.yang@utas.edu.au</t>
  </si>
  <si>
    <t>; Strutton, Peter/C-4466-2011</t>
  </si>
  <si>
    <t>Meyer, Amelie/0000-0003-0447-795X; Strutton, Peter/0000-0002-2395-9471; Yang, Kai/0000-0002-1074-3081</t>
  </si>
  <si>
    <t>China Scholarship Council (CSC) [202006330006]; China Scholarship Council (CSC) of the Ministry of Education of the People's Republic of China; University of Tasmania; Australian Research Council (ARC) Centre of Excellence of Climate Extremes [CE170100023]; ARC; Commonwealth Scientific and Industrial Research Organization (CSIRO)</t>
  </si>
  <si>
    <t>China Scholarship Council (CSC)(China Scholarship Council); China Scholarship Council (CSC) of the Ministry of Education of the People's Republic of China(China Scholarship Council); University of Tasmania; Australian Research Council (ARC) Centre of Excellence of Climate Extremes(Australian Research Council); ARC(Australian Research Council); Commonwealth Scientific and Industrial Research Organization (CSIRO)(Commonwealth Scientific &amp; Industrial Research Organisation (CSIRO))</t>
  </si>
  <si>
    <t>KY acknowledges financial support from the China Scholarship Council (CSC) of the Ministry of Education of the People's Republic of China (grant number: 202006330006) and the University of Tasmania. KY, AM and PGS are supported by the Australian Research Council (ARC) Centre of Excellence of Climate Extremes (CLEX; ARC Grant No. CE170100023). We thank Professor Craig Bishop of the University of Melbourne for his interests and advice on dynamical reasoning of this study and Jason Roberts from the Marine Geospatial Ecology Lab at Duke University for his assistance in applying the Marine Geospatial Ecology Tools (MGET). We also thank Dr Alistair Hobday from the Commonwealth Scientific and Industrial Research Organization (CSIRO) for providing hotspot shapefile and Dr Paola Petrelli from the CLEX Computational Modelling Systems (CMS) team for her assistance in data and code publishing. We are grateful for and acknowledge the freely available MODIS data from NASA OB.DAAC, fishery landings data from the IMAS Metadata Catalogue, and world population data from NASA SEDAC.</t>
  </si>
  <si>
    <t>10.1038/s43247-023-01160-2</t>
  </si>
  <si>
    <t>CZ4Z2</t>
  </si>
  <si>
    <t>WOS:001129052400001</t>
  </si>
  <si>
    <t>Kawaguchi, S; Atkinson, A; Bahlburg, D; Bernard, KS; Cavan, EL; Cox, MJ; Hill, SL; Meyer, B; Veytia, D</t>
  </si>
  <si>
    <t>Kawaguchi, So; Atkinson, Angus; Bahlburg, Dominik; Bernard, Kim S.; Cavan, Emma L.; Cox, Martin J.; Hill, Simeon L.; Meyer, Bettina; Veytia, Devi</t>
  </si>
  <si>
    <t>Climate change impacts on Antarctic krill behaviour and population dynamics</t>
  </si>
  <si>
    <t>NATURE REVIEWS EARTH &amp; ENVIRONMENT</t>
  </si>
  <si>
    <t>DIEL VERTICAL MIGRATION; SOUTH SHETLAND ISLANDS; SEA-ICE ALGAE; EUPHAUSIA-SUPERBA; SCOTIA SEA; EAST ANTARCTICA; SWARM CHARACTERISTICS; OCEAN ACIDIFICATION; SOCIAL AGGREGATION; SCALE DISTRIBUTION</t>
  </si>
  <si>
    <t>Krill habitats in the Southern Ocean are impacted by changing climate conditions, reduced sea ice and rising temperatures. These changes, in turn, affect krill occurrence, physiology and behaviour, which could have ecosystem impacts. In this Review, we examine climate change impacts on Antarctic krill and the potential implications for the Southern Ocean ecosystem. Since the 1970s, there have been apparent reductions in adult population density and the occurrence of very dense swarms in the northern Southwest Atlantic. These changes were associated with latitudinal and longitudinal rearrangement of population distribution - including a poleward contraction in the Southwest Atlantic - and were likely driven by ocean warming, sea-ice reductions and changes in the quality of larval habitats. As swarms are targeted by fishers and predators, this contraction could increase fishery-predator interactions, potentially exacerbating risk to already declining penguin populations and recovering whale populations. These risks require urgent mitigation measures to be developed. A circumpolar monitoring network using emerging technologies is needed to augment existing surveys and better record the shifts in krill distribution. Krill are food sources for megafauna, are drivers of carbon export and are being impacted by sea-ice declines and changing climate conditions. This Review examines changes in krill populations, habitats and behaviour in the Southern Ocean, and discusses their potential drivers and implications for fishery management in the future. The massive abundance and swarming behaviour of Antarctic krill makes them the primary prey for numerous Antarctic megafauna and important mediators of biogeochemical cycling in the Southern Ocean, particularly in processes that enhance carbon sequestration.Analyses of an existing dataset collectively support southward habitat contraction in the Southwest Atlantic sector, likely due to ocean warming and hence changing sea-ice dynamics, including the reduction of sea ice.Changes in habitat conditions affect krill physiology, which in turn could be accompanied by changes in their behaviour, such as changes in distribution and swarm size and frequency.Reduction in krill biomass is potentially associated with a reduction in the number of swarms. Such changes will have implications for predator-prey relationships and interactions with the fishery.An overall reduction in krill biomass and abundance could decrease the contribution of krill to the biological carbon pump in the region, with fewer faecal pellets, carcasses and moults sinking to the deep ocean, thereby reducing this important route of carbon sequestration.Future studies must aim for deeper understanding of the energy budget in krill as it pertains to their swarming behaviour, and should deepen our understanding of climate change impacts on the pelagic lifestyle of krill.</t>
  </si>
  <si>
    <t>[Kawaguchi, So] Australian Antarctic Div, Southern Ocean Ecosyst Program, Kingston, Tas, Australia; [Kawaguchi, So; Cox, Martin J.] Univ Tasmania, Australian Antarctic Program Partnership, Hobart, Tas, Australia; [Atkinson, Angus] Plymouth Marine Lab, Marine Ecosyst &amp; Biodivers Dept, Plymouth, Devon, England; [Bahlburg, Dominik] Tech Univ Dresden, Dept Forest Sci, Tharandt, Germany; [Bahlburg, Dominik] Helmholtz Ctr Environm Res, Dept Ecol Modelling, Leipzig, Germany; [Bernard, Kim S.] Oregon State Univ, Coll Earth Ocean &amp; Atmospher Sci, Corvallis, OR USA; [Cavan, Emma L.] Imperial Coll London, Dept Life Sci, Ascot, England; [Cox, Martin J.] Australian Antarctic Div, Integrated Digital East Antarct, Kingston, Tas, Australia; [Hill, Simeon L.] British Antarctic Survey, Ecosyst Team, Cambridge, England; [Meyer, Bettina] Alfred Wegener Inst, Helmholtz Ctr Polar &amp; Marine Res, Polar Biol Oceanog, Bremerhaven, Germany; [Meyer, Bettina] Helmholtz Inst Funct Marine Biodivers, Conservat &amp; Management, Oldenburg, Germany; [Meyer, Bettina] Carl von Ossietzky Univ Oldenburg, Inst Chem &amp; Biol Marine Environm, Oldenburg, Germany; [Veytia, Devi] CESAB FRB, 5 Rue Ecole Med, Montpellier, France; [Veytia, Devi] Univ Tasmania, Inst Marine &amp; Antarctic Studies, Hobart, Tas, Australia</t>
  </si>
  <si>
    <t>Australian Antarctic Division; University of Tasmania; Plymouth Marine Laboratory; Technische Universitat Dresden; Helmholtz Association; Helmholtz Center for Environmental Research (UFZ); Oregon State University; Imperial College London; Australian Antarctic Division; UK Research &amp; Innovation (UKRI); Natural Environment Research Council (NERC); NERC British Antarctic Survey; Helmholtz Association; Alfred Wegener Institute, Helmholtz Centre for Polar &amp; Marine Research; Carl von Ossietzky Universitat Oldenburg; University of Tasmania</t>
  </si>
  <si>
    <t>Kawaguchi, S (corresponding author), Australian Antarctic Div, Southern Ocean Ecosyst Program, Kingston, Tas, Australia.;Kawaguchi, S (corresponding author), Univ Tasmania, Australian Antarctic Program Partnership, Hobart, Tas, Australia.</t>
  </si>
  <si>
    <t>So.Kawaguchi@aad.gov.au</t>
  </si>
  <si>
    <t>; Bernard, Kim/J-2703-2013</t>
  </si>
  <si>
    <t>Meyer, Bettina/0000-0001-6804-9896; cavan, emma/0000-0003-1099-6705; Bernard, Kim/0000-0003-0509-2744</t>
  </si>
  <si>
    <t>Australian Antarctic Program; Australian Government as part of the Antarctic Science Collaboration Initiative programme; World Wide Fund for Nature (WWF); European Space Agency (ESA) project 'Biodiversity in the Open Ocean: Mapping, Monitoring and Modelling' [4000137125/22/I-DT]; Natural Environment Research Council (NERC) British Antarctic Survey (BAS) ALI-Science Southern Ocean Ecosystems project; German Research Foundation (DFG) [411096565]; Imperial College Research Fellowship; WWF</t>
  </si>
  <si>
    <t>Australian Antarctic Program; Australian Government as part of the Antarctic Science Collaboration Initiative programme(Australian Government); World Wide Fund for Nature (WWF); European Space Agency (ESA) project 'Biodiversity in the Open Ocean: Mapping, Monitoring and Modelling'; Natural Environment Research Council (NERC) British Antarctic Survey (BAS) ALI-Science Southern Ocean Ecosystems project; German Research Foundation (DFG)(German Research Foundation (DFG)); Imperial College Research Fellowship; WWF</t>
  </si>
  <si>
    <t>S.K. and M.J.C. were supported by the Australian Antarctic Program and received grant funding from the Australian Government as part of the Antarctic Science Collaboration Initiative programme. The contribution by A.A. was supported by the World Wide Fund for Nature (WWF) and the European Space Agency (ESA) project 'Biodiversity in the Open Ocean: Mapping, Monitoring and Modelling' (BOOMS, no. 4000137125/22/I-DT). S.L.H. was supported by the Natural Environment Research Council (NERC) British Antarctic Survey (BAS) ALI-Science Southern Ocean Ecosystems project. D.B. was supported by the German Research Foundation (DFG; grant number 411096565). E.L.C. was supported by an Imperial College Research Fellowship and the WWF. We thank G. Yang for providing data for Fig. 2, and S. McCormack for ideas and input on the designs of Figs. 1, 4 and 5.</t>
  </si>
  <si>
    <t>2662-138X</t>
  </si>
  <si>
    <t>NAT REV EARTH ENV</t>
  </si>
  <si>
    <t>Nat. Rev. Earth Environ.</t>
  </si>
  <si>
    <t>10.1038/s43017-023-00504-y</t>
  </si>
  <si>
    <t>Environmental Sciences; Geosciences, Multidisciplinary</t>
  </si>
  <si>
    <t>EV4Y6</t>
  </si>
  <si>
    <t>WOS:001129352500001</t>
  </si>
  <si>
    <t>Servettaz, APM; Agosta, C; Kittel, C; Orsi, AJ</t>
  </si>
  <si>
    <t>Servettaz, Aymeric P. M.; Agosta, Cecile; Kittel, Christoph; Orsi, Anais J.</t>
  </si>
  <si>
    <t>Control of the temperature signal in Antarctic proxies by snowfall dynamics</t>
  </si>
  <si>
    <t>CRYOSPHERE</t>
  </si>
  <si>
    <t>SURFACE MASS-BALANCE; DOME C; ISOTOPIC COMPOSITION; CLIMATE VARIABILITY; STABLE-ISOTOPES; PRECIPITATION; GREENLAND; RECONSTRUCTIONS; INTERMITTENCY; INVERSION</t>
  </si>
  <si>
    <t>Antarctica, the coldest and driest continent, is home to the largest ice sheet, whose mass is predominantly recharged by snowfall. A common feature of polar regions is the warming associated with snowfall, as moist oceanic air and cloud cover increase the surface temperature. Consequently, snow that accumulates on the ice sheet is deposited under unusually warm conditions. Here we use a polar-oriented regional atmospheric model to study the statistical difference between average and snowfall-weighted temperatures. During snowfall, the warm anomaly scales with snowfall amount, with the strongest sensitivity occurring at low-accumulation sites. Heavier snowfall in winter helps to decrease the annual snowfall-weighted temperature, but this effect is overwritten by the event-scale warming associated with precipitating atmospheric systems, which particularly contrast with the extremely cold conditions that occur in winter. Consequently, the seasonal range of snowfall-weighted temperature is reduced by 20 %. On the other hand, the annual snowfall-weighted temperature shows 80 % more interannual variability than the annual temperature due to the irregularity of snowfall occurrence and its associated temperature anomaly. Disturbances of the apparent annual temperature cycle and interannual variability have important consequences for the interpretation of water isotopes in precipitation, which are deposited with snowfall and commonly used for paleotemperature reconstructions from ice cores.</t>
  </si>
  <si>
    <t>[Servettaz, Aymeric P. M.] Japan Agcy Marine Earth Sci &amp; Technol, Biogeochem Res Ctr, Yokosuka, Kanagawa 2370061, Japan; [Agosta, Cecile] Univ Paris Saclay, Lab Sci Climat &amp; Environm, LSCE IPSL, CEA CNRS UVSQ, F-91190 Gif Sur Yvette, France; [Kittel, Christoph] Univ Liege, Dept Geog, UR SPHERES, Liege, Belgium; [Kittel, Christoph] Univ Grenoble Alpes, CNRS IRD G INP, Inst Geosci &amp; Environm, F-38000 Grenoble, France; [Orsi, Anais J.] Univ British Columbia, Dept Earth Ocean &amp; Atmospher Sci, Vancouver, BC V6T 1Z4, Canada</t>
  </si>
  <si>
    <t>Japan Agency for Marine-Earth Science &amp; Technology (JAMSTEC); Universite Paris Cite; CEA; Centre National de la Recherche Scientifique (CNRS); Universite Paris Saclay; University of Liege; Communaute Universite Grenoble Alpes; Universite Grenoble Alpes (UGA); University of British Columbia</t>
  </si>
  <si>
    <t>Servettaz, APM (corresponding author), Japan Agcy Marine Earth Sci &amp; Technol, Biogeochem Res Ctr, Yokosuka, Kanagawa 2370061, Japan.</t>
  </si>
  <si>
    <t>servettaza@jamstec.go.jp</t>
  </si>
  <si>
    <t>Servettaz, Aymeric/0000-0002-2909-6160; Orsi, Anais/0000-0001-5511-3940</t>
  </si>
  <si>
    <t>Japan Agency for Marine-Earth Science and Technology</t>
  </si>
  <si>
    <t>1994-0416</t>
  </si>
  <si>
    <t>1994-0424</t>
  </si>
  <si>
    <t>Cryosphere</t>
  </si>
  <si>
    <t>DEC 18</t>
  </si>
  <si>
    <t>10.5194/tc-17-5373-2023</t>
  </si>
  <si>
    <t>IU4S2</t>
  </si>
  <si>
    <t>WOS:001168843300001</t>
  </si>
  <si>
    <t>Pilie, M; Gibson, ME; Romero, IC; Otaño, NBN; Pound, MJ; O'Keefe, JMK; Warny, S</t>
  </si>
  <si>
    <t>Pilie, Mallory; Gibson, Martha E.; Romero, Ingrid C.; Otano, Noelia B. Nunez; Pound, Matthew J.; O'Keefe, Jennifer M. K.; Warny, Sophie</t>
  </si>
  <si>
    <t>Miocene Climatic Optimum fungal record and plant-based CREST climatic reconstruction from southern McMurdo Sound, Antarctica</t>
  </si>
  <si>
    <t>JOURNAL OF MICROPALAEONTOLOGY</t>
  </si>
  <si>
    <t>CARBON; PALYNOMORPHS; LAND; GLACIATION; VEGETATION; ECOLOGY; SURFACE; POLLEN</t>
  </si>
  <si>
    <t>Deep-time palynological studies are necessary to evaluate plant and fungal distribution under warmer-than-present scenarios such as those of the Middle Miocene. Previous palynological studies from southern McMurdo Sound, Antarctica (SMS), have provided unique documentation for Neogene environments in the Ross Sea region during a time of pronounced global warming. The present study builds on these studies and provides a new climate reconstruction using the previously published SMS pollen and plant spore data. Additionally, 44 SMS samples were reanalyzed with a focus on the fungal fraction of the section to evaluate the fungal distribution under warmer than present conditions. The probability-based climate reconstruction technique (CREST) was applied to provide a new plant-based representation of regional paleoclimate for this Miocene Climatic Optimum (MCO) locality. CREST reconstructs a paleoclimate that is warmer and significantly wetter than present in SMS during the MCO, with mean annual precipitation reconstructed at 1147 mm yr - 1 (95 % confidence range: 238-2611 mm yr - 1 ) and a maximum mean annual temperature of 10.3 circle C (95 % confidence range: 2.0-20.2 circle C) for the warmest intervals of the MCO. The CREST reconstruction fits within the Cfb Koppen-Geiger climate class during the MCO of SMS. This new reconstruction agrees with previous reconstructions using various geochemical proxies. The fungal palynological analyses yielded surprising results, with only a single morphotype recovered, in low abundance, with concentrations ranging up to 199 fungi per gram of dried sediment. The taxa present belongs to the Apiosporaceae family and are known to be adapted to a wide range of climate and environmental conditions. As fungi are depauperate members of the SMS MCO palynofloras and because the one morphotype recovered is cosmopolitan, using the fungi record to confirm a narrow Koppen-Geiger climate class is impossible. Overall, the study demonstrates refinement of plant-based paleoclimatic reconstructions and sheds light on the limited presence of fungi during the MCO in Antarctica.</t>
  </si>
  <si>
    <t>[Pilie, Mallory; Warny, Sophie] Louisiana State Univ, Ctr Excellence Palynol, Dept Geol &amp; Geophys, Baton Rouge, LA 70803 USA; [Pilie, Mallory; Warny, Sophie] Louisiana State Univ, Museum Nat Sci, Baton Rouge, LA 70803 USA; [Gibson, Martha E.] West Virginia Univ, Dept Geol &amp; Geog, Morgantown, WV 26505 USA; [Romero, Ingrid C.] Smithsonian Inst, Dept Paleobiol, Natl Museum Nat Hist, Washington, DC 20560 USA; [Romero, Ingrid C.; O'Keefe, Jennifer M. K.] Morehead State Univ, Dept Engn Sci, Morehead, KY 40351 USA; [Otano, Noelia B. Nunez] Ctr Invest Cient &amp; Transferencia Tecnol Prod, Lab Geol Llanuras, CICYTTP CONICET Prov ER UADER, Diamante, Entre Rios, Argentina; [Pound, Matthew J.] Northumbria Univ, Dept Geog &amp; Environm Sci, Newcastle Upon Tyne NE1 8ST, England</t>
  </si>
  <si>
    <t>Louisiana State University System; Louisiana State University; Louisiana State University System; Louisiana State University; West Virginia University; Smithsonian Institution; Smithsonian National Museum of Natural History; Morehead State University; Northumbria University</t>
  </si>
  <si>
    <t>Warny, S (corresponding author), Louisiana State Univ, Ctr Excellence Palynol, Dept Geol &amp; Geophys, Baton Rouge, LA 70803 USA.;Warny, S (corresponding author), Louisiana State Univ, Museum Nat Sci, Baton Rouge, LA 70803 USA.;O'Keefe, JMK (corresponding author), Morehead State Univ, Dept Engn Sci, Morehead, KY 40351 USA.</t>
  </si>
  <si>
    <t>j.okeefe@moreheadstate.edu; swarny@lsu.edu</t>
  </si>
  <si>
    <t>Nunez Otano, Noelia/0000-0001-6235-3942; Pound, Matthew/0000-0001-8029-9548; Romero, Ingrid/0000-0003-1376-5830</t>
  </si>
  <si>
    <t>National Science Foundation [2015813]; NERC [NE/V01501X/1]; National Science Foundation - US NSF CAREER grant [ANT-1048343]; New Orleans Geological Society Graduate Student Scholarship, LSU CENEX funds; LSU AAPG Scholarship</t>
  </si>
  <si>
    <t>National Science Foundation(National Science Foundation (NSF)); NERC(UK Research &amp; Innovation (UKRI)Natural Environment Research Council (NERC)); National Science Foundation - US NSF CAREER grant(National Science Foundation (NSF)); New Orleans Geological Society Graduate Student Scholarship, LSU CENEX funds; LSU AAPG Scholarship</t>
  </si>
  <si>
    <t>This research was supported by a graduate research assistantship from the Fungi in a Warmer World (FiaWW) project, jointly funded by NSF/Geo (award no. 2015813) and NERC (award no. NE/V01501X/1) to Jen O'Keefe and Matthew Pound. Samples acquired by the ANDRILL SMS project were provided by the Antarctic Marine Geology Research, which is sponsored by the National Science Foundation. Processing of all palynological samples was funded by a US NSF CAREER grant (award no. ANT-1048343) to Sophie Warny. Additional funding was received from the New Orleans Geological Society Graduate Student Scholarship, LSU CENEX funds, and an LSU AAPG Scholarship.</t>
  </si>
  <si>
    <t>0262-821X</t>
  </si>
  <si>
    <t>2041-4978</t>
  </si>
  <si>
    <t>J MICROPALAEONTOL</t>
  </si>
  <si>
    <t>J. Micropalaentol.</t>
  </si>
  <si>
    <t>10.5194/jm-42-291-2023</t>
  </si>
  <si>
    <t>Paleontology</t>
  </si>
  <si>
    <t>IU5E6</t>
  </si>
  <si>
    <t>WOS:001168855700001</t>
  </si>
  <si>
    <t>Lesic, NM; Streuff, KT; Bohrmann, G; Kasten, S; Kuhn, G</t>
  </si>
  <si>
    <t>Lesic, Nina-Marie; Streuff, Katharina Teresa; Bohrmann, Gerhard; Kasten, Sabine; Kuhn, Gerhard</t>
  </si>
  <si>
    <t>Spatial and temporal variability in Holocene trough-fill sediments, King Haakon Trough System, sub-Antarctic South Georgia</t>
  </si>
  <si>
    <t>QUATERNARY SCIENCE ADVANCES</t>
  </si>
  <si>
    <t>Sub-antarctic; South atlantic; Acoustic data; Marine sedimentology; Palaeoreconstruction; Depositional environments</t>
  </si>
  <si>
    <t>ICE-CORE; GLACIER FLUCTUATIONS; CIRCUMPOLAR CURRENT; METHANE SEEPAGE; CUMBERLAND BAY; CLIMATE; RECORD; SEA; DEGLACIATION; TURBIDITE</t>
  </si>
  <si>
    <t>The climate in the South Atlantic sector of the sub-Antarctic, and therefore on and around the island of South Georgia, is dependent on the Southern Hemisphere Westerlies (SHW) and the Antarctic Circumpolar Current (ACC). The SHW and the ACC, in turn, are strongly controlled by climate variability in the Southern Hemisphere. Accordingly, thick sediment sequences in the troughs across South Georgia's continental shelf serve as valuable archives for past climate variations in the Southern Ocean. Since Holocene climate fluctuations led to only minimal oscillations in glacier margin positions within the fjords, the entire shelf was exposed to dynamic ocean currents since at least 10 ka BP. Its depositional systems are therefore a suitable target for the reconstruction of Holocene dynamics of both the SHW and the ACC. Sub-bottom profiler data and radiocarbon ages from four gravity cores from the south-western South Georgia continental shelf provide evidence for a complex interplay between island run-off and ocean currents intruding into a unique cross-shelf trough system during the last similar to 10 ka. The data reveal several prominent changes in sediment and Holocene climate dynamics, the most significant occurring between 8 and 7.7 cal ka BP and between 2.6 and 2.2 cal ka BP. Both of these time periods represent transitions from warmer to cooler and windier conditions in South Georgia and the Southern Hemisphere. Our record from the King Haakon Trough System is the first highly resolved Holocene archive from the marine realm on the south-western South Georgia continental shelf and suggests several large-scale Southern Hemisphere climate changes during the mid-to late Holocene.</t>
  </si>
  <si>
    <t>[Lesic, Nina-Marie; Streuff, Katharina Teresa; Bohrmann, Gerhard; Kasten, Sabine] Univ Bremen, Ctr Marine Environm Sci, MARUM, Leobener Str, D-28359 Bremen, Germany; [Lesic, Nina-Marie; Streuff, Katharina Teresa; Bohrmann, Gerhard; Kasten, Sabine; Kuhn, Gerhard] Univ Bremen, Fac Geosci, Klagenfurter Str, D-28359 Bremen, Germany; [Lesic, Nina-Marie; Kasten, Sabine; Kuhn, Gerhard] Helmholtz Ctr Polar &amp; Marine Res, Alfred Wegener Inst, Handelshafen 12, D-27570 Bremerhaven, Germany; [Lesic, Nina-Marie] Univ Bremen, Fac Geosci, Klagenfurter Str 2-4, D-28359 Bremen, Germany</t>
  </si>
  <si>
    <t>University of Bremen; University of Bremen; Helmholtz Association; Alfred Wegener Institute, Helmholtz Centre for Polar &amp; Marine Research; University of Bremen</t>
  </si>
  <si>
    <t>Lesic, NM (corresponding author), Univ Bremen, Fac Geosci, Klagenfurter Str 2-4, D-28359 Bremen, Germany.</t>
  </si>
  <si>
    <t>nlesic@marum.de; kstreuff@marum.de; gbohrmann@marum.de; sabine.kasten@awi.de; ge_ku@uni-bremen.de</t>
  </si>
  <si>
    <t>Streuff, Katharina/JVO-1269-2024; Bohrmann, Gerhard/D-4474-2017</t>
  </si>
  <si>
    <t>Streuff, Katharina/0000-0002-1508-8311; Bohrmann, Gerhard/0000-0001-9976-4948; Lesic, Nina-Marie/0000-0003-4271-3001</t>
  </si>
  <si>
    <t>Deutsche For- schungsgemeinschaft (DFG) [SPP 1158, 683/18-1, 1049/23-1, 705/4-1, PS133/2, AWI_PS133/2_01]; Deutsche Forschungsgemeinschaft (DFG) [SPP 1158, 683/18-1, 1049/23-1, 705/4-1]; RV Polarstern cruise [PS133/2, AWI_PS133/2_01, AWI_PS133/2_02]; Helmholtz Association (Alfred Wegener Institute Helmholtz Centre for Polar and Marine Research); Polarstern cruise via the MARUM Incentive Funds Initiative; AWI core repository [PS133/2_17-13]; Alfred Wegener Institute, Helmholtz Centre for Polar and Marine Research in Bremerhaven</t>
  </si>
  <si>
    <t>Deutsche For- schungsgemeinschaft (DFG)(German Research Foundation (DFG)); Deutsche Forschungsgemeinschaft (DFG)(German Research Foundation (DFG)); RV Polarstern cruise; Helmholtz Association (Alfred Wegener Institute Helmholtz Centre for Polar and Marine Research); Polarstern cruise via the MARUM Incentive Funds Initiative; AWI core repository; Alfred Wegener Institute, Helmholtz Centre for Polar and Marine Research in Bremerhaven(Helmholtz Association)</t>
  </si>
  <si>
    <t>This publication was funded by the Deutsche Forschungsgemeinschaft (DFG) within the priority program SPP 1158 '' Antarctic Research with comparative investigations in Arctic ice areas by the grants KU 683/18-1, BO 1049/23-1, and DO 705/4-1. We thank the captains and crews of RV Meteor cruise M134 and RV Polarstern cruise PS133/2 (Grant No. AWI_PS133/2_01 and AWI_PS133/2_02) (Alfred -Wegener -Institut, 2017) . We acknowledge further financial support from the Helmholtz Association (Alfred Wegener Institute Helmholtz Centre for Polar and Marine Research) and are grateful to Miriam Romer for organising the funding for participation in the Polarstern cruise via the MARUM Incentive Funds Initiative. Further, we thank the AWI core repository for providing access to gravity core PS133/2_17-13. Additionally, we thank C. Gebhardt, J. Klages, J. Wollenburg, V. Schumacher, S. Wiebe, M. Seebeck and P. Daub from the Alfred Wegener Institute, Helmholtz Centre for Polar and Marine Research in Bremerhaven, for their support. We also thank an anonymous reviewer for valuable input, which improved this contribution. Further, we thank M. Romer and N. Romer-Stange for support with SMT The Kingdom Suite and C. Ferreira for the processing of bathymetric data. All figures in this publication were created using QGIS 3.22.10 and Adobe Illustrator 2022/2023 and all maps are based on EPSG 3762.</t>
  </si>
  <si>
    <t>2666-0334</t>
  </si>
  <si>
    <t>QUAT SCI ADV</t>
  </si>
  <si>
    <t>Quat. Sci. Adv.</t>
  </si>
  <si>
    <t>10.1016/j.qsa.2023.100156</t>
  </si>
  <si>
    <t>FJ4W9</t>
  </si>
  <si>
    <t>WOS:001145390100001</t>
  </si>
  <si>
    <t>Imaki, T; Kokubun, N; Shiomi, K; Takahashi, A</t>
  </si>
  <si>
    <t>Imaki, Toshitaka; Kokubun, Nobuo; Shiomi, Kozue; Takahashi, Akinori</t>
  </si>
  <si>
    <t>Speed consensus and behavioural coordination of Adelie penguins travelling on sea ice in groups</t>
  </si>
  <si>
    <t>ANIMAL BEHAVIOUR</t>
  </si>
  <si>
    <t>behavioural classification; behavioural coordination; biologging; collective behaviour; locomotion behaviour; penguin; social interaction</t>
  </si>
  <si>
    <t>DECISION-MAKING; SPLITTING BEHAVIOR; DIVING BEHAVIOR; ANIMAL GROUPS; LEADERSHIP; PRINCIPLE; FLOCKING; WRONGS; STROKE</t>
  </si>
  <si>
    <t>Group-living animals must coordinate their behaviour to maintain group cohesion. Therefore, documenting when and how wild animals coordinate their behaviour in groups is important for inferring the cost of collective behaviour. However, previous field studies focused on certain species exhibiting strong social relationships, and limited information is available on species that form fluid groups, which may show different behavioural coordination. Here, using biologging, we examined the stability and mechanism of group cohesion in Adelie penguins, Pygoscelis adeliae, travelling on sea ice. GPS tracking showed that two or three birds in each of three groups departed the colony at the same time, travelled together for several hours and reached the ice edge simultaneously. In all groups, penguins achieved a consensus on travelling speed, maintaining group cohesion until reaching the ice edge. We collected records of three-axis acceleration for a group of three birds, which allowed us to classify their behaviours (resting, walking or tobogganing) and examine behavioural coordination among the group members in detail. Two possible mechanisms of synchronous travelling were speculated. First, the group members match their timing of resting, suggesting that the onset of resting of an individual is followed by that of the others. Second, locomotion modes (walking/tobogganing) and locomotion speed in each mode while travelling in groups differ between individuals. To maintain group cohesion, penguins may adjust either the speed in each locomotion mode or the proportional use of the locomotion mode to match the overall travelling speed. Additionally, the tracked penguins alternated their relative spatial positions and the order of synchronous resting initiation, suggesting mutual social influences. Overall, Adelie penguins actively maintain group cohesion with occasional members by mutually coordinating their behaviours while travelling in groups on sea ice. (c) 2023 The Authors. Published by Elsevier Ltd on behalf of The Association for the Study of Animal Behaviour.</t>
  </si>
  <si>
    <t>[Imaki, Toshitaka; Kokubun, Nobuo; Takahashi, Akinori] Grad Univ Adv Studies SOKENDAI, Dept Polar Sci, Tokyo, Japan; [Kokubun, Nobuo; Takahashi, Akinori] Natl Inst Polar Res, Tokyo, Japan; [Shiomi, Kozue] Tohoku Univ, Frontier Res Inst Interdisciplinary Sci, Sendai, Miyagi, Japan</t>
  </si>
  <si>
    <t>Graduate University for Advanced Studies - Japan; Research Organization of Information &amp; Systems (ROIS); National Institute of Polar Research (NIPR) - Japan; Tohoku University</t>
  </si>
  <si>
    <t>Imaki, T (corresponding author), Grad Univ Adv Studies SOKENDAI, Dept Polar Sci, Tokyo, Japan.</t>
  </si>
  <si>
    <t>imaki.toshitaka@nipr.ac.jp</t>
  </si>
  <si>
    <t>Imaki, Toshitaka/0000-0002-4039-5583</t>
  </si>
  <si>
    <t>Japanese Antarctic Research Expedition [AP0922]; JSPS KAKENHI [16H06541, 17H05983, 22K21355]</t>
  </si>
  <si>
    <t>Japanese Antarctic Research Expedition; JSPS KAKENHI(Ministry of Education, Culture, Sports, Science and Technology, Japan (MEXT)Japan Society for the Promotion of ScienceGrants-in-Aid for Scientific Research (KAKENHI))</t>
  </si>
  <si>
    <t>We extend our heartfelt thanks to all the members and crews of the 59th Japanese Antarctic Research Expedition and icebreaker 'Shirase' for their substantial support with field logistics, especially to Dr Ui Shimabukuro, for her support during the recovery of data loggers. We acknowledge the use of imagery from the Worldview Snapshots application (https://wvs.earthdata.nasa.gov) and part of the Earth Observing System Data and Information System (EOSDIS) . We acknowledge the use of the Norwegian Polar Institute's Quantarctica package for mapping. Fieldwork was conducted with permission from the Ministry of the Environment, Government of Japan. We thank Editage (http:// www.editage.com ) for editing and reviewing this manuscript for English language. This work was supported by the Japanese Antarctic Research Expedition (grant number: AP0922) and JSPS KAKENHI (grant numbers: 16H06541, 17H05983, 22K21355) grants.</t>
  </si>
  <si>
    <t>ACADEMIC PRESS LTD- ELSEVIER SCIENCE LTD</t>
  </si>
  <si>
    <t>24-28 OVAL RD, LONDON NW1 7DX, ENGLAND</t>
  </si>
  <si>
    <t>0003-3472</t>
  </si>
  <si>
    <t>1095-8282</t>
  </si>
  <si>
    <t>ANIM BEHAV</t>
  </si>
  <si>
    <t>Anim. Behav.</t>
  </si>
  <si>
    <t>10.1016/j.anbehav.2023.11.014</t>
  </si>
  <si>
    <t>Behavioral Sciences; Zoology</t>
  </si>
  <si>
    <t>ET0M4</t>
  </si>
  <si>
    <t>WOS:001141059600001</t>
  </si>
  <si>
    <t>Bertrand, S; Tjallingii, R; Kylander, ME; Wilhelm, B; Roberts, SJ; Arnaud, F; Brown, E; Bindler, R</t>
  </si>
  <si>
    <t>Bertrand, Sebastien; Tjallingii, Rik; Kylander, Malin E.; Wilhelm, Bruno; Roberts, Stephen J.; Arnaud, Fabien; Brown, Erik; Bindler, Richard</t>
  </si>
  <si>
    <t>Inorganic geochemistry of lake sediments: A review of analytical techniques and guidelines for data interpretation</t>
  </si>
  <si>
    <t>XRF core scanner; Normalization; Calibration; Compositional data; Statistical exploration; Grain size; Provenance</t>
  </si>
  <si>
    <t>RARE-EARTH-ELEMENTS; ROCK-EVAL PYROLYSIS; MARINE-SEDIMENTS; CARBONATE CONTENT; SIZE DISTRIBUTION; ORGANIC-MATTER; XRF-SCANNER; CORE; RECORD; RICH</t>
  </si>
  <si>
    <t>Inorganic geochemistry is a powerful tool in paleolimnology. It has become one of the most commonly used techniques to analyze lake sediments, particularly due to the development and increasing availability of XRF core scanners during the last two decades. It allows for the reconstruction of the continuous processes that occur in lakes and their watersheds, and it is ideally suited to identify event deposits. How earth surface processes and limnological conditions are recorded in the inorganic geochemical composition of lake sediments is, however, relatively complex. Here, we review the main techniques used for the inorganic geochemical analysis of lake sediments and we offer guidance on sample preparation and instrument selection. We then summarize the best practices to process and interpret bulk inorganic geochemical data. In particular, we emphasize that log-ratio transformation is critical for the rigorous statistical analysis of geochemical datasets, whether they are obtained by XRF core scanning or more traditional techniques. In addition, we show that accurately interpreting inorganic geochemical data requires a sound understanding of the main components of the sediment (organic matter, biogenic silica, carbonates, lithogenic particles) and mineral assemblages. Finally, we provide a series of examples illustrating the potential and limits of inorganic geochemistry in paleolimnology. Although the examples presented in this paper focus on lake and fjord sediments, the principles presented here also apply to other sedimentary environments.</t>
  </si>
  <si>
    <t>[Bertrand, Sebastien] Univ Ghent, Renard Ctr Marine Geol, Ghent, Belgium; [Bertrand, Sebastien] Paris Saclay Univ, GEOPS, Orsay, France; [Tjallingii, Rik] GFZ German Res Ctr Geosci, Sect Climate Dynam &amp; Landscape Evolut, Potsdam, Germany; [Kylander, Malin E.] Stockholm Univ, Dept Geol Sci, Stockholm, Sweden; [Kylander, Malin E.] Stockholm Univ, Bolin Ctr Climate Res, Stockholm, Sweden; [Wilhelm, Bruno] Univ Grenoble Alpes, Grenoble, France; [Roberts, Stephen J.] British Antarctic Survey, Cambridge, England; [Arnaud, Fabien] Univ Savoie Mt Blanc, EDYTEM, Le Bourget Du Lac, France; [Brown, Erik] Univ Minnesota, Duluth, MN USA; [Bindler, Richard] Umea Univ, Umea, Sweden</t>
  </si>
  <si>
    <t>Ghent University; Universite Paris Saclay; Helmholtz Association; Helmholtz-Center Potsdam GFZ German Research Center for Geosciences; Stockholm University; Communaute Universite Grenoble Alpes; Universite Grenoble Alpes (UGA); UK Research &amp; Innovation (UKRI); Natural Environment Research Council (NERC); NERC British Antarctic Survey; Centre National de la Recherche Scientifique (CNRS); Universite Savoie Mont Blanc; University of Minnesota System; University of Minnesota Duluth; Umea University</t>
  </si>
  <si>
    <t>Bertrand, S (corresponding author), Univ Ghent, Renard Ctr Marine Geol, Ghent, Belgium.;Bertrand, S (corresponding author), Paris Saclay Univ, GEOPS, Orsay, France.</t>
  </si>
  <si>
    <t>sebastien.bertrand@universite-paris-saclay.fr</t>
  </si>
  <si>
    <t>Brown, Erik T/0000-0001-7154-2729</t>
  </si>
  <si>
    <t>French Ministry of Higher Education, Research, and Innovation; Agence Nationale de la Recherche (ANR) , France</t>
  </si>
  <si>
    <t>French Ministry of Higher Education, Research, and Innovation; Agence Nationale de la Recherche (ANR) , France(Agence Nationale de la Recherche (ANR))</t>
  </si>
  <si>
    <t>This review results from enlightening discussions with many paleolimnologists and geochemists over the last decade. Katleen Wils, Jana Molenaar, Loic Piret, and Matthias Troch are thanked for constructive comments on an earlier version of this manuscript. Dawei Liu is acknowledged for providing the data used to make Figs. 12 and 17. We wish to thank Gert-Jan Weltje for convincing us of the need to use logratios for compositional data analysis. SB acknowledges the French Ministry of Higher Education, Research, and Innovation and the Agence Nationale de la Recherche (ANR) , France, for financing his research chair at Paris-Saclay University. The authors are also grateful to the three anonymous reviewers for their constructive suggestions. This article is dedicated to the memory of Bruno Wilhelm, who tragically passed away during the writing of this manuscript.</t>
  </si>
  <si>
    <t>10.1016/j.earscirev.2023.104639</t>
  </si>
  <si>
    <t>ET0L2</t>
  </si>
  <si>
    <t>Green Accepted, hybrid, Green Published</t>
  </si>
  <si>
    <t>WOS:001141058400001</t>
  </si>
  <si>
    <t>Hofsteenge, MG; Cullen, NJ; Conway, JP; Reijmer, CH; van den Broeke, MR; Katurji, M</t>
  </si>
  <si>
    <t>Hofsteenge, Marte G.; Cullen, Nicolas J.; Conway, Jonathan P.; Reijmer, Carleen H.; van den Broeke, Michiel R.; Katurji, Marwan</t>
  </si>
  <si>
    <t>Meteorological drivers of melt at two nearby glaciers in the McMurdo Dry Valleys of Antarctica</t>
  </si>
  <si>
    <t>JOURNAL OF GLACIOLOGY</t>
  </si>
  <si>
    <t>Antarctic glaciology; energy balance; glacier meteorology; ice/atmosphere interactions; melt-surface</t>
  </si>
  <si>
    <t>SURFACE-ENERGY BALANCE; TAYLOR VALLEY; FOEHN WINDS; SNOW; ICE; ALBEDO; EQUILIBRIUM; RADIATION; ORIGIN; FLUXES</t>
  </si>
  <si>
    <t>We study the meteorological drivers of melt at two glaciers in Taylor Valley, Antarctica, using 22 years of weather station observations and surface energy fluxes. The glaciers are located only 30 km apart, but have different local climates; Taylor Glacier is generally drier and windier than Commonwealth Glacier, which receives more snowfall due to its proximity to the coast. Commonwealth Glacier shows more inter-annual melt variability, explained by variable albedo due to summer snowfall events. A significant increase in surface melt at Commonwealth Glacier is associated with a decrease in summer minimum albedo. Inter-annual variability in melt at both glaciers is linked to degree-days above freezing during fohn events, occurring more frequently at Taylor Glacier. At Taylor Glacier melt occurs most often with positive air temperatures, but fohn conditions also favour sublimation, which cools the surface and prevents melt for the majority of the positive air temperatures. At Commonwealth Glacier, most of the melt instead occurs with sub-zero air temperatures, driven by strong solar radiative heating. Future melt at Taylor Glacier will likely be more sensitive to changes in fohn events, while Commonwealth Glacier will be impacted more by changes in near coastal weather, where moisture inputs can drive cloud cover, snowfall and change albedo.</t>
  </si>
  <si>
    <t>[Hofsteenge, Marte G.; Cullen, Nicolas J.] Univ Otago, Sch Geog, Dunedin, New Zealand; [Conway, Jonathan P.] Natl Inst Water &amp; Atmospher Res NIWA, Lauder, New Zealand; [Reijmer, Carleen H.; van den Broeke, Michiel R.] Univ Utrecht, Inst Marine &amp; Atmospher Res Utrecht IMAU, Utrecht, Netherlands; [Katurji, Marwan] Univ Canterbury, Sch Earth &amp; Environm, Christchurch, New Zealand</t>
  </si>
  <si>
    <t>University of Otago; National Institute of Water &amp; Atmospheric Research (NIWA) - New Zealand; Utrecht University; University of Canterbury</t>
  </si>
  <si>
    <t>Hofsteenge, MG (corresponding author), Univ Otago, Sch Geog, Dunedin, New Zealand.</t>
  </si>
  <si>
    <t>marte.hofsteenge@postgrad.otago.ac.nz</t>
  </si>
  <si>
    <t>van den Broeke, Michiel Roland/F-7867-2011</t>
  </si>
  <si>
    <t>van den Broeke, Michiel Roland/0000-0003-4662-7565; Cullen, Nicolas James/0000-0001-8877-1325; Reijmer, Carleen/0000-0001-8299-3883; Katurji, Marwan/0000-0002-3368-1469</t>
  </si>
  <si>
    <t>Royal Society Te Apamacr;rangi; McMurdo Dry Valleys Long Term Ecological Research Project; Antarctic Science Platform [ANTA1801, RDF-UOC1701]; Royal Society of New Zealand [OPP-1637708]; NSF-supported McMurdo Dry Valleys Long Term Ecological Research programme</t>
  </si>
  <si>
    <t>Royal Society Te Apamacr;rangi; McMurdo Dry Valleys Long Term Ecological Research Project; Antarctic Science Platform; Royal Society of New Zealand(Royal Society of New Zealand); NSF-supported McMurdo Dry Valleys Long Term Ecological Research programme</t>
  </si>
  <si>
    <t>The authors thank the editor and reviewer for their constructive comments. The authors wish to thank all the people who have helped maintain the instruments in the field part of the McMurdo Dry Valleys Long Term Ecological Research Project (https://mcm.lternet.edu/). This research has been supported by the Antarctic Science Platform, and the Royal Society of New Zealand (grant no. ANTA1801 and RDF-UOC1701). The meteorological observations used in this study were provided by the NSF-supported McMurdo Dry Valleys Long Term Ecological Research programme (OPP-1637708).</t>
  </si>
  <si>
    <t>0022-1430</t>
  </si>
  <si>
    <t>1727-5652</t>
  </si>
  <si>
    <t>J GLACIOL</t>
  </si>
  <si>
    <t>J. Glaciol.</t>
  </si>
  <si>
    <t>2023 DEC 18</t>
  </si>
  <si>
    <t>10.1017/jog.2023.98</t>
  </si>
  <si>
    <t>CP9W2</t>
  </si>
  <si>
    <t>WOS:001126576200001</t>
  </si>
  <si>
    <t>La Mesa, M; Eastman, JT</t>
  </si>
  <si>
    <t>La Mesa, Mario; Eastman, Joseph T.</t>
  </si>
  <si>
    <t>Assessing current knowledge and future challenges of age determination, life span and growth performance in notothenioid fishes: a review</t>
  </si>
  <si>
    <t>REVIEWS IN FISH BIOLOGY AND FISHERIES</t>
  </si>
  <si>
    <t>Review; Early Access</t>
  </si>
  <si>
    <t>Ageing methodologies; Growth performance; Longevity; Notothenioid fishes; Southern Ocean</t>
  </si>
  <si>
    <t>TOOTHFISH DISSOSTICHUS-ELEGINOIDES; RAMSAYI REGAN 1913; TERRA-NOVA BAY; ANTARCTIC TOOTHFISH; ROSS SEA; CHAENOCEPHALUS-ACERATUS; HISTORY TRAITS; SOUTH GEORGIA; ICEFISH; VALIDATION</t>
  </si>
  <si>
    <t>Age determination is an important tool in fishery research and management, providing key data for growth modelling and population dynamics. Knowledge of longevity and growth performance of fishes is especially important in defining their life history strategies. In this review we summarize all published data on the ageing of notothenioid fishes of the Southern Ocean, and evaluate factors influencing growth performance and longevity in a phylogenetic context. Most age estimates in notothenioids are based on otolith readings and application of the von Bertalanffy growth model to describe body growth throughout the life span. Growth performance and longevity both exhibit wide ranges between 3.5 and 5.5 and 7-52 years, respectively. However, growth performance is positively related to asymptotic fish size, whereas longevity is negatively related to the Brody growth rate coefficient. Lifestyle and latitudinal and depth distributions are the main factors influencing the life history traits of notothenioids. Growth performance significantly increases from benthic to pelagic species and declines toward higher latitudes. Conversely, longevity is higher in pelagic species and shows a positive trend with latitude and depth of occurrence. There is a trend toward an increase of both traits in the phylogenetically derived families, such as bathydraconids and channichthyids. Compared to Arctic fishes, notothenioids have similar values for growth performance and longevity. Currently the major gaps in our knowledge of age determination of notothenioids are the lack of validation of age estimates and the relatively low number of species studied. Future efforts have to provide more reliable and objective estimates of age through multiple comparisons among different laboratories and application of validation tools.</t>
  </si>
  <si>
    <t>[La Mesa, Mario; Eastman, Joseph T.] Natl Res Council CNR, Inst Polar Sci ISP, Area Ricerca Bologna, Via P Gobetti 101, I-40129 Bologna, Italy; [Eastman, Joseph T.] Ohio Univ, Dept Biomed Sci, Athens, OH 45701 USA</t>
  </si>
  <si>
    <t>Consiglio Nazionale delle Ricerche (CNR); Istituto di Scienze Polari (ISP-CNR); University System of Ohio; Ohio University</t>
  </si>
  <si>
    <t>La Mesa, M (corresponding author), Natl Res Council CNR, Inst Polar Sci ISP, Area Ricerca Bologna, Via P Gobetti 101, I-40129 Bologna, Italy.</t>
  </si>
  <si>
    <t>mario.lamesa@cnr.it</t>
  </si>
  <si>
    <t>Eastman, Joseph T/0000-0003-3868-261X</t>
  </si>
  <si>
    <t>DORDRECHT</t>
  </si>
  <si>
    <t>VAN GODEWIJCKSTRAAT 30, 3311 GZ DORDRECHT, NETHERLANDS</t>
  </si>
  <si>
    <t>0960-3166</t>
  </si>
  <si>
    <t>1573-5184</t>
  </si>
  <si>
    <t>REV FISH BIOL FISHER</t>
  </si>
  <si>
    <t>Rev. Fish. Biol. Fish.</t>
  </si>
  <si>
    <t>10.1007/s11160-023-09829-9</t>
  </si>
  <si>
    <t>CQ5M9</t>
  </si>
  <si>
    <t>WOS:001126723100001</t>
  </si>
  <si>
    <t>Tengku-Mazuki, TA; Darham, S; Convey, P; Shaharuddin, NA; Zulkharnain, A; Khalil, KA; Zahri, KNM; Subramaniam, K; Merican, F; Gomez-Fuentes, C; Ahmad, SA</t>
  </si>
  <si>
    <t>Tengku-Mazuki, Tengku Athirrah; Darham, Syazani; Convey, Peter; Shaharuddin, Noor Azmi; Zulkharnain, Azham; Khalil, Khalilah Abdul; Zahri, Khadijah Nabilah Mohd; Subramaniam, Kavilasni; Merican, Faradina; Gomez-Fuentes, Claudio; Ahmad, Siti Aqlima</t>
  </si>
  <si>
    <t>Effects of heavy metals on bacterial growth parameters in degradation of phenol by an Antarctic bacterial consortium</t>
  </si>
  <si>
    <t>Heavy metals; Kinetic growth; Phenol; Antarctic; Bacteria</t>
  </si>
  <si>
    <t>SILVER ION; BIODEGRADATION; SOIL; TEMPERATURE; OIL; BIOREMEDIATION; MECHANISM; KINETICS; IMPACTS; STRESS</t>
  </si>
  <si>
    <t>Antarctica has often been perceived as a pristine continent until the recent few decades as pollutants have been observed accruing in the Antarctic environment. Irresponsible human activities such as accidental oil spills, waste incineration and sewage disposal are among the primary anthropogenic sources of heavy metal contaminants in Antarctica. Natural sources including animal excrement, volcanism and geological weathering also contribute to the increase of heavy metals in the ecosystem. A microbial growth model is presented for the growth of a bacterial cell consortium used in the biodegradation of phenol in media containing different metal ions, namely arsenic (As), cadmium (Cd), aluminium (Al), nickel (Ni), silver (Ag), lead (Pb) and cobalt (Co). Bacterial growth was inhibited by these ions in the rank order of Al &lt; As &lt; Co &lt; Pb &lt; Ni &lt; Cd &lt; Ag. Greatest bacterial growth occurred in 1 ppm Al achieving an OD600 of 0.985 and lowest in 1 ppm Ag with an OD600 of 0.090. At a concentration of 1.0 ppm, Ag had a considerable effect on the bacterial consortium, inhibiting the degradation of phenol, whereas this concentration of the other metal ions tested had no effect on degradation. The biokinetic growth model developed supports the suitability of the bacterial consortium for use in phenol degradation.</t>
  </si>
  <si>
    <t>[Tengku-Mazuki, Tengku Athirrah; Darham, Syazani; Shaharuddin, Noor Azmi; Zahri, Khadijah Nabilah Mohd; Subramaniam, Kavilasni; Ahmad, Siti Aqlima] Univ Putra Malaysia, Fac Biotechnol &amp; Biomol Sci, Dept Biochem, Serdang 43400, Selangor, Malaysia; [Convey, Peter] NERC, British Antarctic Survey, High Cross,Madingley Rd, Cambridge CB3 0ET, England; [Convey, Peter] Univ Johannesburg, Dept Zool, POB 524, ZA-2006 Auckland Pk, South Africa; [Convey, Peter] Millennium Inst Biodivers Antarctic &amp; Subantarct E, Las Palmeras 3425, Santiago, Chile; [Zulkharnain, Azham] Shibaura Inst Technol, Coll Syst Engn &amp; Sci, Dept Biosci &amp; Engn, 307 Fukasaku,Minuma Ku, Saitama 3378570, Japan; [Khalil, Khalilah Abdul] Univ Teknol MARA, Sch Biol, Fac Appl Sci, Sect 2, Shah Alam 45000, Selangor, Malaysia; [Merican, Faradina] Univ Sains Malaysia, Sch Biol Sci, Minden 11800, Pulau Pinang, Malaysia; [Gomez-Fuentes, Claudio] Univ Magallanes, Dept Chem Engn, Avda Bulnes 01855, Punta Arenas, Chile; [Gomez-Fuentes, Claudio; Ahmad, Siti Aqlima] Univ Magallanes, Ctr Res &amp; Antarctic Environm Monitoring CIMAA, Avda Bulnes 01855, Punta Arenas, Chile</t>
  </si>
  <si>
    <t>Universiti Putra Malaysia; UK Research &amp; Innovation (UKRI); Natural Environment Research Council (NERC); NERC British Antarctic Survey; University of Johannesburg; Shibaura Institute of Technology; Universiti Teknologi MARA; Universiti Sains Malaysia; Universidad de Magallanes; Universidad de Magallanes</t>
  </si>
  <si>
    <t>Ahmad, SA (corresponding author), Univ Putra Malaysia, Fac Biotechnol &amp; Biomol Sci, Dept Biochem, Serdang 43400, Selangor, Malaysia.;Ahmad, SA (corresponding author), Univ Magallanes, Ctr Res &amp; Antarctic Environm Monitoring CIMAA, Avda Bulnes 01855, Punta Arenas, Chile.</t>
  </si>
  <si>
    <t>aqlima@upm.edu.my</t>
  </si>
  <si>
    <t>Zahri, Khadijah/0009-0000-2963-3109; Subramaniam, Kavilasni/0009-0002-0712-3065</t>
  </si>
  <si>
    <t>Universiti Putra Malaysia, PUTRA Berimpak [9660000]; Centro de Investigacion y Monitoreo Ambiental Antarctico (CIMAA); NERC</t>
  </si>
  <si>
    <t>Universiti Putra Malaysia, PUTRA Berimpak; Centro de Investigacion y Monitoreo Ambiental Antarctico (CIMAA); NERC(UK Research &amp; Innovation (UKRI)Natural Environment Research Council (NERC))</t>
  </si>
  <si>
    <t>This study was supported by Universiti Putra Malaysia, PUTRA Berimpak (9660000), and Centro de Investigacion y Monitoreo Ambiental Antarctico (CIMAA). Peter Convey is supported by NERC core funding to the BAS 'Biodiversity, Evolution and Adaptation' Team.</t>
  </si>
  <si>
    <t>10.1007/s42770-023-01215-8</t>
  </si>
  <si>
    <t>WOS:001127128200002</t>
  </si>
  <si>
    <t>Landaeta, MF; Pareja, M; Huene, M; Zenteno-Devaud, L; Vera-Duarte, J; Bernal-Duran, V; Castillo, MI; La Mesa, M</t>
  </si>
  <si>
    <t>Landaeta, Mauricio F.; Pareja, Matias; Huene, Mathias; Zenteno-Devaud, Lisette; Vera-Duarte, Javier; Bernal-Duran, Valentina; Castillo, Manuel I.; La Mesa, Mario</t>
  </si>
  <si>
    <t>Morphology and diet are decoupled in nearshore notothenoids from King George Island, West Antarctica</t>
  </si>
  <si>
    <t>JOURNAL OF FISH BIOLOGY</t>
  </si>
  <si>
    <t>diet; geometric morphometrics; Harpagifer antarcticus; Notothenia coriiceps; Notothenia rossii; South Shetland Islands</t>
  </si>
  <si>
    <t>SOUTH-SHETLAND ISLANDS; LIFE-HISTORY TRAITS; HARPAGIFER-ANTARCTICUS; ADAPTIVE RADIATION; FEEDING ECOLOGY; GEOMETRIC MORPHOMETRICS; SHAPE CHANGES; N-CORIICEPS; POTTER COVE; FISH</t>
  </si>
  <si>
    <t>Antarctic notothenioid fishes show wide adaptive morphological radiation, linked to habitat preferences and food composition. However, direct comparisons of phenotypic variability and feeding habits are still lacking, particularly in stages inhabiting nearshore areas. To assess these relationships, we collected juveniles and adults of the most common benthic species inhabiting shallow waters off the South Shetland Islands within a similar size range, the plunderfish Harpagifer antarcticus, the black rockcod Notothenia coriiceps, and the marbled rockcod Notothenia rossii. Individual size ranges varied from 44.0 to 98.9 mm standard length (LS) (H. antarcticus), from 95.8 to 109.3 mm LS (N. coriiceps), and from 63.0 to 113.0 mm LS (N. rossii). Notothenioid fish showed different morphospace variability, being larger for H. antarcticus than the other Notothenia species and associated with the position of the posterior end of the operculum, along with the location and relative size of the eye. The evolutionary allometry was low, but the static allometry was much higher, especially for H. antarcticus and N. rossii. The diet was mainly carnivorous, consisting of amphipods and euphausiids. Macroalgae were scarce or totally absent in the gut contents of all species. Only H. antarcticus showed an increase in the prey number and ingested prey volume with fish size. Finally, there was a significant covariation between shape changes and LS in all species (allometric effects), however, not with prey composition, probably due to the small size range or ontogenetic stage and the relative similarity (or lack of contrast) in the benthic environment that they utilized.</t>
  </si>
  <si>
    <t>[Landaeta, Mauricio F.; Pareja, Matias; Vera-Duarte, Javier; Bernal-Duran, Valentina] Univ Valparaiso, Fac Ciencias, Lab Ictiol &amp; Interacc Biofis LABITI, Inst Biol, Valparaiso, Chile; [Landaeta, Mauricio F.; Castillo, Manuel I.] Univ Valparaiso, Ctr Observac Marino Estudios Riesgos Ambiente Cost, Vina Del Mar, Chile; [Landaeta, Mauricio F.] Millennium Nucleus Ecol &amp; Conservat Temperate Meso, La Cruces, Chile; [Huene, Mathias] Ctr Invest Conservac Ecosistemas Australes ICEA, Punta Arenas, Chile; [Huene, Mathias] Rewilding Chile, Puerto Varas, Chile; [Zenteno-Devaud, Lisette] Ctr Estudios Cuaternario Fuego Patagonia &amp; Antart, Ave Espana 184, Punta Arenas, Chile; [Vera-Duarte, Javier] Univ Catolica Santisima Concepcion, Fac Ciencias, Programa Magister Ecol Marina, Concepcion, Chile; [Bernal-Duran, Valentina] Millenium Inst Biodivers Antarctic &amp; Subantarct Ec, Santiago, Chile; [Castillo, Manuel I.] Univ Valparaiso, Fac Ciencias Mar &amp; Recursos Nat, Lab Oceanog Fis &amp; Satelital LOFISAT, Vina Del Mar, Chile; [La Mesa, Mario] Ist Sci Polari ISP, CNR, Area Ric Bologna, Bologna, Italy; [Landaeta, Mauricio F.] Ave Gran Bretana 1111, Valparaiso, Chile</t>
  </si>
  <si>
    <t>Universidad de Valparaiso; Universidad de Valparaiso; Universidad Catolica de la Santisima Concepcion; Universidad de Valparaiso; Consiglio Nazionale delle Ricerche (CNR); Istituto di Scienze Polari (ISP-CNR)</t>
  </si>
  <si>
    <t>Landaeta, MF (corresponding author), Univ Valparaiso, Ctr Observac Marino Estudios Riesgos Ambiente Cost, Vina Del Mar, Chile.;Landaeta, MF (corresponding author), Millennium Nucleus Ecol &amp; Conservat Temperate Meso, La Cruces, Chile.;Landaeta, MF (corresponding author), Ave Gran Bretana 1111, Valparaiso, Chile.</t>
  </si>
  <si>
    <t>mauricio.landaeta@uv.cl</t>
  </si>
  <si>
    <t>Duarte, Javier Vera/KHY-2233-2024; Bernal-Durán, Valentina/JWA-2081-2024</t>
  </si>
  <si>
    <t>Duarte, Javier Vera/0000-0002-0539-1245; Bernal-Durán, Valentina/0000-0002-0567-910X; Landaeta, Mauricio/0000-0002-5199-5103</t>
  </si>
  <si>
    <t>Instituto Antartico Chileno (INACH) [RT_08-18, DT_11-20, M_10-11]; Agencia Nacional de Investigacion y Desarrollo (ANID) [ATE220033]; Project FONDECYT [3190455]</t>
  </si>
  <si>
    <t>Instituto Antartico Chileno (INACH); Agencia Nacional de Investigacion y Desarrollo (ANID); Project FONDECYT(Comision Nacional de Investigacion Cientifica y Tecnologica (CONICYT)CONICYT FONDECYT)</t>
  </si>
  <si>
    <t>This research was funded by Instituto Antartico Chileno (INACH) project RT_08-18, grant to MFL, MIC and MLM, DT_11-20, grant to VBD, M_10-11, grant to MH, by Agencia Nacional de Investigacion y Desarrollo (ANID) Anillo ATE220033, grant to MFL, and project FONDECYT No. 3190455, grant to LZ.</t>
  </si>
  <si>
    <t>0022-1112</t>
  </si>
  <si>
    <t>1095-8649</t>
  </si>
  <si>
    <t>J FISH BIOL</t>
  </si>
  <si>
    <t>J. Fish Biol.</t>
  </si>
  <si>
    <t>10.1111/jfb.15632</t>
  </si>
  <si>
    <t>NO3U0</t>
  </si>
  <si>
    <t>WOS:001129970900001</t>
  </si>
  <si>
    <t>Padilha, JAG; Santos, S; Willems, T; Souza-Kasprzyk, J; Leite, A; Cunha, LST; Costa, ES; Pessoa, AR; Eens, M; Prinsen, E; Torres, JPM; Das, K; Lepoint, G; Dorneles, PR; Bervoets, L; Groffen, T</t>
  </si>
  <si>
    <t>Padilha, J. A. G.; Santos, S.; Willems, T.; Souza-Kasprzyk, J.; Leite, A.; Cunha, L. S. T.; Costa, E. S.; Pessoa, A. R.; Eens, M.; Prinsen, E.; Torres, J. P. M.; Das, K.; Lepoint, G.; Dorneles, P. R.; Bervoets, Lieven; Groffen, T.</t>
  </si>
  <si>
    <t>Assessing the trophic ecology and migration on the exposure of cape petrels and Wilson's storm petrels from Antarctica to perfluoroalkylated substances, trace and major elements</t>
  </si>
  <si>
    <t>ENVIRONMENTAL RESEARCH</t>
  </si>
  <si>
    <t>Metals; PFAS; Seabirds; Feathers; Polar environment</t>
  </si>
  <si>
    <t>POLYFLUOROALKYL SUBSTANCES; FORAGING STRATEGIES; POLAR SKUAS; FOOD WEBS; FEATHERS; BIRDS; PENGUINS; PLASMA; ISLAND; ACIDS</t>
  </si>
  <si>
    <t>Chemical pollution is a global concern as contaminants are transported and reach even the remote regions of Antarctica. serve as important sentinels of pollution due to their high trophic position and wide distribution. This study examines the influence of migration and trophic ecology on the exposure of two Antarctic , Wilson's storm petrel (Oceanites oceanicus - Ooc), and Cape petrel (Daption capense - Dca), to chemical elements and perfluoroalkyl substances (PFAS). Our methodology involved assessing the concentration of these pollutants in feather samples obtained from carcasses, offering a practical means for monitoring contamination. Trace and major element concentrations were comparable in both species, suggesting that migratory patterns have a minimal impact on exposure levels. However, Ooc had higher concentration of PFAS compared to Dca (mean, ng g(-1) dry weight, PFOA: Ooc:0.710, Dca:0.170; PFTrDA: Ooc:0.550, Dca:0.360, and PFTeDA: Ooc:1.01, Dca:0.190), indicating that migration to the more polluted Northern Hemisphere significantly affects PFAS exposure. Furthermore, while no strong associations were found between either trace elements or PFAS and the three stable isotopes (delta C-13, delta N-15, and delta S-34), a negative association was observed between PFUnDA and d15N, hinting at potential biodilution. The research concludes that the migratory patterns of these seabird species affect their PFAS exposure, underscoring the critical need for further exploration and understanding of these relationships to better inform conservation strategies.</t>
  </si>
  <si>
    <t>[Padilha, J. A. G.; Souza-Kasprzyk, J.; Cunha, L. S. T.; Pessoa, A. R.; Torres, J. P. M.; Dorneles, P. R.] Fed Univ Rio de Janeiro UFRJ, Biophys Inst, Rio De Janeiro, Brazil; [Padilha, J. A. G.; Santos, S.; Leite, A.] ARNET Aquat Res Network, CBMA Ctr Mol &amp; Environm Biol, Lisbon, Portugal; [Padilha, J. A. G.; Santos, S.; Leite, A.] Univ Minho, IB S Inst Sci &amp; Innovat Biosustainabil, Dept Biol, Campus Gualtar, P-4710057 Braga, Portugal; [Willems, T.; Bervoets, Lieven; Groffen, T.] Univ Antwerp, Dept Biol, ECOSPHERE, Groenenborgerlaan 171, B-2020 Antwerp, Belgium; [Willems, T.; Prinsen, E.] Univ Antwerp, Dept Biol, Integrated Mol Plant Physiol Res IMPRes, Groenenborgerlaan 171, B-2020 Antwerp, Belgium; [Souza-Kasprzyk, J.] Adam Mickiewicz Univ, Fac Chem, Dept Analyt Chem, Ul Uniwersytetu Poznanskiego 8, PL-61614 Poznan, Poland; [Costa, E. S.] Univ Estadual Rio Grande do Sul, Environm &amp; Sustainabil, Assis Brasil St 842, Sao Francisco De Paula, RS, Brazil; [Das, K.; Dorneles, P. R.] Univ Liege, Freshwater &amp; Ocean Sci Unit Res FOCUS, Lab Oceanol, B-4000 Liege, Belgium; [Lepoint, G.] Univ Liege, Freshwater &amp; OCean Sci Unit Res FOCUS, Lab Troph &amp; Isotopes Ecol, B-4000 Liege, Belgium; [Eens, M.; Groffen, T.] Univ Antwerp, Dept Biol, Behav Ecol &amp; Ecophysiol Grp BECO, Univ Plein 1, B-2610 Antwerp, Belgium; [Padilha, J. A. G.] Univ Minho, CBMA Ctr Mol &amp; Environm Biol, Dept Biol, ARNET Aquat Res Network,Inst Sci &amp; Innovat Biosust, Campus Gualtar, P-4710057 Braga, Portugal; [Padilha, J. A. G.] Univ Minho, Inst Sci &amp; Innovat Biosustainabil, Dept Biol, IB S, Campus Gualtar, P-4710057 Braga, Portugal</t>
  </si>
  <si>
    <t>Universidade Federal do Rio de Janeiro; Universidade do Minho; University of Antwerp; University of Antwerp; Adam Mickiewicz University; Universidade Estadual do Rio Grande do Sul (UERGS); University of Liege; University of Liege; University of Antwerp; Universidade do Minho; Universidade do Minho</t>
  </si>
  <si>
    <t>Padilha, JAG (corresponding author), Fed Univ Rio de Janeiro UFRJ, Biophys Inst, Rio De Janeiro, Brazil.;Padilha, JAG (corresponding author), ARNET Aquat Res Network, CBMA Ctr Mol &amp; Environm Biol, Lisbon, Portugal.;Padilha, JAG (corresponding author), Univ Minho, IB S Inst Sci &amp; Innovat Biosustainabil, Dept Biol, Campus Gualtar, P-4710057 Braga, Portugal.;Padilha, JAG (corresponding author), Univ Minho, CBMA Ctr Mol &amp; Environm Biol, Dept Biol, ARNET Aquat Res Network,Inst Sci &amp; Innovat Biosust, Campus Gualtar, P-4710057 Braga, Portugal.;Padilha, JAG (corresponding author), Univ Minho, Inst Sci &amp; Innovat Biosustainabil, Dept Biol, IB S, Campus Gualtar, P-4710057 Braga, Portugal.</t>
  </si>
  <si>
    <t>janeide.padilha@bio.uminho.pt</t>
  </si>
  <si>
    <t>torres, joao/AAI-8390-2021; Cunha, Larissa/KGM-1405-2024</t>
  </si>
  <si>
    <t>torres, joao/0000-0002-2510-1612; Cunha, Larissa/0000-0003-0814-4175; Eens, Marcel/0000-0001-7538-3542; Prinsen, Els/0000-0003-4320-1585; de Lira Pessoa, Adriana/0000-0002-0806-5541; de Assis Guilherme Padilha, Janeide/0000-0002-1901-5822; Willems, Tim/0000-0002-2245-2126</t>
  </si>
  <si>
    <t>Research Foundation Flanders (FWO) [306703/2014-9, G038615N, 306847/2016-7, G018119N, 12ZZQ21N]; FWO [1205724N]; Brazilian National Council for Scientific and Technological Development (CNPq) [CNPq/MCT 557049/2009-1]; Rio de Janeiro State Government Research Agency [FAPERJ E-26/111.505/2010]; Universal Call CNPq-Project from PRD [432518/2016-9]; Brazilian Foundation for the Coordination and Improvement of Higher Level or Education Personnel (CAPES) [88881.154725/2017-01 88887.154724/2017-00]; Wallonie Bruxelles International (WBI, from Belgium); CNPq [306703/2014-9, 306847/2016-7]</t>
  </si>
  <si>
    <t>Research Foundation Flanders (FWO)(FWO); FWO(FWO); Brazilian National Council for Scientific and Technological Development (CNPq)(Conselho Nacional de Desenvolvimento Cientifico e Tecnologico (CNPQ)); Rio de Janeiro State Government Research Agency; Universal Call CNPq-Project from PRD; Brazilian Foundation for the Coordination and Improvement of Higher Level or Education Personnel (CAPES); Wallonie Bruxelles International (WBI, from Belgium); CNPq(Conselho Nacional de Desenvolvimento Cientifico e Tecnologico (CNPQ))</t>
  </si>
  <si>
    <t>This work was funded by the research projects G038615N, G018119N, and 12ZZQ21N of the Research Foundation Flanders (FWO) . TG is funded by a post-doctoral grant of the FWO (grant nr. 12ZZQ21N and 1205724N) . This work was also supported by the Brazilian National Council for Scientific and Technological Development (CNPq) (CNPq/MCT 557049/2009-1) and by the Rio de Janeiro State Government Research Agency (FAPERJ E-26/111.505/2010) through the project entitled: Estudos bioecologicos em Pinguins (Pygoscelis Antarctica, P. papua e P. adeliae) e skuas (Stercorarius maccormickii e C. lonnbergii) : determinacao de micropoluentes e niveis de estresse atrave's de metodos de amostragem nao invasivos, as well as through a Universal Call CNPq-Project from PRD (proc. 432518/2016-9) . This work was also funded by a scientific cooperation established between the Brazilian Foundation for the Coordination and Improvement of Higher Level or Education Personnel (CAPES-process numbers 88881.154725/2017-01 88887.154724/2017-00) and Wallonie Bruxelles International (WBI, from Belgium) , coordinated by PRD and KD. We would like to thank the Brazilian Navy, which provided logistical support in Antarctica through the Secretaria da Comissao Interministerial para os Recursos do Mar (SECIRM) . GL is a F.R.S.-FNRS research associate, and KD is a Senior F.R.S.-FNRS research associate. PRD have research grants from CNPq (PQ-1A proc. 306703/2014-9 and PQ-2 proc. 306847/2016-7, respectively.</t>
  </si>
  <si>
    <t>ACADEMIC PRESS INC ELSEVIER SCIENCE</t>
  </si>
  <si>
    <t>SAN DIEGO</t>
  </si>
  <si>
    <t>525 B ST, STE 1900, SAN DIEGO, CA 92101-4495 USA</t>
  </si>
  <si>
    <t>0013-9351</t>
  </si>
  <si>
    <t>1096-0953</t>
  </si>
  <si>
    <t>ENVIRON RES</t>
  </si>
  <si>
    <t>Environ. Res.</t>
  </si>
  <si>
    <t>10.1016/j.envres.2023.117827</t>
  </si>
  <si>
    <t>Environmental Sciences; Public, Environmental &amp; Occupational Health</t>
  </si>
  <si>
    <t>Environmental Sciences &amp; Ecology; Public, Environmental &amp; Occupational Health</t>
  </si>
  <si>
    <t>EB5B9</t>
  </si>
  <si>
    <t>WOS:001136450300001</t>
  </si>
  <si>
    <t>King, DJ; Newnham, RM; Rees, ABH; Clark, KJ; Garrett, E; Gehrels, WR; Naish, TR; Levy, RH</t>
  </si>
  <si>
    <t>King, Daniel J.; Newnham, Rewi M.; Rees, Andrew B. H.; Clark, Kate J.; Garrett, Ed; Gehrels, W. Roland; Naish, Timothy R.; Levy, Richard H.</t>
  </si>
  <si>
    <t>A ∼200-year relative sea-level reconstruction from the Wellington region (New Zealand) reveals insights into vertical land movement trends</t>
  </si>
  <si>
    <t>Saltmarsh; Foraminifera; Sea-level projections; Co-seismic uplift; Inter-seismic subsidence</t>
  </si>
  <si>
    <t>SALT-MARSH FORAMINIFERA; INTERTIDAL FORAMINIFERA; BAYESIAN-ANALYSIS; COAST; EARTHQUAKE; BRONNIMANN; MARGIN; MAINE; FAULT; RISE</t>
  </si>
  <si>
    <t>The sea-level rise threat to New Zealand's coastal cities is regionally exacerbated due to spatially varying vertical land movement (VLM). At Wellington, the capital city, situated adjacent to a major active plate boundary, strong regional spatial and temporal variability of VLM is indicated by the relatively short (similar to 25 year-long) continuous Global Navigation Satellite Systems (GNSS) network, but until now longer records of VLM have been lacking. Here, a similar to 200-year-long relative sea-level reconstruction is presented from Pauatahanui salt marsh in the northern Wellington region. The foraminifera-based relative sea-level reconstruction indicates that similar to 1 +/- 0.45 m of sudden uplift occurred during the 1855CE Mw 8.2 Wairarapa earthquake. Following this, Pauatahanui has experienced a mean rate of relative sea-level rise (1855CE to present) of 1.5 +/- 0.6 mm/yr, or 2.4 +/- 0.8 mm/yr since the start of the twentieth century, consistent with ongoing subsidence in concert with climate-driven sea -level rise. Further acceleration to &gt;3 mm/yr since the 1990s (with 4 mm/yr also possible if the full 95% con-fidence range is taken into consideration) is consistent with the globally documented acceleration in sea-level rise, although low model precision hampers confidence in this interpretation. This record is the first of its kind from a tectonically complex setting in New Zealand, shedding light on the effects of the historically sig-nificant 1855 earthquake, and fills a gap between millennial-scale and contemporary records of VLM with important implications for future sea-level projections in the region.</t>
  </si>
  <si>
    <t>[King, Daniel J.; Newnham, Rewi M.] Victoria Univ Wellington, Sch Geog Environm &amp; Earth Sci, Kelburn Parade,Kelburn, Wellington 6012, New Zealand; [King, Daniel J.; Garrett, Ed; Gehrels, W. Roland] Univ York, Dept Environm &amp; Geog, Heslington, York YO10 5DD, England; [Newnham, Rewi M.] Victoria Univ Wellington, Sch Sci Soc, Kelburn Parade,Kelburn, Wellington 6012, New Zealand; [Clark, Kate J.] GNS Sci Ltd, 1 Fairway Dr, Avalon 5010, New Zealand; [Naish, Timothy R.; Levy, Richard H.] Victoria Univ Wellington, Antarctic Res Ctr, Wellington, New Zealand</t>
  </si>
  <si>
    <t>University of York - UK; Victoria University Wellington</t>
  </si>
  <si>
    <t>Newnham, RM (corresponding author), Victoria Univ Wellington, Sch Geog Environm &amp; Earth Sci, Kelburn Parade,Kelburn, Wellington 6012, New Zealand.</t>
  </si>
  <si>
    <t>rewi.newnham@vuw.ac.nz</t>
  </si>
  <si>
    <t>MBIE (Ministry of Business, Innovation and Employment)</t>
  </si>
  <si>
    <t>MBIE (Ministry of Business, Innovation and Employment)(New Zealand Ministry of Business, Innovation and Employment (MBIE))</t>
  </si>
  <si>
    <t>Katharina Hecht (Utrecht University/Victoria University of Wellington) , Jiten Patel (Victoria University of Wellington) , Charlotte Pizer (Victoria University of Wellington) and Garth Archibald (GNS Science) are thanked for their invaluable assistance in fieldwork and surveying. Dr. Michael Lechermann (ESR Christchurch) and Dr. Levi Bourke (ESR Christchurch) are thanked for the generation of 210Pb data, and Dr. Maarten Blaauw (Queen's University, Belfast) and Adelaine Moody (Victoria University of Wellington) are thanked for their assistance in the generation of 210Pb age models. Dr. Valerie van den Bos (Victoria University of Wellington) is thanked for her work preparing our pollen samples for analysis, and her help with coding issues. Dr. Sophie Williams is also thanked for her useful discussions and further help with coding issues. Dez Tessler is also thanked for help with issues affecting the RTK GPS device during fieldwork. We also thank Marianna Terezow (GNS Science) , Dr. Martin Crundwell (GNS Science) , and Dr. Richard Pearce (National Oceanography Centre, Southampton) for theirhelp with scanning electron microscopy, used to generate the micro-graphs presented in Fig. 2. Rohini Biradavolu (Victoria University of Wellington) and the staff of Arapaki Manners Library are thanked for their assistance in finding difficult-to-access literature. Furthermore, Dr. Bruce Hayward is thanked for his invaluable discussions and opinions over the course of this project. This project was funded by and is a contribution to the NZ SeaRise Project, an MBIE (Ministry of Business, Innovation and Employment) -funded program. Data are available at: httphttps://doi.org/10.6084/m 9.figshare.23618931r help with scanning electron microscopy, used to generate the micro-graphs presented in Fig. 2. Rohini Biradavolu (Victoria University of Wellington) and the staff of Arapaki Manners Library are thanked for their assistance in finding difficult-to-access literature. Furthermore, Dr. Bruce Hayward is thanked for his invaluable discussions and opinions over the course of this project. This project was funded by and is a contribution to the NZ SeaRise Project, an MBIE (Ministry of Business, Innovation and Employment) -funded program. Data are available at: httphttps://doi.org/10.6084/m 9.figshare.23618931</t>
  </si>
  <si>
    <t>10.1016/j.margeo.2023.107199</t>
  </si>
  <si>
    <t>EL1V7</t>
  </si>
  <si>
    <t>Green Submitted, hybrid</t>
  </si>
  <si>
    <t>WOS:001138999400001</t>
  </si>
  <si>
    <t>Stewart, JA; Robinson, LF; Rae, JWB; Burke, A; Chen, TY; Li, T; Ferreira, MLD; Fornari, DJ</t>
  </si>
  <si>
    <t>Stewart, Joseph A.; Robinson, Laura F.; Rae, James W. B.; Burke, Andrea; Chen, Tianyu; Li, Tao; Ferreira, Maria Luiza de Carvalho; Fornari, Daniel J.</t>
  </si>
  <si>
    <t>Arctic and Antarctic forcing of ocean interior warming during the last deglaciation</t>
  </si>
  <si>
    <t>SCIENTIFIC REPORTS</t>
  </si>
  <si>
    <t>EASTERN EQUATORIAL PACIFIC; MERIDIONAL OVERTURNING CIRCULATION; INTERMEDIATE WATER; TROPICAL ATLANTIC; SOUTHERN-OCEAN; NORTH-ATLANTIC; ATMOSPHERIC CO2; CLIMATE-CHANGE; TEMPERATURE; STRATIFICATION</t>
  </si>
  <si>
    <t>Subsurface water masses formed at high latitudes impact the latitudinal distribution of heat in the ocean. Yet uncertainty surrounding the timing of low-latitude warming during the last deglaciation (18-10 ka) means that controls on sub-surface temperature rise remain unclear. Here we present seawater temperature records on a precise common age-scale from East Equatorial Pacific (EEP), Equatorial Atlantic, and Southern Ocean intermediate waters using new Li/Mg records from cold water corals. We find coeval warming in the tropical EEP and Atlantic during Heinrich Stadial 1 (+ 6 degrees C) that closely resemble warming recorded in Antarctic ice cores, with more modest warming of the Southern Ocean (+ 3 degrees C). The magnitude and depth of low-latitude ocean warming implies that downward accumulation of heat following Atlantic Meridional Overturning Circulation (AMOC) slowdown played a key role in heating the ocean interior, with heat advection from southern-sourced intermediate waters playing an additional role.</t>
  </si>
  <si>
    <t>[Stewart, Joseph A.; Robinson, Laura F.; Chen, Tianyu; Li, Tao; Ferreira, Maria Luiza de Carvalho] Univ Bristol, Sch Earth Sci, Queens Rd, Bristol BS8 1RJ, England; [Robinson, Laura F.] Univ York, Dept Environm &amp; Geog, York, England; [Rae, James W. B.; Burke, Andrea] Univ St Andrews, Sch Earth &amp; Environm Sci, St Andrews KY16 9TS, Scotland; [Chen, Tianyu] Nanjing Univ, Sch Earth Sci &amp; Engn, Nanjing 210023, Peoples R China; [Li, Tao] Nanjing Inst Geol &amp; Palaeontol, Chinese Acad Sci, Key Lab Palaeobiol &amp; Petr Stratig, Nanjing, Peoples R China; [Fornari, Daniel J.] Woods Hole Oceanog Inst, Falmouth, MA USA</t>
  </si>
  <si>
    <t>University of Bristol; University of York - UK; University of St Andrews; Nanjing University; Chinese Academy of Sciences; Woods Hole Oceanographic Institution</t>
  </si>
  <si>
    <t>Stewart, JA (corresponding author), Univ Bristol, Sch Earth Sci, Queens Rd, Bristol BS8 1RJ, England.</t>
  </si>
  <si>
    <t>joseph.stewart@bristol.ac.uk</t>
  </si>
  <si>
    <t>Chen, Tianyu/JDD-7264-2023; Rae, James/R-3812-2017</t>
  </si>
  <si>
    <t>Rae, James/0000-0003-3904-2526; Stewart, Joseph/0000-0003-3092-5058; Burke, Andrea/0000-0002-3754-1498</t>
  </si>
  <si>
    <t>National Science Foundation; Ocean Exploration Trust; Antarctic Bursary; ERC; NERC [278705, NE/S001743/1, NE/R005117/1, NE/N003861/1]; NSF [OCE-0926637, OCE-1030904]</t>
  </si>
  <si>
    <t>National Science Foundation(National Science Foundation (NSF)); Ocean Exploration Trust; Antarctic Bursary; ERC(European Research Council (ERC)); NERC(UK Research &amp; Innovation (UKRI)Natural Environment Research Council (NERC)); NSF(National Science Foundation (NSF))</t>
  </si>
  <si>
    <t>The authors declare that they have no competing interests. We gratefully acknowledge the crew and researchers onboard the research cruises who obtained the samples used in this study. Cruises MV1007 and NA064 were funded by the National Science Foundation and Ocean Exploration Trust respectively. We thank the Charles Darwin Research Foundation, Galapagos National Park, and INOCAR for permission to collect mapping data and samples from the Galapagos area. We thank C. Coath, C. Taylor, S. Mitchell, A. Samperiz-Vizcaino, R. Greenop, E. Littley, and J. Crumpton-Banks for their help with laboratory work. Funding was provided by an Antarctic Bursary awarded to J.A.S., ERC and NERC grants awarded to L.F.R. (278705, NE/S001743/1, NE/R005117/1) and L.F.R. and J.W.B.R. (NE/N003861/1). J.A.S. and M.L.d.C.F. collected the geochemical data. Samples were provided by L.F.R. and D.J.F. Field work associated with the MV1007 cruise was supported by NSF grant OCE-0926637 and OCE-1030904 to D.J.F. and Karen Harpp (Colgate U.). We thank the editor and two anonymous reviewers for their suggestions that improved this article.</t>
  </si>
  <si>
    <t>NATURE PORTFOLIO</t>
  </si>
  <si>
    <t>BERLIN</t>
  </si>
  <si>
    <t>HEIDELBERGER PLATZ 3, BERLIN, 14197, GERMANY</t>
  </si>
  <si>
    <t>2045-2322</t>
  </si>
  <si>
    <t>SCI REP-UK</t>
  </si>
  <si>
    <t>Sci Rep</t>
  </si>
  <si>
    <t>DEC 16</t>
  </si>
  <si>
    <t>10.1038/s41598-023-49435-0</t>
  </si>
  <si>
    <t>DK4N5</t>
  </si>
  <si>
    <t>WOS:001131921700038</t>
  </si>
  <si>
    <t>Ryan, PG</t>
  </si>
  <si>
    <t>Ryan, Peter G.</t>
  </si>
  <si>
    <t>Long-term changes in petrel populations on Inaccessible Island, Tristan da Cunha, inferred from the diet of Brown Skuas Stercorarius antarcticus</t>
  </si>
  <si>
    <t>OSTRICH</t>
  </si>
  <si>
    <t>Antarctic islands; burrow-nesting petrels; Fregetta; monitoring; Pelagodroma marina; penguins; prey remains; subantarctic fur seal</t>
  </si>
  <si>
    <t>GREAT SKUAS; CATHARACTA-SKUA; BLUE PETRELS; SEABIRDS; CONSERVATION; INDICATORS; ECOSYSTEM; ATLANTIC</t>
  </si>
  <si>
    <t>Petrels that breed in burrows and return to their colonies after dark are among the most poorly studied seabirds. Brown Skuas Stercorarius antarcticus (family Stercorariidae) are major predators of burrowing petrels at many seabird breeding islands in the Southern Ocean, so monitoring the diet of skuas can provide insights into petrel population trends. Regurgitated pellets and other prey remains indicate that petrels comprise 94% (monthly range 91-97%) of all prey items in the pellets and other prey remains on Inaccessible Island, Tristan da Cunha. Other seabirds (0.7%), land birds (1.0%), subantarctic fur seals Arctocephalus tropicalis (0.5%) and marine animals (3.5%) make up the remainder of the Brown Skua diet. At least 12 species of petrels are eaten, including two species that are not known to breed on Inaccessible Island, but five taxa comprised over 98% of all petrels eaten: Fregetta storm petrels (44%), White-faced Storm Petrels Pelagodroma marina (23%), Broad-billed Prions Pachyptila vittata (21%), Great Shearwaters Ardenna gravis (6%) and Common Diving Petrels Pelecanoides urinatrix (5%). Pellets containing 2 or 3 avian prey items (15% of pellets) were more likely to contain conspecifics than heterospecifics, indicating either local differences in prey distribution or individual dietary specialisation. The prey composition changed seasonally linked to the phenology of the prey species, with White-faced Storm Petrels more common in the skua diet in spring, and Fregetta storm petrels in summer. Fur seals and Great Shearwaters have become more important in the skua diet, reflecting known or suspected increases in the populations of these species on the island, whereas the populations of Common Diving Petrels and Subantarctic Shearwaters Puffinus elegans may have decreased. Modal tarsal length of Fregetta storm petrels changed from 37 mm in 1987/89 to 39 mm in 2009, suggesting a possible increase of F. tropica relative to F. grallaria in the skua diet. However, overall there has been little change in the diet of Brown Skuas on this island over the last four decades.</t>
  </si>
  <si>
    <t>[Ryan, Peter G.] Univ Cape Town, FitzPatrick Inst African Ornithol, Cape Town, South Africa</t>
  </si>
  <si>
    <t>University of Cape Town</t>
  </si>
  <si>
    <t>Ryan, PG (corresponding author), Univ Cape Town, FitzPatrick Inst African Ornithol, Cape Town, South Africa.</t>
  </si>
  <si>
    <t>pryan31@gmail.com</t>
  </si>
  <si>
    <t>Ryan, Peter/0000-0002-3356-2056</t>
  </si>
  <si>
    <t>0030-6525</t>
  </si>
  <si>
    <t>1727-947X</t>
  </si>
  <si>
    <t>Ostrich</t>
  </si>
  <si>
    <t>2023 DEC 16</t>
  </si>
  <si>
    <t>10.2989/00306525.2023.2269479</t>
  </si>
  <si>
    <t>Ornithology</t>
  </si>
  <si>
    <t>DC5D6</t>
  </si>
  <si>
    <t>WOS:001129837400001</t>
  </si>
  <si>
    <t>Dornan, T; Knutsen, T; Krafft, BA; Kvalsund, M; Mateos-Rivera, A; Tarling, GA; Wienerroither, R; Hill, SL</t>
  </si>
  <si>
    <t>Dornan, Tracey; Knutsen, Tor; Krafft, Bjorn A.; Kvalsund, Merete; Mateos-Rivera, Alejandro; Tarling, Geraint A.; Wienerroither, Rupert; Hill, Simeon L.</t>
  </si>
  <si>
    <t>Spatial structuring in early life stage fish diversity in the Scotia Sea region of the Southern Ocean</t>
  </si>
  <si>
    <t>Scotia Sea; Larval fish; Community structure; Distribution; South Orkney</t>
  </si>
  <si>
    <t>KRILL EUPHAUSIA-SUPERBA; ANTARCTIC MYCTOPHID FISH; MESOPELAGIC FISH; ELECTRONA-ANTARCTICA; SUMMER DISTRIBUTION; CLIMATE-CHANGE; FUR SEALS; LARVAL; ABUNDANCE; CONNECTIVITY</t>
  </si>
  <si>
    <t>The fish community of the Scotia Sea is diverse and plays key roles in Antarctic food webs and biogeochemical cycling. However, knowledge of the spatial and community structure of their early life stages is limited, particularly in the region surrounding the South Orkney Islands. Here we examine the structure of the early life stage fish community in the epipelagic using data from a basin-scale survey conducted in early 2019, which sampled the top 200 m of the water column. 347 early life stage fish from 19 genera were caught in 58 hauls. A third of all specimens belonged to the genus Notolepis and the nine most common genera comprised over 90% of specimens. Cluster analysis revealed five distinct groupings, the most common were a group dominated by pelagic and shelf slope genera (Notolepis, Muraenolepis and Electrona) found mainly in oceanic waters (depth &gt;= 1000 m), and a group dominated by species with demersal or benthopelagic adults (Chionodraco, Chaenocephalus and Nototheniops) found mainly in shelf waters. Bottom depth was the main environmental determinant of community structure, separating the diverse on-shelf assemblage at the South Orkneys from the less species-rich community of widespread oceanic taxa. Our results indicate the highest diversities of early life stages of endemic fish occur on the shelf and near-shelf areas. Dedicated monitoring is recommended to understand the seasonal differences in larval community assemblages and the implications of early life stages fish bycatch within the krill fishery.</t>
  </si>
  <si>
    <t>[Dornan, Tracey; Tarling, Geraint A.; Hill, Simeon L.] British Antarctic Survey, Madingley Rd, Cambridge CB3 0ET, England; [Knutsen, Tor; Krafft, Bjorn A.; Kvalsund, Merete; Mateos-Rivera, Alejandro; Wienerroither, Rupert] Inst Marine Res, POB 1870, N-5817 Bergen, Norway</t>
  </si>
  <si>
    <t>UK Research &amp; Innovation (UKRI); Natural Environment Research Council (NERC); NERC British Antarctic Survey; Institute of Marine Research - Norway</t>
  </si>
  <si>
    <t>Dornan, T (corresponding author), British Antarctic Survey, Madingley Rd, Cambridge CB3 0ET, England.</t>
  </si>
  <si>
    <t>tarna70@bas.ac.uk</t>
  </si>
  <si>
    <t>Knutsen, Tor/0000-0003-3531-5611; Tarling, Geraint/0000-0002-3753-5899; Mateos-Rivera, Alejandro/0000-0003-1408-1895</t>
  </si>
  <si>
    <t>Natural Environment Research Council</t>
  </si>
  <si>
    <t>Natural Environment Research Council(UK Research &amp; Innovation (UKRI)Natural Environment Research Council (NERC))</t>
  </si>
  <si>
    <t>We thank the officers, crew and scientific personnel onboard RV Kronprins Haakon and 2 anonymous reviewers + editor for their valuable comments to the manuscript.</t>
  </si>
  <si>
    <t>10.1007/s00300-023-03210-z</t>
  </si>
  <si>
    <t>EE4K7</t>
  </si>
  <si>
    <t>WOS:001129181500001</t>
  </si>
  <si>
    <t>Sohail, T; Irving, DB; Zika, JD; Gregory, JM</t>
  </si>
  <si>
    <t>Sohail, Taimoor; Irving, Damien B.; Zika, Jan D.; Gregory, Jonathan M.</t>
  </si>
  <si>
    <t>Anthropogenic Aerosols Offsetting Ocean Warming Less Efficiently Since the 1980s</t>
  </si>
  <si>
    <t>detection and attribution; climate change; climate models; ocean heat content; ocean heat uptake efficiency; aerosol forcing</t>
  </si>
  <si>
    <t>HEAT UPTAKE; CLIMATE; ATTRIBUTION; TRANSPORT; WATER</t>
  </si>
  <si>
    <t>Greenhouse gases and aerosols play a major role in controlling global climate change. Greenhouse gases drive a radiative imbalance which warms the ocean, while aerosols cool the ocean. Since 1980, the effective radiation felt by the planet due to anthropogenic aerosols has leveled off, global ocean cooling due to aerosols has decelerated, and greenhouse gas-driven ocean warming has accelerated. We explore the deceleration of aerosol-driven ocean cooling by quantifying a time- and spatially varying ocean heat uptake efficiency, defined as the change in the rate of global ocean heat storage per degree of cooling surface temperature. In aerosol-only simulations, ocean heat uptake efficiency has decreased by 43 +/- 14% since 1980. The tropics and sub-tropics have driven this decrease, while the coldest fraction of the ocean continues to sustain cooling and high ocean heat uptake efficiency. Our results identify a growing trend toward less efficient ocean cooling due to aerosols. The composition of the atmosphere has a major impact on our climate. Greenhouse gases warm the planet, while aerosols (i.e., suspensions of particles in the atmosphere) cool the planet, and most of this change is absorbed by the oceans. Since 1980, the rate of cooling of the planet due to aerosols has plateaued. In the past few decades, the ocean has begun to equilibrate to this change, and this work explores where and when this equilibration has occurred in the ocean based on global climate models. To understand this change, we use an ocean heat uptake efficiency metric which describes how much additional heat builds up in the ocean for a given degree of surface temperature gain (or loss). We find that the ocean is cooling more slowly given a degree of surface cooling due to aerosols compared to the pre-1980s. This change is largely driven by the tropics and sub-tropics, where the ocean has stopped cooling in response to aerosol-driven negative surface temperatures. Polar and sub-polar regions, however, continue to cool due to aerosols. These changes are occurring alongside accelerating greenhouse gas-driven warming, suggesting that the relative role of aerosols in cooling our climate is weakening. Since 1980, aerosol-driven ocean cooling has decelerated substantially, alongside a drop in ocean heat uptake efficiencyThe drop in ocean heat uptake efficiency is limited to the tropics, which may have equilibrated to ongoing aerosol-driven radiative forcingAir-sea fluxes into the coldest fraction of the ocean continue to offset greenhouse gas-driven ocean warming</t>
  </si>
  <si>
    <t>[Sohail, Taimoor; Zika, Jan D.] Univ New South Wales, Sch Math &amp; Stat, Sydney, NSW, Australia; [Sohail, Taimoor; Zika, Jan D.] Univ New South Wales, Australian Ctr Excellence Antarctic Sci, Sydney, NSW, Australia; [Irving, Damien B.] Commonwealth Sci &amp; Ind Res Org CSIRO, Hobart, Tas, Australia; [Zika, Jan D.] Univ New South Wales, UNSW Data Sci Hub uDaSH, Sydney, NSW, Australia; [Gregory, Jonathan M.] Univ Reading, Natl Ctr Atmospher Sci, Reading, England; [Gregory, Jonathan M.] Met Off Hadley Ctr, Exeter, England</t>
  </si>
  <si>
    <t>University of New South Wales Sydney; University of New South Wales Sydney; Commonwealth Scientific &amp; Industrial Research Organisation (CSIRO); University of New South Wales Sydney; University of Reading; UK Research &amp; Innovation (UKRI); Natural Environment Research Council (NERC); NERC National Centre for Atmospheric Science; Met Office - UK; Hadley Centre</t>
  </si>
  <si>
    <t>Sohail, T (corresponding author), Univ New South Wales, Sch Math &amp; Stat, Sydney, NSW, Australia.;Sohail, T (corresponding author), Univ New South Wales, Australian Ctr Excellence Antarctic Sci, Sydney, NSW, Australia.</t>
  </si>
  <si>
    <t>t.sohail@unsw.edu.au</t>
  </si>
  <si>
    <t>Sohail, Taimoor/T-3785-2018; Gregory, Jonathan/J-2939-2016; Irving, Damien/A-1479-2012</t>
  </si>
  <si>
    <t>Gregory, Jonathan/0000-0003-1296-8644; Zika, Jan/0000-0003-3462-3559; Irving, Damien/0000-0003-1258-5002; Sohail, Taimoor/0000-0002-4162-3269</t>
  </si>
  <si>
    <t>Australian Research Council; Earth System Grid Federation (ESGF); Australian Government [SR200100008]; Australian Research Council (ARC) Center of Excellence for Climate Extremes [DP190101173]; ARC Discovery Project scheme; University of New South Wales, as part of the Wiley - University of New South Wales agreement via the Council of Australian University Librarians</t>
  </si>
  <si>
    <t>Australian Research Council(Australian Research Council); Earth System Grid Federation (ESGF); Australian Government(Australian Government); Australian Research Council (ARC) Center of Excellence for Climate Extremes(Australian Research Council); ARC Discovery Project scheme(Australian Research Council); University of New South Wales, as part of the Wiley - University of New South Wales agreement via the Council of Australian University Librarians</t>
  </si>
  <si>
    <t>We acknowledge the World Climate Research Program, the CMIP6 climate modeling groups, the Earth System Grid Federation (ESGF), and the funding agencies supporting CMIP6 and ESGF. Modeling and analysis were undertaken with National Computational Infrastructure (NCI) facilities, supported by the Australian Government. This work is supported by the Australian Research Council (ARC) Center of Excellence for Climate Extremes, the Australian Center for Excellence in Antarctic Science (SR200100008), and the ARC Discovery Project scheme (DP190101173). Open access publishing facilitated by University of New South Wales, as part of the Wiley - University of New South Wales agreement via the Council of Australian University Librarians.</t>
  </si>
  <si>
    <t>e2023GL105374</t>
  </si>
  <si>
    <t>10.1029/2023GL105374</t>
  </si>
  <si>
    <t>AJ7T7</t>
  </si>
  <si>
    <t>WOS:001118171900001</t>
  </si>
  <si>
    <t>Fan, RF; Zeng, ZL; Wang, X; Zhang, L; Cheng, W; Ding, MH</t>
  </si>
  <si>
    <t>Fan, Rongfeng; Zeng, Zhaoliang; Wang, Xin; Zhang, Lei; Cheng, Wei; Ding, Minghu</t>
  </si>
  <si>
    <t>Comprehensive Evaluation and Comparison of AIRS, VASS, and VIRR Water Vapor Products Over Antarctica</t>
  </si>
  <si>
    <t>Antarctica; AIRS; VASS; VIRR; water vapor</t>
  </si>
  <si>
    <t>GPS RADIO OCCULTATION; PRECIPITABLE WATER; SURFACE; TEMPERATURE; VALIDATION; REANALYSIS; VARIABILITY; INVERSIONS; STATION; TRENDS</t>
  </si>
  <si>
    <t>The detection capability of the water vapor mixing ratio (q) and total precipitable water vapor (PWV) products of the Atmospheric Infrared Sounder (AIRS), the Atmospheric Vertical Sounder System (VASS), and Visible and Infrared Radiometer (VIRR) in Antarctica is unclear due to the harsh environment and the scarcity of ground-based stations. This study compares these products with data from nine radiosonde stations and 10 Global Navigation Satellite Systems Stations and evaluates them using the CCHZ-DISO method. In the low atmosphere, the average wet bias of about 22% of VASS q is significantly greater than that of AIRS q (&lt;15%), and the dry bias of AIRS is gradually corrected with increasing cloudiness, but the trend of exacerbated wet bias at 700 hPa requires attention. Meanwhile, VASS should optimize the inversion principle in the presence of clouds and refine the utilization weights of the channels heavily influenced by clouds under different cloud fraction conditions. Furthermore, when the atmospheric pressure is less than 500 hPa, VASS q exhibits a significant wet bias, and these data should be used cautiously. Both AIRS and VIRR detect PWV well in coastal areas, but VIRR PWV is significantly overestimated in the dry ice sheet plateau region. The CCHZ-DISO value intuitively reveals that AIRS outperforms VASS and VIRR in both q and PWV detection. The findings of this study contribute to a more comprehensive understanding of the detection capability of the above satellite water vapor products to promote the wider application of satellite data in the Antarctic region.</t>
  </si>
  <si>
    <t>[Fan, Rongfeng; Zeng, Zhaoliang; Wang, Xin; Zhang, Lei; Ding, Minghu] Chinese Acad Meteorol Sci, State Key Lab Severe Weather, Beijing, Peoples R China; [Cheng, Wei] Beijing Inst Appl Meteorol, Beijing, Peoples R China</t>
  </si>
  <si>
    <t>China Meteorological Administration; Chinese Academy of Meteorological Sciences (CAMS)</t>
  </si>
  <si>
    <t>Ding, MH (corresponding author), Chinese Acad Meteorol Sci, State Key Lab Severe Weather, Beijing, Peoples R China.</t>
  </si>
  <si>
    <t>dingminghu@foxmail.com</t>
  </si>
  <si>
    <t>Zeng, Zhaoliang/0000-0002-9108-8575; Ding, Minghu/0000-0002-1142-6598; Cheng, Wei/0000-0001-7686-775X</t>
  </si>
  <si>
    <t>National Natural Science Foundation of China; National Key RD Plan of China [2021YFC2802504]; Basic Research Fund of the Chinese Academy of Meteorological Sciences [2021Z006, 2023Z015]; [42122047]; [42306270]</t>
  </si>
  <si>
    <t>National Natural Science Foundation of China(National Natural Science Foundation of China (NSFC)); National Key RD Plan of China; Basic Research Fund of the Chinese Academy of Meteorological Sciences; ;</t>
  </si>
  <si>
    <t>This work was supported by the National Natural Science Foundation of China (Grants 42122047 and 42306270), National Key R&amp;D Plan of China (2021YFC2802504), and the Basic Research Fund of the Chinese Academy of Meteorological Sciences (2021Z006 and 2023Z015). We would like to thank NASA team for providing the AIRS data, NSMC for providing FY3C VASS and VIRR data, University of Wyoming for providing the radiosonde data, IGS for providing the zenith path delay data, and ECMWF for providing Numerical Weather Models to the VMF Data Server, which allows us to obtain pressure at the GNSS sites. We would also like to thank the VMF Data Server for providing the scripts and data text files of the GPT3 model.</t>
  </si>
  <si>
    <t>e2023JD039221</t>
  </si>
  <si>
    <t>10.1029/2023JD039221</t>
  </si>
  <si>
    <t>Z8PN0</t>
  </si>
  <si>
    <t>WOS:001114639800001</t>
  </si>
  <si>
    <t>Nie, YF; Lin, X; Yang, QH; Liu, JP; Chen, D; Uotila, P</t>
  </si>
  <si>
    <t>Nie, Yafei; Lin, Xia; Yang, Qinghua; Liu, Jiping; Chen, Dake; Uotila, Petteri</t>
  </si>
  <si>
    <t>Differences Between the CMIP5 and CMIP6 Antarctic Sea Ice Concentration Budgets</t>
  </si>
  <si>
    <t>Antarctic; sea ice; budgets; CMIP6</t>
  </si>
  <si>
    <t>IMPACT; EXTENT; MODELS; TRENDS; BIASES</t>
  </si>
  <si>
    <t>Compared to the Coupled Model Intercomparison Project Phase 5 (CMIP5) climate models, the Antarctic sea ice area (SIA) has been improved in Phase 6 (CMIP6). However, the lack of knowledge about the reliability of sea ice dynamic and thermodynamic processes in the CMIP6 models still limits the accuracy of Antarctic sea ice projections. Here, by using a novel and systematic statistical metric, the performance of CMIP5 and CMIP6 models with near-realistic SIAs was assessed. We found improvements in CMIP6 models relative to CMIP5. Moreover, forcing the sea ice-ocean model with atmospheric reanalysis led to excessive ice convergence compared to the fully coupled ocean-sea ice-atmosphere model, although the SIA bias could be much smaller. This prevalent insufficient ice divergence in the models is highly correlated with the negative ice thickness bias, highlighting the importance of ice thickness in the correct simulation of sea ice dynamics. Current state-of-the-art climate models do not reproduce the total area of Antarctic sea ice and its trends as observed. This impedes the use of climate models to understand changes in Antarctic sea ice over the past decades and to project its future. Separating how much of the simulated sea ice change is due to freezing and melting, and how much is due to ice transport allows us to identify physical causes for model biases, which helps us to optimize models. We examined the climate models that have simulated near-realistic sea ice areas between 1991 and 2009 and found significant improvements in their simulation of sea ice processes in the latest generation of models compared to the previous generation, although there is still much room for further improvement. As sea ice thickness and velocity interact, a key limitation of the state-of-the-art Antarctic sea ice simulation may stem from the general underestimation of ice thickness. This could be a critical issue to be targeted on the way toward increasingly skillful climate projections. The Antarctic sea ice concentration (SIC) budgets in CMIP6 have improved from CMIP5The ice-ocean coupled models have more realistic SIC budgets than fully coupled models, except for the excessive velocity convergenceUnderestimation of velocity divergence in the model was found to be strongly associated with underestimation of sea ice thickness</t>
  </si>
  <si>
    <t>[Nie, Yafei; Yang, Qinghua; Liu, Jiping; Chen, Dake] Sun Yat Sen Univ, Sch Atmospher Sci, Zhuhai, Peoples R China; [Nie, Yafei; Yang, Qinghua; Liu, Jiping; Chen, Dake] Southern Marine Sci &amp; Engn Guangdong Lab Zhuhai, Zhuhai, Peoples R China; [Lin, Xia] Nanjing Univ Informat Sci &amp; Technol, Sch Marine Sci, Nanjing, Peoples R China; [Lin, Xia] Univ Catholique Louvain UCLouvain, Earth &amp; Life Inst, Louvain La Neuve, Belgium; [Uotila, Petteri] Univ Helsinki, Inst Atmospher &amp; Earth Syst Res Phys, Fac Sci, Helsinki, Finland</t>
  </si>
  <si>
    <t>Sun Yat Sen University; Southern Marine Science &amp; Engineering Guangdong Laboratory; Southern Marine Science &amp; Engineering Guangdong Laboratory (Zhuhai); Nanjing University of Information Science &amp; Technology; University of Helsinki</t>
  </si>
  <si>
    <t>Yang, QH (corresponding author), Sun Yat Sen Univ, Sch Atmospher Sci, Zhuhai, Peoples R China.;Yang, QH (corresponding author), Southern Marine Sci &amp; Engn Guangdong Lab Zhuhai, Zhuhai, Peoples R China.</t>
  </si>
  <si>
    <t>yangqh25@mail.sysu.edu.cn</t>
  </si>
  <si>
    <t>; Uotila, Petteri/A-1703-2012</t>
  </si>
  <si>
    <t>Chen, Dake/0000-0002-8193-7158; Uotila, Petteri/0000-0002-2939-7561; Nie, Yafei/0009-0002-3077-4579</t>
  </si>
  <si>
    <t>National Natural Science Foundation of China; National Key R&amp;D Program of China [2022YFE0106300]; Southern Marine Science and Engineering Guangdong Laboratory (Zhuhai) [SML2022SP401]; Academy of Finland [322432]; European Union's Horizon 2020 research and innovation framework programme [101003590]; [41941009]; Academy of Finland (AKA) [322432] Funding Source: Academy of Finland (AKA)</t>
  </si>
  <si>
    <t>National Natural Science Foundation of China(National Natural Science Foundation of China (NSFC)); National Key R&amp;D Program of China; Southern Marine Science and Engineering Guangdong Laboratory (Zhuhai); Academy of Finland(Research Council of Finland); European Union's Horizon 2020 research and innovation framework programme(Horizon 2020); ; Academy of Finland (AKA)(Research Council of Finland)</t>
  </si>
  <si>
    <t>This study was funded by the National Key R&amp;D Program of China (No. 2022YFE0106300), the National Natural Science Foundation of China (No. 41941009), and the Southern Marine Science and Engineering Guangdong Laboratory (Zhuhai) (No. SML2022SP401). This study contributes to the Year of Polar Prediction, a flagship activity of the Polar Prediction Project, initiated by the World Weather Research Programme of the World Meteorological Organization. Petteri Uotila was supported by the Academy of Finland (project 322432) and the European Union's Horizon 2020 research and innovation framework programme (PolarRES project, Grant 101003590).</t>
  </si>
  <si>
    <t>e2023GL105265</t>
  </si>
  <si>
    <t>10.1029/2023GL105265</t>
  </si>
  <si>
    <t>Z2XH0</t>
  </si>
  <si>
    <t>WOS:001110750800001</t>
  </si>
  <si>
    <t>Ogunmolasuyi, A; Murdza, A; Baker, I</t>
  </si>
  <si>
    <t>Ogunmolasuyi, Ayobami; Murdza, Andrii; Baker, Ian</t>
  </si>
  <si>
    <t>The Onset of Recrystallization in Polar Firn</t>
  </si>
  <si>
    <t>DYNAMIC RECRYSTALLIZATION; ICE CORE; MELTWATER STORAGE; DENSIFICATION; MICROSTRUCTURE; ANTARCTICA; EVOLUTION; TOMOGRAPHY; FABRICS; GROWTH</t>
  </si>
  <si>
    <t>Constraining the onset of dynamic recrystallization (DRX) and its effects on the mechanical properties of firn is crucial for firn densification modeling. To that end, samples from a depth of 13 m in a Summit, Greenland (72 degrees 35 ' N, 38 degrees 25 ' W) firn core were subjected to creep tests at -14 degrees C and 0.21 MPa compressive stress to strains of 7%, 12%, 18%, and 29%. Microstructural analyses using thin-section imaging and microcomputed x-ray tomography (micro-CT) revealed smaller grain sizes, reduced specific surface area and connectivity, and increased density in relation to reduced porosity as the strain increases. These results show that DRX occurs in firn under creep, with strain-induced boundary migration (SIBM) and nucleation and growth starting at similar to 7%. DRX leads to elongated grains, reduced grain size, and the development of a preferred crystallographic orientation, indicating that DRX occurs by both SIBM and nucleation and growth. Firn is multi-year snow that undergoes densification due to the load from the snow overburden and from sintering. Understanding firn densification is important for interpreting ice core records, predicting ice sheet mass balance and elevation changes, and studying climate change effects. Previous densification models focused on accumulation rate and temperature, overlooking the role of recrystallization. To address this gap, compression tests were performed on Greenland firn samples from a depth of 13 m. The deformation resulted in reduced median grain size, preferred crystallographic orientation, and increased density. Our findings indicate that dynamic recrystallization starts when the firn is subjected to a strain of about 7% through boundary migration of old grains, around which new stress-free grains also start to form. Dynamic Recrystallization occurs in firn through strain-induced boundary migration, and nucleation and growthAverage grain size in firn decreases under constant temperature and compressive stress in firn</t>
  </si>
  <si>
    <t>[Ogunmolasuyi, Ayobami; Murdza, Andrii; Baker, Ian] Dartmouth Coll, Thayer Sch Engn, Hanover, NH 03755 USA</t>
  </si>
  <si>
    <t>Dartmouth College</t>
  </si>
  <si>
    <t>Baker, I (corresponding author), Dartmouth Coll, Thayer Sch Engn, Hanover, NH 03755 USA.</t>
  </si>
  <si>
    <t>ian.baker@dartmouth.edu</t>
  </si>
  <si>
    <t>Murdza, Andrii/0000-0002-7986-9061</t>
  </si>
  <si>
    <t>National Science Foundation Office of Polar Programs [1851094]; National Science Foundation Office of Polar Programs (Antarctic Glaciology)</t>
  </si>
  <si>
    <t>National Science Foundation Office of Polar Programs(National Science Foundation (NSF)NSF - Directorate for Geosciences (GEO)); National Science Foundation Office of Polar Programs (Antarctic Glaciology)</t>
  </si>
  <si>
    <t>This work was sponsored by the National Science Foundation Office of Polar Programs (Antarctic Glaciology) Grant 1851094. We thank Chris Polashenski, Zoe Courville, and Lauren B. Farnsworth at CRREL for help with the firn core storage. We appreciate all the valuable discussions, comments, and suggestions provided by TJ Fudge, Colin Meyer, and Jacob Buffo to help us improve the quality of this manuscript. We also acknowledge the use of the Ice Research Laboratory (Director-E.M. Schulson) at Dartmouth College.</t>
  </si>
  <si>
    <t>e2023GL103435</t>
  </si>
  <si>
    <t>10.1029/2023GL103435</t>
  </si>
  <si>
    <t>Z7AF6</t>
  </si>
  <si>
    <t>WOS:001113556200001</t>
  </si>
  <si>
    <t>Ward, JL; Payne, AE; Pettersen, C</t>
  </si>
  <si>
    <t>Ward, Jamie L.; Payne, Ashley E.; Pettersen, C.</t>
  </si>
  <si>
    <t>Present-Day Regional Antarctic Sea Ice Response to Extratropical Cyclones</t>
  </si>
  <si>
    <t>extratropical cyclones; sea ice; Antarctica; centered composites; moisture transport</t>
  </si>
  <si>
    <t>SOUTHERN-OCEAN; ATMOSPHERIC RIVERS; CLIMATE-CHANGE; VARIABILITY; FRAMEWORK; MOISTURE; TEMPESTEXTREMES; ANOMALIES; TRANSPORT; TRACKING</t>
  </si>
  <si>
    <t>Both atmospheric warming and poleward moisture transport increase the likelihood of sea ice surface melt. In the Southern Hemisphere, short-lived extratropical cyclones (ETCs) are responsible for a bulk of total heat and moisture transport toward high latitudes. Although these storms form ubiquitously in the midlatitudes, moisture availability and temperature characteristics vary by source region. In this study, we assess atmospheric, oceanic, and sea ice concentration (SIC) anomalies associated with austral winter ETCs over different Antarctic regions using ERA5 reanalysis data. Between 1990 and 2019, we find a total of 514 ETCs, with greater storm frequency in the eastern hemisphere groups. Compared to the climatology, sea ice melts (grows) behind the warm (cold) front of each system and is negatively correlated with atmospheric poleward moisture transport, temperature, meridional winds, and sea surface temperature for all ETCs. We find that Bellingshausen storms move moisture and warm air furthest poleward over their lifespan. However, East Weddell and East Antarctic ETCs are responsible for greater absolute poleward moisture transport than Bellingshausen and Ross systems. More intense ETCs correspond to greater SIC through Day 1, suggesting that SIC impacts ETC strength, regardless of ETC region. From cyclogenesis to cyclolysis, sea ice extent declines underneath composite ETCs, trends are generally not significant. Overall, while sea ice response produced by ETC-induced atmospheric and oceanic changes varies regionally, the long-term impacts of ETCs on regional sea ice are negligible over the study period. Antarctic air has become warmer and moister recently. Most of this warming and moistening is caused by short-lived, large-scale storms (i.e., extratropical cyclones (ETCs)). However, the ETC formation location impacts its ability to move warm, moist air toward Antarctica. Here, we investigate how 514 detected wintertime ETCs from different regions impact Antarctic atmosphere, ocean, and sea ice conditions using ERA5 reanalysis between 1990 and 2019. For all storm locations, the storm's east side moves warmer, moister air toward the Antarctic coast, while the west side moves colder, drier air toward the equator. We also find that Bellingshausen Sea ETCs produce greater atmospheric warming and moistening closer to the Antarctic shoreline (relative to average conditions). However, East Weddell and East Antarctic ETCs move more total moisture toward Antarctica. Even though ETCs warm and moisten the local air, stronger ETCs correspond to enhanced sea ice when they form. Despite this relationship, we find that the sea ice edge moves closer to the Antarctic shoreline between ETC formation and dissipation. Overall, ETC impacts on sea ice through air and oceanic changes vary around the Antarctic coastline. However, it does not seem like historical ETCs had long-term impacts on Antarctic sea ice. Bellingshausen extratropical cyclones (ETCs) induce greater atmospheric moisture transport and warming at high latitudes than other cyclone groupsSea ice concentration (SIC) change is best related to 2-m temperature anomalies for all cyclone locationsETC intensity corresponds to greater SIC between cyclogenesis and day 1</t>
  </si>
  <si>
    <t>[Ward, Jamie L.; Payne, Ashley E.; Pettersen, C.] Univ Michigan, Dept Climate &amp; Space Sci &amp; Engn, Ann Arbor, MI 48109 USA; [Ward, Jamie L.] Univ Michigan, Cooperat Inst Great Lakes Res, Ann Arbor, MI 48109 USA; [Payne, Ashley E.] Tomorrow Co Inc, Tomorrow Io, Boston, MA USA</t>
  </si>
  <si>
    <t>University of Michigan System; University of Michigan; University of Michigan System; University of Michigan</t>
  </si>
  <si>
    <t>Ward, JL (corresponding author), Univ Michigan, Dept Climate &amp; Space Sci &amp; Engn, Ann Arbor, MI 48109 USA.;Ward, JL (corresponding author), Univ Michigan, Cooperat Inst Great Lakes Res, Ann Arbor, MI 48109 USA.</t>
  </si>
  <si>
    <t>jamiewa@umich.edu</t>
  </si>
  <si>
    <t>Payne, Ashley/M-2240-2016; Pettersen, Claire/H-2687-2018</t>
  </si>
  <si>
    <t>Payne, Ashley/0000-0003-3967-7994; Pettersen, Claire/0000-0002-8685-6242; Ward, Jamie/0000-0002-8751-8894</t>
  </si>
  <si>
    <t>University of Michigan College of Engineering; Department of Climate and Space Sciences and Engineering</t>
  </si>
  <si>
    <t>We extend our appreciation to Dr. Paul Ullrich for his help with TempestExtremes setup and execution. We also wish to thank input from the reviewers. Dr. Ward's efforts on this work were supported through a postdoctoral researcher position funded by the University of Michigan College of Engineering and the Department of Climate and Space Sciences and Engineering.</t>
  </si>
  <si>
    <t>e2023JD038914</t>
  </si>
  <si>
    <t>10.1029/2023JD038914</t>
  </si>
  <si>
    <t>Z7NP1</t>
  </si>
  <si>
    <t>WOS:001113908200001</t>
  </si>
  <si>
    <t>Dong, Y; Polvani, LM; Bonan, DB</t>
  </si>
  <si>
    <t>Dong, Yue; Polvani, Lorenzo M.; Bonan, David B.</t>
  </si>
  <si>
    <t>Recent Multi-Decadal Southern Ocean Surface Cooling Unlikely Caused by Southern Annular Mode Trends</t>
  </si>
  <si>
    <t>Southern Ocean; SAM; low-frequency variability; Antarctic ozone hole</t>
  </si>
  <si>
    <t>ANTARCTIC SEA-ICE; NATURAL VARIABILITY; OZONE DEPLETION; LARGE ENSEMBLES; TEMPERATURE; CONVECTION; ATMOSPHERE; IMPACTS</t>
  </si>
  <si>
    <t>Over recent decades, the Southern Ocean (SO) has experienced multi-decadal surface cooling despite global warming. Earlier studies have proposed that recent SO cooling has been caused by the strengthening of surface westerlies associated with a positive trend of the Southern Annular Mode (SAM) forced by ozone depletion. Here we revisit this hypothesis by examining the relationships between the SAM, zonal winds and SO sea-surface temperature (SST). Applying a low-frequency component analysis to observations, we show that while positive SAM anomalies can induce SST cooling as previously found, this seasonal-to-interannual modulation makes only a small contribution to the observed long-term SO cooling. Global climate models well capture the observed interannual SAM-SST relationship, and yet generally fail to simulate the observed multi-decadal SO cooling. The forced SAM trend in recent decades is thus unlikely the main cause of the observed SO cooling, pointing to a limited role of the Antarctic ozone hole. Despite increasing greenhouse gases, the Southern Ocean sea-surface temperatures have cooled over the recent several decades. The cause of Southern Ocean cooling remains a puzzling feature of recent climate change. Earlier studies have proposed that this multi-decadal cooling in the Southern Ocean has arisen in part from the strengthening of surface winds associated with a positive trend in a mode of climate variability known as the Southern Annular Mode (SAM). Here we employ a new statistical method to examine this proposed relationship in both observations and climate models. We found that SAM variability only changes Southern Ocean surface temperature on short-term timescales and makes little contribution to observed long-term trends. Our results thus suggest the SAM trend, via the strengthening of circumpolar westerlies, is unlikely to be the main cause of the observed long-term Southern Ocean cooling. Austral summer Southern Annular Mode (SAM) anomalies affect Southern Ocean (SO) sea-surface temperature (SST) only on seasonal to interannual timescalesMulti-decadal observed SAM trends make little contribution to observed Southern Ocean SST trendsGlobal climate models (GCMs) capture the observed seasonal SAM-SST relationship and yet fail to simulate the observed long-term SO cooling</t>
  </si>
  <si>
    <t>[Dong, Yue; Polvani, Lorenzo M.] Columbia Univ, Lamont Doherty Earth Observ, Palisades, NY 10027 USA; [Dong, Yue] Univ Corp Atmospher Res, Cooperat Programs Advancement Earth Syst Sci, Boulder, CO 80307 USA; [Polvani, Lorenzo M.] Columbia Univ, Dept Appl Phys &amp; Appl Math, New York, NY USA; [Bonan, David B.] CALTECH, Environm Sci &amp; Engn, Pasadena, CA USA</t>
  </si>
  <si>
    <t>Columbia University; National Center Atmospheric Research (NCAR) - USA; Columbia University; California Institute of Technology</t>
  </si>
  <si>
    <t>Dong, Y (corresponding author), Columbia Univ, Lamont Doherty Earth Observ, Palisades, NY 10027 USA.;Dong, Y (corresponding author), Univ Corp Atmospher Res, Cooperat Programs Advancement Earth Syst Sci, Boulder, CO 80307 USA.</t>
  </si>
  <si>
    <t>dongyueatmos@gmail.com</t>
  </si>
  <si>
    <t>Bonan, David/AAM-6844-2020</t>
  </si>
  <si>
    <t>Bonan, David/0000-0003-3867-6009; Dong, Yue/0000-0001-6404-3446</t>
  </si>
  <si>
    <t>UCAR CPAESS [NA210AR4310383]; NOAA Climate and Global Change Postdoctoral Fellowship Program [DGE-1745301]; National Science Foundation (NSF) Graduate Research Fellowship Program (NSF) [1914569]; US NSF</t>
  </si>
  <si>
    <t>UCAR CPAESS; NOAA Climate and Global Change Postdoctoral Fellowship Program(National Oceanic Atmospheric Admin (NOAA) - USA); National Science Foundation (NSF) Graduate Research Fellowship Program (NSF)(National Science Foundation (NSF)); US NSF(National Science Foundation (NSF))</t>
  </si>
  <si>
    <t>We thank Edward Doddridge and another anonymous reviewer for constructive comments. YD was supported by the NOAA Climate and Global Change Postdoctoral Fellowship Program, administered by UCAR's Cooperative Programs for the Advancement of Earth System Science (CPAESS) under award NA210AR4310383. DBB was supported by the National Science Foundation (NSF) Graduate Research Fellowship Program (NSF Grant DGE-1745301). LMP is grateful to the US NSF for their continued support, under award #1914569.</t>
  </si>
  <si>
    <t>e2023GL106142</t>
  </si>
  <si>
    <t>10.1029/2023GL106142</t>
  </si>
  <si>
    <t>Z9CF0</t>
  </si>
  <si>
    <t>WOS:001114972200001</t>
  </si>
  <si>
    <t>Sato, K; Inoue, J</t>
  </si>
  <si>
    <t>Sato, Kazutoshi; Inoue, Jun</t>
  </si>
  <si>
    <t>Ice Cloud Formation Related to Oceanic Supply of Ice-Nucleating Particles: A Case Study in the Southern Ocean Near an Atmospheric River in Late Summer</t>
  </si>
  <si>
    <t>cloud; Southern Ocean; cloud particle sensor sonde</t>
  </si>
  <si>
    <t>MIXED-PHASE; BOUNDARY-LAYER; LIQUID WATER; PHYTOPLANKTON; SATELLITE; AEROSOL; ALBEDO; SENSOR; MODEL</t>
  </si>
  <si>
    <t>This study investigated ice cloud formation associated with marine bioaerosols over the Southern Ocean (SO) using a combination of cloud particle sensor (CPS) sonde observations, satellite products, reanalysis data, and backward trajectory analysis. The CPS sonde detected ice clouds at temperatures higher than -10 degrees C in the mid-troposphere near an atmospheric river at high-latitudes over the SO. Backward trajectory analyses indicated that a mid-latitude air mass with a high concentration of atmospheric dimethylsulfide (DMS) in the atmospheric boundary layer (&lt;1 km) arrived at the ice cloud formation layer over the high-latitudes. The DMS in the boundary layer began to increase under high wave conditions, coincident with the highest chlorophyll-a concentrations in the ocean. These results suggest that bioaerosols emitted from the ocean over the mid-latitudes acted as ice-nucleating particles for ice cloud formation over high-latitudes.</t>
  </si>
  <si>
    <t>[Sato, Kazutoshi; Inoue, Jun] Natl Inst Polar Res, Tachikawa, Japan; [Sato, Kazutoshi; Inoue, Jun] Grad Univ Adv Studies SOKENDAI, Hayama, Japan</t>
  </si>
  <si>
    <t>Research Organization of Information &amp; Systems (ROIS); National Institute of Polar Research (NIPR) - Japan; Graduate University for Advanced Studies - Japan</t>
  </si>
  <si>
    <t>Sato, K (corresponding author), Natl Inst Polar Res, Tachikawa, Japan.;Sato, K (corresponding author), Grad Univ Adv Studies SOKENDAI, Hayama, Japan.</t>
  </si>
  <si>
    <t>sato.kazutoshi@nipr.ac.jp</t>
  </si>
  <si>
    <t>Sato, Kazutoshi/0000-0003-0216-8942</t>
  </si>
  <si>
    <t>Japanese Antarctic Research Expedition [JARE64 AJ1005]; JSPS KAKENHI [23H00523, 22K14103]</t>
  </si>
  <si>
    <t>This work was supported by the 64th Japanese Antarctic Research Expedition (JARE64 AJ1005) and JSPS KAKENHI (Grants 23H00523 and 22K14103). We are grateful to Katsushi Iwamoto, Atsushi Yoshida, and Yuji Yoshida who supported the onboard radiosonde observations. We are thankful for the crew of the R/V Shirase who ensured the safety of the JARE64 cruise. Special coordination of all observations onboard the ship was performed by Masanori Murakami. We thank James Buxton MSc from Edanz for correcting a draft of this manuscript. The authors would like to thank the editor and Dr. Peter Kuma for their valuable comments to improve the manuscript.</t>
  </si>
  <si>
    <t>e2023GL106036</t>
  </si>
  <si>
    <t>10.1029/2023GL106036</t>
  </si>
  <si>
    <t>Z3PW2</t>
  </si>
  <si>
    <t>WOS:001111235800001</t>
  </si>
  <si>
    <t>Zhao, ZX; Wang, WC; Wang, YW; Sheng, LF; Zhou, Y; Teng, SW</t>
  </si>
  <si>
    <t>Zhao, Zhixin; Wang, Wencai; Wang, Yuwei; Sheng, Lifang; Zhou, Yang; Teng, Shiwen</t>
  </si>
  <si>
    <t>Reasons for Low Fraction of Arctic Stratospheric Cloud in 2014/2015 Winter</t>
  </si>
  <si>
    <t>polar stratospheric clouds; Arctic</t>
  </si>
  <si>
    <t>CLIMATOLOGY; DEPLETION; OZONE</t>
  </si>
  <si>
    <t>Polar stratospheric clouds (PSCs) play a key role in Arctic amplification and stratospheric ozone destruction in polar regions. In this paper, we used the CALIPSO data to analyze the spatiotemporal distribution of Arctic PSCs from 2006 to 2021. We found that Arctic PSCs mainly appear in December, peak in late December and early January, disappearing in late February and early March. PSCs can extend from heights near the tropopause to over 25 km. However, there is the lowest fraction of PSCs in the 2014/2015 winter. This study found that the temperature in the 2014/2015 winter was warmer than the 15-year average temperature, with the lowest temperature slightly below the PSCs formation temperature of about 5 K. The formation of the Ural blocking high accompanied by the poleward propagation of the planetary wave caused a sudden stratospheric warming (SSW) event on 3 January 2015, during which the warm air entered the polar vortex and divided it into two lobes. Additionally, a reduction in SO2 column mass density before the SSW event resulted PSCs occurring with a frequency of only 0.148 and dissipating rapidly in December. Moreover, the concentration of H2O and HNO3 in the gravitational settling process of PSCs decreased by 20-50%, the reduction of condensation nuclei made PSCs with the highest frequency of 0.074 in February appear briefly and then disappear. The chemical and dynamic analysis of PSCs formation is needed to further understand the spatiotemporal distribution of Arctic PSCs and to better predict future Arctic amplification and ozone destruction. Polar stratospheric clouds (PSCs) influence polar ozone depletion by providing a reaction interface and also influencing surface temperature changes through longwave radiation effects. Previous studies on polar stratospheric clouds mainly focus on the Antarctic, and few studies on the temporal and spatial distribution characteristics of Arctic PSCs over long timescales. Therefore, by studying the spatial and temporal distribution of PSCs in the Arctic, we found that the spatial and temporal distribution of PSCs in the Arctic has obvious interannual variation compared with that in the Antarctic. The stratospheric sudden warming (SSW) events that occur almost every 2 years in the Arctic cause great interannual variations of the Arctic polar vortex and thus affect the distribution of Arctic PSCs. Moreover, there is the least and almost none occurrence of PSCs in the 2014/2015 winter, the chemical and dynamic analysis found that SSW, decrease of SO2, H2O, and HNO3 concentration are not conducive to the formation of PSCs. It is of great significance to study the influencing factors of Arctic PSCs formation and provide a new basis for further prediction of Arctic amplification and ozone destruction. The fraction of Arctic polar stratospheric clouds (PSCs) during 2014/2015 winter was the lowest observed in the past 15 yearsThe splitting of polar vortex and the rise in temperature caused by sudden stratospheric warming (SSW) inhibited the formation of PSCsThe decrease in stratospheric sulfur dioxide, nitric acid, and water was unfavorable for the formation of PSCs before and after the SSW</t>
  </si>
  <si>
    <t>[Zhao, Zhixin; Wang, Wencai] Ocean Univ China, Frontier Sci Ctr Deep Ocean Multispheres &amp; Earth S, Qingdao, Peoples R China; [Zhao, Zhixin; Wang, Wencai] Ocean Univ China, Phys Oceanog Lab, Qingdao, Peoples R China; [Zhao, Zhixin; Wang, Wencai; Wang, Yuwei; Sheng, Lifang; Zhou, Yang; Teng, Shiwen] Ocean Univ China, Coll Ocean &amp; Atmospher Sci, Qingdao, Peoples R China</t>
  </si>
  <si>
    <t>Ocean University of China; Ocean University of China; Ocean University of China</t>
  </si>
  <si>
    <t>Wang, WC (corresponding author), Ocean Univ China, Frontier Sci Ctr Deep Ocean Multispheres &amp; Earth S, Qingdao, Peoples R China.;Wang, WC (corresponding author), Ocean Univ China, Phys Oceanog Lab, Qingdao, Peoples R China.;Wang, WC (corresponding author), Ocean Univ China, Coll Ocean &amp; Atmospher Sci, Qingdao, Peoples R China.</t>
  </si>
  <si>
    <t>wangwc@ouc.edu.cn</t>
  </si>
  <si>
    <t>ZHOU, Yang/0000-0003-4425-8954</t>
  </si>
  <si>
    <t>Natural Key Research and Development Program of China; National Natural Science Foundation of China [41875174]; NASA; [2019YFA0607000]</t>
  </si>
  <si>
    <t>Natural Key Research and Development Program of China; National Natural Science Foundation of China(National Natural Science Foundation of China (NSFC)); NASA(National Aeronautics &amp; Space Administration (NASA));</t>
  </si>
  <si>
    <t>This work is jointly supported by the Natural Key Research and Development Program of China (2019YFA0607000) and National Natural Science Foundation of China (41875174). We acknowledge NASA for providing the CALIOP PSC data and MERRA-2 data and we are grateful to ECMWF for the ERA5 data.</t>
  </si>
  <si>
    <t>e2023JD039549</t>
  </si>
  <si>
    <t>10.1029/2023JD039549</t>
  </si>
  <si>
    <t>Z1TR4</t>
  </si>
  <si>
    <t>WOS:001109980900001</t>
  </si>
  <si>
    <t>He, XC; Simon, M; Iyer, S; Xie, HB; Rörup, B; Shen, JL; Finkenzeller, H; Stolzenburg, D; Zhang, RJ; Baccarini, A; Tham, YJ; Wang, MY; Amanatidis, S; Piedehierro, AA; Amorim, A; Baalbaki, R; Brasseur, Z; Caudillo, L; Chu, BW; Dada, L; Duplissy, J; El Haddad, I; Flagan, RC; Granzin, M; Hansel, A; Heinritzi, M; Hofbauer, V; Jokinen, T; Kemppainen, D; Kong, WM; Krechmer, J; Kuerten, A; Lamkaddam, H; Lopez, B; Ma, FF; Mahfouz, NGA; Makhmutov, V; Manninen, HE; Marie, G; Marten, R; Massabo, D; Mauldin, RL; Mentler, B; Onnela, A; Petaejae, T; Pfeifer, J; Philippov, M; Ranjithkumar, A; Rissanen, MP; Schobesberger, S; Scholz, W; Schulze, B; Surdu, M; Thakur, RC; Tome, A; Wagner, AC; Wang, DY; Wang, YH; Weber, SK; Welti, A; Winkler, PM; Zauner-Wieczorek, M; Baltensperger, U; Curtius, J; Kurten, T; Worsnop, DR; Volkamer, R; Lehtipalo, K; Kirkby, J; Donahue, NM; Sipilae, M; Kulmala, M</t>
  </si>
  <si>
    <t>He, Xu-Cheng; Simon, Mario; Iyer, Siddharth; Xie, Hong-Bin; Roerup, Birte; Shen, Jiali; Finkenzeller, Henning; Stolzenburg, Dominik; Zhang, Rongjie; Baccarini, Andrea; Tham, Yee Jun; Wang, Mingyi; Amanatidis, Stavros; Piedehierro, Ana A.; Amorim, Antonio; Baalbaki, Rima; Brasseur, Zoe; Caudillo, Lucia; Chu, Biwu; Dada, Lubna; Duplissy, Jonathan; El Haddad, Imad; Flagan, Richard C.; Granzin, Manuel; Hansel, Armin; Heinritzi, Martin; Hofbauer, Victoria; Jokinen, Tuija; Kemppainen, Deniz; Kong, Weimeng; Krechmer, Jordan; Kuerten, Andreas; Lamkaddam, Houssni; Lopez, Brandon; Ma, Fangfang; Mahfouz, Naser G. A.; Makhmutov, Vladimir; Manninen, Hanna E.; Marie, Guillaume; Marten, Ruby; Massabo, Dario; Mauldin, Roy L.; Mentler, Bernhard; Onnela, Antti; Petaejae, Tuukka; Pfeifer, Joschka; Philippov, Maxim; Ranjithkumar, Ananth; Rissanen, Matti P.; Schobesberger, Siegfried; Scholz, Wiebke; Schulze, Benjamin; Surdu, Mihnea; Thakur, Roseline C.; Tome, Antonio; Wagner, Andrea C.; Wang, Dongyu; Wang, Yonghong; Weber, Stefan K.; Welti, Andre; Winkler, Paul M.; Zauner-Wieczorek, Marcel; Baltensperger, Urs; Curtius, Joachim; Kurten, Theo; Worsnop, Douglas R.; Volkamer, Rainer; Lehtipalo, Katrianne; Kirkby, Jasper; Donahue, Neil M.; Sipilae, Mikko; Kulmala, Markku</t>
  </si>
  <si>
    <t>Iodine oxoacids enhance nucleation of sulfuric acid particles in the atmosphere</t>
  </si>
  <si>
    <t>METHANESULFONIC-ACID; NUMBER CONCENTRATION; MASS-SPECTROMETER; AEROSOL FORMATION; NEUTRAL CLUSTER; SIZE; ION; NM; CHEMISTRY; AMMONIA</t>
  </si>
  <si>
    <t>The main nucleating vapor in the atmosphere is thought to be sulfuric acid (H2SO4), stabilized by ammonia (NH3). However, in marine and polar regions, NH3 is generally low, and H2SO4 is frequently found together with iodine oxoacids [HIOx, i.e., iodic acid (HIO3) and iodous acid (HIO2)]. In experiments performed with the CERN CLOUD (Cosmics Leaving OUtdoor Droplets) chamber, we investigated the interplay of H2SO4 and HIOx during atmospheric particle nucleation. We found that HIOx greatly enhances H2SO4(-NH3) nucleation through two different interactions. First, HIO3 strongly binds with H2SO4 in charged clusters so they drive particle nucleation synergistically. Second, HIO2 substitutes for NH3, forming strongly bound H2SO4-HIO2 acid-base pairs in molecular clusters. Global observations imply that HIOx is enhancing H2SO4(-NH3) nucleation rates 10- to 10,000-fold in marine and polar regions.</t>
  </si>
  <si>
    <t>[He, Xu-Cheng; Roerup, Birte; Shen, Jiali; Stolzenburg, Dominik; Tham, Yee Jun; Baalbaki, Rima; Brasseur, Zoe; Chu, Biwu; Dada, Lubna; Duplissy, Jonathan; Jokinen, Tuija; Kemppainen, Deniz; Petaejae, Tuukka; Thakur, Roseline C.; Wang, Yonghong; Worsnop, Douglas R.; Lehtipalo, Katrianne; Sipilae, Mikko; Kulmala, Markku] Univ Helsinki, Inst Atmospher &amp; Earth Syst Res Phys, Fac Sci, Helsinki 00014, Finland; [He, Xu-Cheng; Hofbauer, Victoria; Lopez, Brandon; Mahfouz, Naser G. A.; Donahue, Neil M.] Carnegie Mellon Univ, Ctr Atmospher Particle Studies, Pittsburgh, PA 15213 USA; [He, Xu-Cheng; Piedehierro, Ana A.; Welti, Andre; Lehtipalo, Katrianne] Finnish Meteorol Inst, Helsinki 00560, Finland; [Simon, Mario; Caudillo, Lucia; Granzin, Manuel; Heinritzi, Martin; Kuerten, Andreas; Marie, Guillaume; Wagner, Andrea C.; Weber, Stefan K.; Zauner-Wieczorek, Marcel; Curtius, Joachim; Kirkby, Jasper] Goethe Univ Frankfurt, Inst Atmospher &amp; Environm Sci, D-60438 Frankfurt, Germany; [Iyer, Siddharth; Rissanen, Matti P.] Tampere Univ, Fac Engn &amp; Nat Sci, Aerosol Phys Lab, Tampere 33720, Finland; [Xie, Hong-Bin; Zhang, Rongjie; Ma, Fangfang] Dalian Univ Technol, Sch Environm Sci &amp; Technol, Key Lab Ind Ecol &amp; Environm Engn, Minist Educ, Dalian 116024, Peoples R China; [Finkenzeller, Henning; Volkamer, Rainer] Univ Colorado, Dept Chem, Boulder, CO 80309 USA; [Finkenzeller, Henning; Volkamer, Rainer] Univ Colorado, Cooperat Inst Res Environm Sci, Boulder, CO 80309 USA; [Stolzenburg, Dominik] TU Wien, Inst Mat Chem, A-1060 Vienna, Austria; [Baccarini, Andrea; Dada, Lubna; El Haddad, Imad; Lamkaddam, Houssni; Marten, Ruby; Surdu, Mihnea; Wang, Dongyu; Baltensperger, Urs] Paul Scherrer Inst, Lab Atmospher Chem, CH-5232 Villigen, Switzerland; [Baccarini, Andrea] Ecole Polytech Fed Lausanne EPFL, Lab Atmospher Proc &amp; their Impact, CH-1015 Lausanne, Switzerland; [Tham, Yee Jun] Sun Yat Sen Univ, Sch Marine Sci, Zhuhai 519082, Peoples R China; [Wang, Mingyi; Amanatidis, Stavros; Flagan, Richard C.; Kong, Weimeng; Schulze, Benjamin] CALTECH, Div Chem &amp; Chem Engn, Pasadena, CA 91125 USA; [Amorim, Antonio] Univ Lisbon, CENTRA, P-1749016 Lisbon, Portugal; [Amorim, Antonio] Univ Lisbon, Fac Ciencias, P-1749016 Lisbon, Portugal; [Chu, Biwu; Wang, Yonghong] Chinese Acad Sci, Res Ctr Ecoenvironm Sci, Beijing 100084, Peoples R China; [Duplissy, Jonathan; Kulmala, Markku] Univ Helsinki, Helsinki Inst Phys, Helsinki 00014, Finland; [Hansel, Armin; Mentler, Bernhard; Scholz, Wiebke] Univ Innsbruck, Inst Ion Phys &amp; Appl Phys, A-6020 Innsbruck, Austria; [Jokinen, Tuija] Cyprus Inst, Climate &amp; Atmosphere Res Ctr CARE C, Nicosia 1645, Cyprus; [Krechmer, Jordan; Worsnop, Douglas R.] Aerodyne Res Inc, Billerica, MA 01821 USA; [Lopez, Brandon; Donahue, Neil M.] Carnegie Mellon Univ, Dept Chem Engn, Pittsburgh, PA 15213 USA; [Makhmutov, Vladimir; Philippov, Maxim] Russian Acad Sci, PN Lebedev Phys Inst, Moscow 119991, Russia; [Makhmutov, Vladimir] Natl Res Univ, Moscow Inst Phys &amp; Technol, Moscow 141701, Russia; [Manninen, Hanna E.; Onnela, Antti; Pfeifer, Joschka; Weber, Stefan K.; Kirkby, Jasper] CERN, European Org Nucl Res, CH-1211 Geneva, Switzerland; [Massabo, Dario] Univ Genoa, Dept Phys, I-16146 Genoa, Italy; [Mauldin, Roy L.; Donahue, Neil M.] Carnegie Mellon Univ, Dept Chem, Pittsburgh, PA 15213 USA; [Mauldin, Roy L.] Univ Colorado, Dept Atmospher &amp; Ocean Sci, Boulder, CO 80309 USA; [Ranjithkumar, Ananth] British Antarctic Survey, Nat Environm Res Council, Cambridge CB3 0ET, England; [Rissanen, Matti P.; Kurten, Theo] Univ Helsinki, Dept Chem, Helsinki 00014, Finland; [Schobesberger, Siegfried] Univ Eastern Finland, Dept Appl Phys, 70211 Kuopio, Finland; [Tome, Antonio] Univ Beira Interior, Inst Dom Luiz IDL, Covilha P-6201001, Portugal; [Winkler, Paul M.] Univ Vienna, Fac Phys, A-1090 Vienna, Austria; [Donahue, Neil M.] Carnegie Mellon Univ, Dept Engn &amp; Publ Policy, Pittsburgh, PA 15213 USA; [Kulmala, Markku] Nanjing Univ, Sch Atmospher Sci, Joint Int Res Lab Atmospher &amp; Earth Syst Sci, Nanjing 210023, Peoples R China; [Kulmala, Markku] Beijing Univ Chem Technol, Beijing Adv Innovat Ctr Soft Matter Sci &amp; Engn, Aerosol &amp; Haze Lab, Beijing 100029, Peoples R China</t>
  </si>
  <si>
    <t>University of Helsinki; Carnegie Mellon University; Finnish Meteorological Institute; Goethe University Frankfurt; Tampere University; Dalian University of Technology; University of Colorado System; University of Colorado Boulder; University of Colorado System; University of Colorado Boulder; Technische Universitat Wien; Swiss Federal Institutes of Technology Domain; Paul Scherrer Institute; Swiss Federal Institutes of Technology Domain; Ecole Polytechnique Federale de Lausanne; Sun Yat Sen University; California Institute of Technology; Universidade de Lisboa; Universidade de Lisboa; Chinese Academy of Sciences; Research Center for Eco-Environmental Sciences (RCEES); Helsinki Institute of Physics; University of Helsinki; University of Innsbruck; Aerodyne Research; Carnegie Mellon University; Russian Academy of Sciences; Russian Academy of Science Lebedev Physical Institute; Moscow Institute of Physics &amp; Technology; European Organization for Nuclear Research (CERN); University of Genoa; Carnegie Mellon University; University of Colorado System; University of Colorado Boulder; UK Research &amp; Innovation (UKRI); Natural Environment Research Council (NERC); NERC British Antarctic Survey; University of Helsinki; University of Eastern Finland; Universidade da Beira Interior; University of Vienna; Carnegie Mellon University; Nanjing University; Beijing University of Chemical Technology</t>
  </si>
  <si>
    <t>He, XC; Sipilae, M; Kulmala, M (corresponding author), Univ Helsinki, Inst Atmospher &amp; Earth Syst Res Phys, Fac Sci, Helsinki 00014, Finland.;He, XC (corresponding author), Carnegie Mellon Univ, Ctr Atmospher Particle Studies, Pittsburgh, PA 15213 USA.;He, XC (corresponding author), Finnish Meteorol Inst, Helsinki 00560, Finland.;Xie, HB (corresponding author), Dalian Univ Technol, Sch Environm Sci &amp; Technol, Key Lab Ind Ecol &amp; Environm Engn, Minist Educ, Dalian 116024, Peoples R China.;Kulmala, M (corresponding author), Univ Helsinki, Helsinki Inst Phys, Helsinki 00014, Finland.;Kulmala, M (corresponding author), Nanjing Univ, Sch Atmospher Sci, Joint Int Res Lab Atmospher &amp; Earth Syst Sci, Nanjing 210023, Peoples R China.;Kulmala, M (corresponding author), Beijing Univ Chem Technol, Beijing Adv Innovat Ctr Soft Matter Sci &amp; Engn, Aerosol &amp; Haze Lab, Beijing 100029, Peoples R China.</t>
  </si>
  <si>
    <t>xucheng.he@helsinki.fi; markku.kulmala@helsinki.fi; mikko.sipila@helsinki.fi; hbxie@dlut.edu.cn</t>
  </si>
  <si>
    <t>Philippov, Maxim/M-9717-2015; Dada, Lubna/X-7559-2018; Jokinen, Tuija/B-3365-2014; Wang, Yonghong/AAT-9059-2020; He, Xu-Cheng/AGF-2263-2022; Stolzenburg, Dominik/IAQ-0023-2023; Liu, Junjie/KHV-6949-2024; Massabò, Dario/C-5073-2014; baccarini, andrea/R-7251-2018; Tham, Yee Jun/AFO-0101-2022; Hansel, Armin/Y-8882-2019; Tome, Antonio R/A-5681-2013; Baalbaki, Rima/B-9124-2019; Wang, Yonghong/AAA-5402-2022; Amorim, Antonio/C-8460-2013; Iyer, Siddharth/C-8283-2017; Sipila, Mikko/G-3024-2010; Kurten, Theo/G-2120-2012; Petaja, Tuukka/A-8009-2008</t>
  </si>
  <si>
    <t>Philippov, Maxim/0000-0003-4302-0020; Dada, Lubna/0000-0003-1105-9043; Jokinen, Tuija/0000-0002-1280-1396; He, Xu-Cheng/0000-0002-7416-306X; Stolzenburg, Dominik/0000-0003-1014-1360; Massabò, Dario/0000-0001-7445-0328; baccarini, andrea/0000-0003-4614-247X; Hansel, Armin/0000-0002-1062-2394; Baalbaki, Rima/0000-0002-4480-2107; Wang, Yonghong/0000-0003-2498-9143; Finkenzeller, Henning/0000-0002-8349-3714; Amorim, Antonio/0000-0003-0638-2321; Thakur, Roseline/0000-0002-3238-4171; Lehtipalo, Katrianne/0000-0002-1660-2706; Rissanen, Matti/0000-0003-0463-8098; Tome, Antonio/0000-0001-9144-7120; Iyer, Siddharth/0000-0001-5989-609X; Sipila, Mikko/0000-0002-8594-7003; Rorup, Birte/0000-0001-8755-9453; Kurten, Theo/0000-0002-6416-4931; Ma, Fangfang/0000-0002-4344-8433; Petaja, Tuukka/0000-0002-1881-9044</t>
  </si>
  <si>
    <t>National Science Foundation; CERN</t>
  </si>
  <si>
    <t>National Science Foundation(National Science Foundation (NSF)); CERN</t>
  </si>
  <si>
    <t>We thank CERN for supporting CLOUD with important technical and financial resources and for providing a particle beam from the CERN Proton Synchrotron. We thank the CSC IT Center for Science in Espoo, Finland, for computing time.</t>
  </si>
  <si>
    <t>DEC 15</t>
  </si>
  <si>
    <t>10.1126/science.adh2526</t>
  </si>
  <si>
    <t>KZ1V5</t>
  </si>
  <si>
    <t>WOS:001183708700007</t>
  </si>
  <si>
    <t>Li, YW; Pedersen, C; Dykema, J; Vernier, JP; Vattioni, S; Pandit, AK; Stenke, A; Asher, E; Thornberry, T; Todt, MA; Bui, TP; Dean-Day, J; Keutsch, FN</t>
  </si>
  <si>
    <t>Li, Yaowei; Pedersen, Corey; Dykema, John; Vernier, Jean-Paul; Vattioni, Sandro; Pandit, Amit Kumar; Stenke, Andrea; Asher, Elizabeth; Thornberry, Troy; Todt, Michael A.; Bui, Thao Paul; Dean-Day, Jonathan; Keutsch, Frank N.</t>
  </si>
  <si>
    <t>In situ measurements of perturbations to stratospheric aerosol and modeled ozone and radiative impacts following the 2021 La Soufriere eruption</t>
  </si>
  <si>
    <t>PINATUBO VOLCANIC AEROSOL; CLIMATE; SENSITIVITY; RETRIEVAL; APRIL; LAYER; CYCLE; SIZE</t>
  </si>
  <si>
    <t>Stratospheric aerosols play important roles in Earth's radiative budget and in heterogeneous chemistry. Volcanic eruptions modulate the stratospheric aerosol layer by injecting particles and particle precursors like sulfur dioxide (SO2 ) into the stratosphere. Beginning on 9 April 2021, La Soufriere erupted, injecting SO2 into the tropical upper troposphere and lower stratosphere, yielding a peak SO2 loading of 0.3-0.4 Tg. The resulting volcanic aerosol plumes dispersed predominately over the Northern Hemisphere (NH), as indicated by the CALIOP/CALIPSO satellite observations and model simulations. From June to August 2021 and May to July 2022, the NASA ER-2 high-altitude aircraft extensively sampled the stratospheric aerosol layer over the continental United States during the Dynamics and Chemistry of the Summer Stratosphere (DCOTSS) mission. These in situ aerosol measurements provide detailed insights into the number concentration, size distribution, and spatiotemporal variations of particles within volcanic plumes. Notably, aerosol surface area density and number density in 2021 were enhanced by a factor of 2-4 between 380-500 K potential temperature compared to the 2022 DCOTSS observations, which were minimally influenced by volcanic activity. Within the volcanic plume, the observed aerosol number density exhibited significant meridional and zonal variations, while the mode and shape of aerosol size distributions did not vary. The La Soufriere eruption led to an increase in the number concentration of small particles ( &lt; 400 nm), resulting in a smaller aerosol effective diameter during the summer of 2021 compared to the baseline conditions in the summer of 2022, as observed in regular ER-2 profiles over Salina, Kansas. A similar reduction in aerosol effective diameter was not observed in ER-2 profiles over Palmdale, California, possibly due to the values that were already smaller in that region during the limited sampling period in 2022. Additionally, we modeled the eruption with the SOCOL-AERv2 aerosol-chemistry-climate model. The modeled aerosol enhancement aligned well with DCOTSS observations, although the direct comparison was complicated by issues related to the model's background aerosol burden. This study indicates that the La Soufriere eruption contributed approximately 0.6 % to Arctic and Antarctic ozone column depletion in both 2021 and 2022, which is well within the range of natural variability. The modeled top-of-atmosphere 1-year global average radiative forcing was - 0.08 W m(-2) clear-sky and - 0.04 W m(-2) all-sky. The radiative effects were concentrated in the tropics and NH midlatitudes and diminished to near-baseline levels after 1 year.</t>
  </si>
  <si>
    <t>[Li, Yaowei; Pedersen, Corey; Dykema, John; Keutsch, Frank N.] Harvard Univ, Sch Engn &amp; Appl Sci, Cambridge, MA 02138 USA; [Vernier, Jean-Paul] NASA, Langley Res Ctr, Hampton, VA 23666 USA; [Vernier, Jean-Paul; Pandit, Amit Kumar] Natl Inst Aerosp, Hampton, VA 23666 USA; [Vattioni, Sandro; Stenke, Andrea] ETH, Inst Atmospher &amp; Climate Sci, CH-8092 Zurich, Switzerland; [Stenke, Andrea] Inst Biogeochem &amp; Pollutant Dynam, ETH Zurich, CH-8092 Zurich, Switzerland; [Stenke, Andrea] Swiss Fed Inst Aquat Sci &amp; Technol, Eawag, CH-8600 Dubendorf, Switzerland; [Asher, Elizabeth; Todt, Michael A.] Univ Colorado, Cooperat Inst Res Environm Sci CIRES, Boulder, CO 80309 USA; [Thornberry, Troy] NOAA, Chem Sci Lab, Boulder, CO 80309 USA; [Bui, Thao Paul] NASA, Ames Res Ctr, Moffett Field, CA 94043 USA; [Dean-Day, Jonathan] Bay Area Environm Res Inst, Petaluma, CA 94035 USA; [Keutsch, Frank N.] Harvard Univ, Dept Chem &amp; Chem Biol, Cambridge, MA 02138 USA; [Keutsch, Frank N.] Harvard Univ, Dept Earth &amp; Planetary Sci, Cambridge, MA 02138 USA; [Asher, Elizabeth] NOAA, Global Monitoring Lab, Boulder, CO 80309 USA; [Todt, Michael A.] Finnish Meteorol Inst FMI, Helsinki 00560, Finland</t>
  </si>
  <si>
    <t>Harvard University; National Aeronautics &amp; Space Administration (NASA); NASA Langley Research Center; National Institute for Aerospace; Swiss Federal Institutes of Technology Domain; ETH Zurich; Swiss Federal Institutes of Technology Domain; ETH Zurich; Swiss Federal Institutes of Technology Domain; Swiss Federal Institute of Aquatic Science &amp; Technology (EAWAG); University of Colorado System; University of Colorado Boulder; National Oceanic Atmospheric Admin (NOAA) - USA; National Aeronautics &amp; Space Administration (NASA); NASA Ames Research Center; Harvard University; Harvard University; National Oceanic Atmospheric Admin (NOAA) - USA; Finnish Meteorological Institute</t>
  </si>
  <si>
    <t>Li, YW; Keutsch, FN (corresponding author), Harvard Univ, Sch Engn &amp; Appl Sci, Cambridge, MA 02138 USA.;Keutsch, FN (corresponding author), Harvard Univ, Dept Chem &amp; Chem Biol, Cambridge, MA 02138 USA.;Keutsch, FN (corresponding author), Harvard Univ, Dept Earth &amp; Planetary Sci, Cambridge, MA 02138 USA.</t>
  </si>
  <si>
    <t>yaoweili@seas.harvard.edu; keutsch@seas.harvard.edu</t>
  </si>
  <si>
    <t>Pedersen, Corey/0009-0005-9220-6931; THORNBERRY, TROY/0000-0001-7478-1944; Todt, Michael/0000-0001-5753-9275; Li, Yaowei/0000-0003-0725-6108</t>
  </si>
  <si>
    <t>National Aeronautics and Space Administration [80NSSC19K0326]</t>
  </si>
  <si>
    <t>National Aeronautics and Space Administration(National Aeronautics &amp; Space Administration (NASA))</t>
  </si>
  <si>
    <t>This research has been supported by the National Aeronautics and Space Administration (grant no. 80NSSC19K0326).</t>
  </si>
  <si>
    <t>10.5194/acp-23-15351-2023</t>
  </si>
  <si>
    <t>JE4I5</t>
  </si>
  <si>
    <t>Green Accepted, gold, Green Published</t>
  </si>
  <si>
    <t>WOS:001171470500001</t>
  </si>
  <si>
    <t>Paterne, M; Druffel, ERM; Guilderson, TP; Blamart, D; Moreau, C; Weil-Accardo, J; Feuillet, N</t>
  </si>
  <si>
    <t>Paterne, Martine; Druffel, Ellen R. M.; Guilderson, Thomas P.; Blamart, Dominique; Moreau, Christophe; Weil-Accardo, Jennifer; Feuillet, Nathalie</t>
  </si>
  <si>
    <t>Pulses of South Atlantic water into the tropical North Atlantic since 1825 from coral isotopes</t>
  </si>
  <si>
    <t>SCIENCE ADVANCES</t>
  </si>
  <si>
    <t>MERIDIONAL OVERTURNING CIRCULATION; SEA-SURFACE TEMPERATURE; OCEAN BASINS NORTH; RESERVOIR CORRECTIONS; BOMB RADIOCARBON; VARIABILITY; TRANSPORT; SALINITY; VENTILATION; EXCHANGE</t>
  </si>
  <si>
    <t>Decadal and multidecadal changes in the meridional overturning circulation may originate from either the subpolar North Atlantic or the Southern Hemisphere. New records of carbon and oxygen isotopes from an eastern Martinique Island (Lesser Antilles) coral reveal irregular, decadal, double-step events of low Delta C-14 and enhanced vertical mixing, high delta O-18 and high delta C-13 values starting in 1885. Comparison of the new and published Delta C-14 records indicates that the last event (1956-1969) coincides with a widespread, double-step Delta C-14 low of South Atlantic origin from 32 degrees N to 18 degrees S, associated with a major slowdown of the Caribbean Current transport between 1963 and 1969. This event and the past Martinique Delta C-14 lows are attributed to pulses of northward advection of low Delta C-14 Sub-Antarctic Mode Waters into the tropical Atlantic. They are coeval with changes of the tropical freshwater budget and likely driven by meridional overturning circulation changes since similar to 1880.</t>
  </si>
  <si>
    <t>[Paterne, Martine; Blamart, Dominique] Univ Paris Saclay, CEA CNRS UVSQ, LSCE IPSL, Lab Sci Climat &amp; Environm,Domaine CNRS, F-91198 Gif Sur Yvette, France; [Druffel, Ellen R. M.] Univ Calif Irvine, Dept Earth Syst Sci, Irvine, CA 92697 USA; [Guilderson, Thomas P.] Univ Calif Santa Cruz, Ocean Sci Dept, Santa Cruz, CA 95604 USA; [Moreau, Christophe] CEA Saclay, LMC14, UMS 2572, Batiment 450,Porte 4E, F-91191 Gif Sur Yvette, France; [Weil-Accardo, Jennifer] Aix Marseille Univ, CNRS, IRD, INRAE,CEREGE, Aix En Prov, France; [Feuillet, Nathalie] Inst Phys Globe Paris, CNRS Paris Sorbonne Paris Cite, UMR 7154, Paris, France</t>
  </si>
  <si>
    <t>Universite Paris Cite; CEA; Centre National de la Recherche Scientifique (CNRS); Universite Paris Saclay; University of California System; University of California Irvine; University of California System; University of California Santa Cruz; CEA; Centre National de la Recherche Scientifique (CNRS); Institut de Recherche pour le Developpement (IRD); Universite Paris Saclay; Centre National de la Recherche Scientifique (CNRS); Institut de Recherche pour le Developpement (IRD); Aix-Marseille Universite; INRAE; Universite Paris Cite; Centre National de la Recherche Scientifique (CNRS); CNRS - National Institute for Earth Sciences &amp; Astronomy (INSU)</t>
  </si>
  <si>
    <t>Paterne, M (corresponding author), Univ Paris Saclay, CEA CNRS UVSQ, LSCE IPSL, Lab Sci Climat &amp; Environm,Domaine CNRS, F-91198 Gif Sur Yvette, France.</t>
  </si>
  <si>
    <t>martine.paterne@lsce.ipsl.fr</t>
  </si>
  <si>
    <t>Druffel, Ellen/0000-0002-7139-1075</t>
  </si>
  <si>
    <t>CEA-CNRS-UVSQ; French INSU; ANR-Carquakes programs</t>
  </si>
  <si>
    <t>This work received the financial support of the CEA-CNRS-UVSQ and the French INSU (Lefe &amp; ST) and ANR-Carquakes programs</t>
  </si>
  <si>
    <t>2375-2548</t>
  </si>
  <si>
    <t>SCI ADV</t>
  </si>
  <si>
    <t>Sci. Adv.</t>
  </si>
  <si>
    <t>eadi1687</t>
  </si>
  <si>
    <t>10.1126/sciadv.adi1687</t>
  </si>
  <si>
    <t>EY5R7</t>
  </si>
  <si>
    <t>WOS:001142514700014</t>
  </si>
  <si>
    <t>Ryabov, A; Berger, U; Blasius, B; Meyer, B</t>
  </si>
  <si>
    <t>Ryabov, Alexey; Berger, Uta; Blasius, Bernd; Meyer, Bettina</t>
  </si>
  <si>
    <t>Driving forces of Antarctic krill abundance</t>
  </si>
  <si>
    <t>EUPHAUSIA-SUPERBA DANA; SOUTHERN ANNULAR MODE; PALMER LTER; SEA-ICE; RECRUITMENT; VARIABILITY; GROWTH; ZONE; ENSO; TEMPERATURE</t>
  </si>
  <si>
    <t>Antarctic krill, crucial to the Southern Ocean ecosystem and a vital fisheries resource, is endangered by climate change. Identifying drivers of krill biomass is therefore essential for determining catch limits and designating protection zones. We present a modeling approach to pinpointing effects of sea surface temperature, ice cover, chlorophyll levels, climate indices, and intraspecific competition. Our study reveals that larval recruitment is driven by both competition among age classes and chlorophyll levels. In addition, while milder ice and temperature in spring and summer favor reproduction and early larval survival, both larvae and juveniles strongly benefit from heavier ice and colder temperatures in winter. We conclude that omitting top-down control of resources by krill is only acceptable for retrospective or single-year prognostic models that use field chlorophyll data but that incorporating intraspecific competition is essential for longer-term forecasts. Our findings can guide future krill modeling strategies, reinforcing the sustainability of this keystone species.</t>
  </si>
  <si>
    <t>[Ryabov, Alexey; Meyer, Bettina] Helmholtz Ctr Polar &amp; Marine Res, Alfred Wegener Inst, Sect Polar Biol Oceanog, Handelshafen 12, D-27570 Bremerhaven, Germany; [Ryabov, Alexey; Berger, Uta] Tech Univ Dresden, Inst Forest Growth &amp; Comp Sci, D-01062 Dresden, Germany; [Ryabov, Alexey; Blasius, Bernd; Meyer, Bettina] Carl Von Ossietzky Univ Oldenburg, Inst Chem &amp; Biol Marine Environm, Oldenburg, Germany; [Blasius, Bernd; Meyer, Bettina] Carl Von Ossietzky Univ Oldenburg, Helmholtz Inst Funct Marine Biodivers HIFMB, Oldenburg, Germany</t>
  </si>
  <si>
    <t>Helmholtz Association; Alfred Wegener Institute, Helmholtz Centre for Polar &amp; Marine Research; Technische Universitat Dresden; Carl von Ossietzky Universitat Oldenburg; Carl von Ossietzky Universitat Oldenburg</t>
  </si>
  <si>
    <t>Ryabov, A; Meyer, B (corresponding author), Helmholtz Ctr Polar &amp; Marine Res, Alfred Wegener Inst, Sect Polar Biol Oceanog, Handelshafen 12, D-27570 Bremerhaven, Germany.;Ryabov, A (corresponding author), Tech Univ Dresden, Inst Forest Growth &amp; Comp Sci, D-01062 Dresden, Germany.;Ryabov, A; Meyer, B (corresponding author), Carl Von Ossietzky Univ Oldenburg, Inst Chem &amp; Biol Marine Environm, Oldenburg, Germany.;Meyer, B (corresponding author), Carl Von Ossietzky Univ Oldenburg, Helmholtz Inst Funct Marine Biodivers HIFMB, Oldenburg, Germany.</t>
  </si>
  <si>
    <t>alexey.ryabov@uol.de; bettina.meyer@awi.de</t>
  </si>
  <si>
    <t>Berger, Uta/0000-0001-6920-136X; Ryabov, Alexey/0000-0002-1595-6940; Meyer, Bettina/0000-0001-6804-9896; Blasius, Bernd/0000-0002-6558-1462</t>
  </si>
  <si>
    <t>German Ministry for Education and Research (BMBF) [FKZ 03F0828B, FKZ 03F0828A]; Federal Ministry of Food and Agriculture (BMEL) [2819HS001]; Helmholtz Research Program Changing Earth-Sustaining our Future, Research Field Earth Environment; Open Access Publication Funds of Alfred-Wegener-Institut Helmholtz-Zentrum fur Polarund Meeresforschung</t>
  </si>
  <si>
    <t>German Ministry for Education and Research (BMBF)(Federal Ministry of Education &amp; Research (BMBF)); Federal Ministry of Food and Agriculture (BMEL); Helmholtz Research Program Changing Earth-Sustaining our Future, Research Field Earth Environment; Open Access Publication Funds of Alfred-Wegener-Institut Helmholtz-Zentrum fur Polarund Meeresforschung</t>
  </si>
  <si>
    <t>A.R. acknowledges PEKRIS II, subproject B (FKZ 03F0828B), and PEKRIS II subproject A (FKZ 03F0828A) of the German Ministry for Education and Research (BMBF). B.M. was supported by a grant from the Federal Ministry of Food and Agriculture (BMEL, Project KrillBIS II, grant number 2819HS001) and the Helmholtz Research Program Changing Earth-Sustaining our Future, Research Field Earth &amp; Environment, Topic 6, subtopic 6.1. We acknowledge support by the Open Access Publication Funds of Alfred-Wegener-Institut Helmholtz-Zentrum fur Polarund Meeresforschung</t>
  </si>
  <si>
    <t>eadh4584</t>
  </si>
  <si>
    <t>10.1126/sciadv.adh4584</t>
  </si>
  <si>
    <t>WOS:001142514700007</t>
  </si>
  <si>
    <t>Van Breedam, J; Huybrechts, P; Crucifix, M</t>
  </si>
  <si>
    <t>Van Breedam, Jonas; Huybrechts, Philippe; Crucifix, Michel</t>
  </si>
  <si>
    <t>Hysteresis and orbital pacing of the early Cenozoic Antarctic ice sheet</t>
  </si>
  <si>
    <t>CLIMATE OF THE PAST</t>
  </si>
  <si>
    <t>TIPPING POINTS; CLIMATE; GREENLAND; IMPACT; GLACIATION; FEEDBACK</t>
  </si>
  <si>
    <t>The hysteresis behaviour of ice sheets arises because of the different thresholds for growth and decline of a continental-scale ice sheet depending on the initial conditions. In this study, the hysteresis effect of the early Cenozoic Antarctic ice sheet to different bedrock elevations is investigated with an improved ice sheet-climate coupling method that accurately captures the ice-albedo feedback. It is shown that the hysteresis effect of the early Cenozoic Antarctic ice sheet is similar to 180 ppmv or between 3.5 and 5 circle C, depending only weakly on the bedrock elevation dataset. Excluding isostatic adjustment decreases the hysteresis effect significantly towards similar to 40 ppmv because the transition to a glacial state can occur at a warmer level. The rapid transition from a glacial to a deglacial state and oppositely from deglacial to glacial conditions is strongly enhanced by the ice-albedo feedback, in combination with the elevation-surface mass balance feedback. Variations in the orbital parameters show that extreme values of the orbital parameters are able to exceed the threshold in summer insolation to induce a (de)glaciation. It appears that the long-term eccentricity cycle has a large influence on the ice sheet growth and decline and is able to pace the ice sheet evolution for constant CO 2 concentration close to the glaciation threshold.</t>
  </si>
  <si>
    <t>[Van Breedam, Jonas; Huybrechts, Philippe] Vrije Univ Brussel, Earth Syst Sci, Brussels, Belgium; [Van Breedam, Jonas; Huybrechts, Philippe] Vrije Univ Brussel, Dept Geog, Brussels, Belgium; [Crucifix, Michel] UCLouvain, Earth &amp; Life Inst, Louvain La Neuve, Belgium</t>
  </si>
  <si>
    <t>Vrije Universiteit Brussel; Vrije Universiteit Brussel; Universite Catholique Louvain</t>
  </si>
  <si>
    <t>Van Breedam, J (corresponding author), Vrije Univ Brussel, Earth Syst Sci, Brussels, Belgium.;Van Breedam, J (corresponding author), Vrije Univ Brussel, Dept Geog, Brussels, Belgium.</t>
  </si>
  <si>
    <t>jonas.van.breedam@vub.be</t>
  </si>
  <si>
    <t>Huybrechts, Philippe/J-5278-2013</t>
  </si>
  <si>
    <t>Huybrechts, Philippe/0000-0003-1406-0525; Van Breedam, Jonas/0000-0003-1504-9520</t>
  </si>
  <si>
    <t>Fonds Wetenschappelijk Onderzoek</t>
  </si>
  <si>
    <t>Fonds Wetenschappelijk Onderzoek(FWO)</t>
  </si>
  <si>
    <t>We thank two anonymous reviewers for their useful comments and very detailed feedback.</t>
  </si>
  <si>
    <t>1814-9324</t>
  </si>
  <si>
    <t>1814-9332</t>
  </si>
  <si>
    <t>CLIM PAST</t>
  </si>
  <si>
    <t>Clim. Past.</t>
  </si>
  <si>
    <t>DEC 14</t>
  </si>
  <si>
    <t>10.5194/cp-19-2551-2023</t>
  </si>
  <si>
    <t>IU4R6</t>
  </si>
  <si>
    <t>WOS:001168842700001</t>
  </si>
  <si>
    <t>Zare, M; Esmaeili, N; Hosseini, H; Choupani, SMH; Akhavan, S; Salini, M; Rombenso, A; Stejskal, V</t>
  </si>
  <si>
    <t>Zare, Mahyar; Esmaeili, Noah; Hosseini, Hossein; Choupani, Seyedeh Mahsa Hosseini; Akhavan, Sobhan; Salini, Michael; Rombenso, Artur; Stejskal, Vlastimil</t>
  </si>
  <si>
    <t>Do optimum dietary protein and early mild stress events prepare oscar (Astronotus ocellatus) for a stressful future?</t>
  </si>
  <si>
    <t>AQUACULTURE REPORTS</t>
  </si>
  <si>
    <t>Acute stress; Antioxidant response; Blood performance; Ornamental fish; Stress physiology; Stress response</t>
  </si>
  <si>
    <t>TROUT ONCORHYNCHUS-MYKISS; RED-SPOTTED GROUPER; BODY-COMPOSITION; RAINBOW-TROUT; GROWTH-PERFORMANCE; LIPID-LEVELS; FEED-UTILIZATION; IMMUNOLOGICAL PARAMETERS; IMMUNE-RESPONSES; NILE TILAPIA</t>
  </si>
  <si>
    <t>This study aimed to investigate the effects of dietary protein (380 vs 510 g/kg) and duration of early mild stress (0, 2 and 4 weeks) on growth, haematology, serum biochemistry, immunological response, antioxidant system, liver enzymes, and stress responsiveness of oscar (Astronotus ocellatus; 4.7 +/- 0.6 g). After the nine-week feeding trial, all fish were exposed to final acute AC stress (acute confinement stress) and sampled for serum and haematological parameters. Fish fed dietary 510 g/kg protein grew faster (gain 54.21 g vs 42.98 g) and had a higher condition factor (2.22 vs 1.81) than those fed diets containing 380 g/kg protein after ten weeks feeding ad libitum. After AC stress, oscars subjected to four-time stress (4EMS) had a higher survival rate than the 0EMS group (77.08% vs 64.59%). Additionally, white blood cells, blood performance, total protein, high-density lipoproteins, immunoglobulin M, complement component 4, complement component 3, superoxide dismutase, and glutathione peroxidase were significantly greater in the two-time stress (2EMS) group than the 0EMS treatments. Although fish welfare must be considered, mild stress during the trial can reduce glucocorticoid feedback sensitivity in fish, resulting in greater survival after the acute stress reaction at the end of the study.</t>
  </si>
  <si>
    <t>[Zare, Mahyar; Stejskal, Vlastimil] Univ South Bohemia, Inst Aquaculture &amp; Protect Waters, Ceske Budejovice, Czech Republic; [Esmaeili, Noah] Univ Tasmania, Inst Marine &amp; Antarctic Studies, Hobart, Tas, Australia; [Hosseini, Hossein] Razi Univ, Fac Vet Med, Dept Microbiol Pathobiol &amp; Basic Sci, Kermanshah, Iran; [Choupani, Seyedeh Mahsa Hosseini] Tarbiat Modares Univ, Fac Marine Sci, Dept Fisheries, Noor, Iran; [Akhavan, Sobhan] Nelson Marlborough Inst Technol, 322 Hardy St,Private Bag 19, Nelson 7010, New Zealand; [Salini, Michael] Deakin Univ, Sch Life &amp; Environm Sci, Nutr &amp; Seafood Lab NuSea Lab, Queenscliff, Vic 3225, Australia; [Rombenso, Artur] CSIRO, Livestock &amp; Aquaculture Program, Bribie Isl Res Ctr, Agr &amp; Food, Woorim, Qld, Australia; [Esmaeili, Noah] Univ Tasmania, Inst Marine &amp; Antarctic Studies, 15-21 Nubeena Cres, Taroona, Tas 7053, Australia</t>
  </si>
  <si>
    <t>University of South Bohemia Ceske Budejovice; University of Tasmania; Razi University; Tarbiat Modares University; Nelson Marlborough Institute of Technology; Deakin University; Commonwealth Scientific &amp; Industrial Research Organisation (CSIRO); Queensland Department of Agriculture &amp; Fisheries; University of Tasmania</t>
  </si>
  <si>
    <t>Esmaeili, N (corresponding author), Univ Tasmania, Inst Marine &amp; Antarctic Studies, 15-21 Nubeena Cres, Taroona, Tas 7053, Australia.</t>
  </si>
  <si>
    <t>Noah.esmaeili@utas.edu.au</t>
  </si>
  <si>
    <t>Esmaeili, Noah/Q-4536-2019</t>
  </si>
  <si>
    <t>Esmaeili, Noah/0000-0001-8704-939X</t>
  </si>
  <si>
    <t>Razi University</t>
  </si>
  <si>
    <t>The authors would like to thank Razi University and Abzian for their financial support as well as for providing space and fish for this research. Thank you is also extended to everyone for their invaluable practical assistance.</t>
  </si>
  <si>
    <t>2352-5134</t>
  </si>
  <si>
    <t>AQUACULT REP</t>
  </si>
  <si>
    <t>Aquacult. Rep.</t>
  </si>
  <si>
    <t>10.1016/j.aqrep.2023.101854</t>
  </si>
  <si>
    <t>Fisheries</t>
  </si>
  <si>
    <t>EF4K3</t>
  </si>
  <si>
    <t>WOS:001137492800001</t>
  </si>
  <si>
    <t>Podder, RSIS; Gupta, AK; Clemens, S; Sanyal, P; Panigrahi, MK</t>
  </si>
  <si>
    <t>Podder, Raj S. I. S.; Gupta, Anil K.; Clemens, Steven; Sanyal, Prasanta; Panigrahi, M. K.</t>
  </si>
  <si>
    <t>Changes in the Indian Ocean surface hydrography driven by the seaway closure and monsoonal circulation since the late Oligocene</t>
  </si>
  <si>
    <t>South Asian monsoon; Miocene Indian Ocean circulation; Miocene Climatic Optimum; Middle Miocene Climatic Transition; Indonesian gateway; East Tethyan Seaway</t>
  </si>
  <si>
    <t>MIOCENE CLIMATIC TRANSITION; SOUTH ASIAN MONSOON; LAYER HEAT-BALANCE; MIXED-LAYER; MIDDLE; EVOLUTION; PACIFIC; MA; PRODUCTIVITY; VARIABILITY</t>
  </si>
  <si>
    <t>Closure of the East Tethyan and Indonesian gateways and development of the Indian or South Asian monsoon (SAM) wind system had profound control on Indian Ocean circulation. However, the dynamics of the Indian Ocean surface hydrography since the late Oligocene hitherto remains poorly constrained. Planktic foraminiferal relative abundance and stable isotope data from ODP Site 758A, eastern equatorial Indian Ocean (EEIO) reveal a conspicuous thick mixed layer between-25.6 and 14.7 Ma, except for a short-lived thinning from 20.7 to 19.4 Ma. We suggest that existence of a thick mixed layer and perhaps higher sea surface temperatures in the EEIO increased convection and atmospheric moisture transport to the southern hemisphere, which contributed to the expansion of Antarctic ice volume. The East Tethyan Seaway closure and constriction of the Indonesian Gateways cooled the surface and deep waters at-14.7 Ma when the mixed layer thickness began to decrease and thermocline began to shoal. Seasonal fluctuations between mixed layer and thermocline were secular from 25.6 to 12.9 Ma which became more intense and frequent in the younger interval. A shift in the surface hydrography with high frequency changes at-12.9 Ma was driven by the onset of the SAM wind system, leading to the development of the modern summer monsoon surface circulation in the Indian Ocean.</t>
  </si>
  <si>
    <t>[Podder, Raj S. I. S.; Gupta, Anil K.; Panigrahi, M. K.] Indian Inst Technol Kharagpur, Dept Geol &amp; Geophys, Kharagpur 721302, India; [Clemens, Steven] Brown Univ, Dept Earth Environm &amp; Planetary Sci, Providence, RI 02912 USA; [Sanyal, Prasanta] Indian Inst Sci Educ &amp; Res IISER Kolkata, Dept Earth Sci, Mohanpur Campus, Mohanpur 741246, India</t>
  </si>
  <si>
    <t>Indian Institute of Technology System (IIT System); Indian Institute of Technology (IIT) - Kharagpur; Brown University; Indian Institute of Science Education &amp; Research (IISER) - Kolkata</t>
  </si>
  <si>
    <t>Gupta, AK (corresponding author), Indian Inst Technol Kharagpur, Dept Geol &amp; Geophys, Kharagpur 721302, India.</t>
  </si>
  <si>
    <t>rajsispodder94@gmail.com; anilg@gg.iitkgp.ac.in; steven_clemens@brown.edu; psanyal@iiserkol.ac.in; mkp@gg.iitkgp.ac.in</t>
  </si>
  <si>
    <t>SERB, Department of Science and Technology, Government of India [JBR/2021/000019]; Indian Institute of Technology Kharagpur</t>
  </si>
  <si>
    <t>SERB, Department of Science and Technology, Government of India; Indian Institute of Technology Kharagpur</t>
  </si>
  <si>
    <t>Authors thank Ocean Drilling Program for providing samples for the present study (ODP Request no. 13626 A, B, C, D) . AKG thanks the SERB, Department of Science and Technology, Government of India for Sir J. C. Bose fellowship (Grant No. JBR/2021/000019) to support this research. Indian Institute of Technology Kharagpur is acknowledged for providing fellowship to RSISP and providing facility for the present work. We sincerely thank the reviewer and editor for their constructive comments and significant effort towards improving our manuscript.</t>
  </si>
  <si>
    <t>10.1016/j.gloplacha.2023.104335</t>
  </si>
  <si>
    <t>EH4D0</t>
  </si>
  <si>
    <t>WOS:001138008400001</t>
  </si>
  <si>
    <t>Lopez-Simon, J; Vila-Nistal, M; Rosenova, A; De Corte, D; Baltar, F; Martinez-Garcia, M</t>
  </si>
  <si>
    <t>Lopez-Simon, Javier; Vila-Nistal, Marina; Rosenova, Aleksandra; De Corte, Daniele; Baltar, Federico; Martinez-Garcia, Manuel</t>
  </si>
  <si>
    <t>Viruses under the Antarctic Ice Shelf are active and potentially involved in global nutrient cycles</t>
  </si>
  <si>
    <t>NATURE COMMUNICATIONS</t>
  </si>
  <si>
    <t>MARINE VIRUSES; DIVERSITY; PROTEIN; EVOLUTIONARY; ABUNDANCE; BACTERIA; WATERS; GENES</t>
  </si>
  <si>
    <t>Viruses play an important role in the marine ecosystem. However, our comprehension of viruses inhabiting the dark ocean, and in particular, under the Antarctic Ice Shelves, remains limited. Here, we mine single-cell genomic, transcriptomic, and metagenomic data to uncover the viral diversity, biogeography, activity, and their role as metabolic facilitators of microbes beneath the Ross Ice Shelf. This is the largest Antarctic ice shelf with a major impact on global carbon cycle. The viral community found in the cavity under the ice shelf mainly comprises endemic viruses adapted to polar and mesopelagic environments. The low abundance of genes related to lysogenic lifestyle (&lt;3%) does not support a predominance of the Piggyback-the-Winner hypothesis, consistent with a low-productivity habitat. Our results indicate a viral community actively infecting key ammonium and sulfur-oxidizing chemolithoautotrophs (e.g. Nitrosopumilus spp, Thioglobus spp.), supporting a kill-the-winner dynamic. Based on genome analysis, these viruses carry specific auxiliary metabolic genes potentially involved in nitrogen, sulfur, and phosphorus acquisition. Altogether, the viruses under Antarctic ice shelves are putatively involved in programming the metabolism of ecologically relevant microbes that maintain primary production in these chemosynthetically-driven ecosystems, which have a major role in global nutrient cycles.</t>
  </si>
  <si>
    <t>[Lopez-Simon, Javier; Vila-Nistal, Marina; Rosenova, Aleksandra; Martinez-Garcia, Manuel] Univ Alicante, Dept Physiol Genet &amp; Microbiol, Carretera San Vicente Raspeig,San Vicente Raspeig, Alicante 03690, Spain; [De Corte, Daniele] Carl von Ossietzky Univ Oldenburg, Inst Chem &amp; Biol Marine Environm, Oldenburg, Germany; [De Corte, Daniele] Natl Oceanog Ctr, Ocean Technol &amp; Engn, Southampton, England; [Baltar, Federico] Univ Vienna, Dept Funct &amp; Evolutionary Ecol, Djerassipl 1, A-1030 Vienna, Austria; [Martinez-Garcia, Manuel] Univ Alicante, Inst Multidisciplinar Estudio Medio Ramon Marg, Campus San Vicente Raspeig, Alicante 03690, Spain</t>
  </si>
  <si>
    <t>Universitat d'Alacant; Carl von Ossietzky Universitat Oldenburg; NERC National Oceanography Centre; University of Vienna; Universitat d'Alacant</t>
  </si>
  <si>
    <t>Martinez-Garcia, M (corresponding author), Univ Alicante, Dept Physiol Genet &amp; Microbiol, Carretera San Vicente Raspeig,San Vicente Raspeig, Alicante 03690, Spain.;Baltar, F (corresponding author), Univ Vienna, Dept Funct &amp; Evolutionary Ecol, Djerassipl 1, A-1030 Vienna, Austria.;Martinez-Garcia, M (corresponding author), Univ Alicante, Inst Multidisciplinar Estudio Medio Ramon Marg, Campus San Vicente Raspeig, Alicante 03690, Spain.</t>
  </si>
  <si>
    <t>federico.baltar@univie.ac.at; m.martinez@ua.es</t>
  </si>
  <si>
    <t>; Baltar, Federico/C-3260-2012</t>
  </si>
  <si>
    <t>Martinez-Garcia, Manuel/0000-0001-5056-1525; Baltar, Federico/0000-0001-8907-1494; Vila-Nistal, Marina/0000-0002-5635-5607</t>
  </si>
  <si>
    <t>Spanish Ministry of Science and Innovation and Agencia Estatal de Investigacion [PID2021-125175OB-I00]; New Zealand Antarctic Research Institute (NZARI); New Zealand Antarctic Science Platform [ANTA1801]; Austrian science fond (FWF) [P34304-B, TAI534, P35248, P35619-B]; Royal Society of New Zealand; Austrian Science Fund (FWF) [P34304, TAI534, P35248, P35619] Funding Source: Austrian Science Fund (FWF)</t>
  </si>
  <si>
    <t>Spanish Ministry of Science and Innovation and Agencia Estatal de Investigacion; New Zealand Antarctic Research Institute (NZARI); New Zealand Antarctic Science Platform; Austrian science fond (FWF)(Austrian Science Fund (FWF)); Royal Society of New Zealand(Royal Society of New Zealand); Austrian Science Fund (FWF)(Austrian Science Fund (FWF))</t>
  </si>
  <si>
    <t>We thank the research grant to MMG funded by the Spanish Ministry of Science and Innovation and Agencia Estatal de Investigacion (PID2021-125175OB-I00). We also thank the Victoria University of Wellington Hot Water Drilling Team led by A. Pyne and D. Mendeno. This research was facilitated by the New Zealand Antarctic Research Institute (NZARI) funded Aotearoa New Zealand Ross Ice Shelf Programme, the New Zealand Antarctic Science Platform ANTA1801, the Austrian science fond (FWF) projects OCEANIDES (P34304-B), ENIGMA (TAI534), EXEBIO (P35248), and OCEANBIOPLAST (P35619-B) and a Rutherford Discovery Fellowship from the Royal Society of New Zealand to F.B.</t>
  </si>
  <si>
    <t>2041-1723</t>
  </si>
  <si>
    <t>NAT COMMUN</t>
  </si>
  <si>
    <t>Nat. Commun.</t>
  </si>
  <si>
    <t>10.1038/s41467-023-44028-x</t>
  </si>
  <si>
    <t>CL0E0</t>
  </si>
  <si>
    <t>WOS:001125281300015</t>
  </si>
  <si>
    <t>Stewart, C; Horgan, H; Stevens, C</t>
  </si>
  <si>
    <t>Stewart, Craig; Horgan, Huw; Stevens, Craig</t>
  </si>
  <si>
    <t>Short Note: 2022 Hunga Tonga-Hunga Ha'apai tsunami measured beneath the Ross Ice Shelf</t>
  </si>
  <si>
    <t>On 15 January 2022, 04h:15 UTC, the volcano Hunga Tonga-Hunga Ha'apai in the south-west Pacific Ocean (20 degrees 32'32.37''S, 175 degrees 23'38.67''W) erupted in what proved to be the most powerful such event since Krakatau in 1883. Among the many impacts of the eruption, a substantial tsunami propagated throughout the south-west Pacific Ocean. The signatures of the eruption were recorded at a wide range of recording stations globally, including the atmospheric pressure wave, the tsunami itself and, in addition, higher-order responses, such as a tsunami associated with the pressure wave (Carvajal et al. 2022).</t>
  </si>
  <si>
    <t>[Stewart, Craig; Stevens, Craig] NIWA Natl Inst Water &amp; Atmospher Res, Natl Inst Water &amp; Atmospher Res, Wellington, New Zealand; [Horgan, Huw] Victoria Univ Wellington, Antarctic Res Ctr, Wellington 6005, New Zealand; [Horgan, Huw] VAW ETH, CH-8092 Zurich, Switzerland; [Horgan, Huw] WSL, CH-8903 Birmensdorf, Switzerland; [Stevens, Craig] Univ Auckland, Dept Phys, Auckland, New Zealand</t>
  </si>
  <si>
    <t>National Institute of Water &amp; Atmospheric Research (NIWA) - New Zealand; Victoria University Wellington; Swiss Federal Institutes of Technology Domain; Swiss Federal Institute for Forest, Snow &amp; Landscape Research; University of Auckland</t>
  </si>
  <si>
    <t>Stevens, C (corresponding author), NIWA Natl Inst Water &amp; Atmospher Res, Natl Inst Water &amp; Atmospher Res, Wellington, New Zealand.;Stevens, C (corresponding author), Univ Auckland, Dept Phys, Auckland, New Zealand.</t>
  </si>
  <si>
    <t>Craig.Stevens@niwa.co.nz</t>
  </si>
  <si>
    <t>Stevens, Craig/0000-0002-4730-6985</t>
  </si>
  <si>
    <t>New Zealand Antarctic Science Platform [ANTA1801]; Antarctic Science Platform; Victoria University of Wellington Hot Water Drilling Team</t>
  </si>
  <si>
    <t>New Zealand Antarctic Science Platform; Antarctic Science Platform; Victoria University of Wellington Hot Water Drilling Team</t>
  </si>
  <si>
    <t>The work was funded by the Antarctic Science Platform (ANTA1801) and Antarctica New Zealand. We thank the Victoria University of Wellington Hot Water Drilling Team led by Darcy Mandeno, the NIWA capex programme and the IceFin team led by Britney Schmidt. Andy Mullan, Regine Morgenstern and the camp team assisted with the field deployment. We thank the traverse team, the KIS2 camp team and Paul 'Woody' Woodgate. Yusef Karim and Nicolas Zuluaga at RBR Systems provided timely technical support. We thank two anonymous reviewers for their comments.</t>
  </si>
  <si>
    <t>2023 DEC 14</t>
  </si>
  <si>
    <t>10.1017/S0954102023000366</t>
  </si>
  <si>
    <t>CI1V1</t>
  </si>
  <si>
    <t>WOS:001124541200001</t>
  </si>
  <si>
    <t>Salas, A; Fusaro, B; Rusconi, JM; Rosales, M; Balcazar, D; Achinelly, F; Chaves, E; Sauka, D; Ruberto, L; Ansaldo, M</t>
  </si>
  <si>
    <t>Salas, Augusto; Fusaro, Bruno; Rusconi, Jose Matias; Rosales, Matias; Balcazar, Dario; Achinelly, Fernanda; Chaves, Eliseo; Sauka, Diego; Ruberto, Lucas; Ansaldo, Martin</t>
  </si>
  <si>
    <t>Diversity and abundance of free-living nematodes from Carlini Station, 25 de Mayo/King George Island, Antarctica: a case study in pristine and disturbed soils</t>
  </si>
  <si>
    <t>Bioindicators; Maturity index; Phylogenetic analysis; Plectus; Soil food web</t>
  </si>
  <si>
    <t>GASTROINTESTINAL HELMINTHS; INDEX</t>
  </si>
  <si>
    <t>The Antarctic continent hosts life forms specially adapted to the extreme climatic challenges. Among these organisms are nematodes, key organisms in the cycling of nutrients in soil food webs. These organisms are bioindicators of environmental disturbances, making their study essential for assessing the impact of human activity in this unique ecosystem. The Carlini Station and the Antarctic Specially Protected Area 132 on the 25 de Mayo/King George Island, Antarctica, has seen limited investigation of free-living soil nematodes. This study aimed to analyze free-living nematode communities in pristine soils and anthropic-intervened soils in the Carlini Station area. Nematodes were extracted from soil samples and morphologically identified at the genus and family levels to calculated ecological indices to assess nematode community structure. Ecological indices (abundance, maturity, enrichment, and soil food structure) were calculated and their values were compared between anthropic and pristine sites using the ANOSIM, SIMPER, and ANOVA statistical tests. Additionally, using molecular analysis, a phylogenetic study was conducted. The study identified four nematode genera, including Plectus spp., Calcaridorylaimus spp., Eudorylaimus spp., and Coomansus spp., with Plectus spp. being the most abundant and widely distributed. Anthropic sites had lower maturity and higher enrichment values, indicative of disturbance, while pristine sites exhibited higher maturity and structure values, suggesting a healthier soil food web. These results suggest that anthropic intervention disrupts nematode communities and represent a significant contribution to the understanding of free-living nematode communities in Antarctica.</t>
  </si>
  <si>
    <t>[Salas, Augusto; Sauka, Diego] Inst Nacl Tecnol Agr INTA, Inst Microbiol &amp; Zool Agr IMYZA, RA-1636 Hurlingham, Buenos Aires, Argentina; [Fusaro, Bruno; Rusconi, Jose Matias; Rosales, Matias; Balcazar, Dario; Achinelly, Fernanda] UNLP, CONICET, CCT La Plata, Ctr Estudios Parasitol &amp; Vectores, 120 S-N E-61 &amp; 62, RA-1900 La Plata, Buenos Aires, Argentina; [Fusaro, Bruno; Ruberto, Lucas; Ansaldo, Martin] Inst Antart Argentino DNA, 25 Mayo, RA-1143 San Martin, Buenos Aires, Argentina; [Chaves, Eliseo] Nema Agris, La Plata, Buenos Aires, Argentina</t>
  </si>
  <si>
    <t>Instituto Nacional de Tecnologia Agropecuaria (INTA); Consejo Nacional de Investigaciones Cientificas y Tecnicas (CONICET); National University of La Plata</t>
  </si>
  <si>
    <t>Salas, A (corresponding author), Inst Nacl Tecnol Agr INTA, Inst Microbiol &amp; Zool Agr IMYZA, RA-1636 Hurlingham, Buenos Aires, Argentina.</t>
  </si>
  <si>
    <t>salas.augusto@inta.gob.ar</t>
  </si>
  <si>
    <t>Salas, Augusto/0000-0002-8422-0435; Fusaro, Bruno/0000-0002-8982-3366</t>
  </si>
  <si>
    <t>Universidad Nacional de La Plata; Argentine Antarctic Institute</t>
  </si>
  <si>
    <t>Universidad Nacional de La Plata(National University of La Plata); Argentine Antarctic Institute</t>
  </si>
  <si>
    <t>The authors gratefully acknowledge the hospitality and logistic support of the Argentine Antarctic Carlini station. We also appreciate the logistic support provided by the Argentine Antarctic Institute. We want to thank Mauro Rozas Sia for helping in the arduous task of collecting samples, and Laura Morote and Rosario Iglesias for the preparation of figures and geo-referencing.</t>
  </si>
  <si>
    <t>10.1007/s00300-023-03211-y</t>
  </si>
  <si>
    <t>WOS:001125956300001</t>
  </si>
  <si>
    <t>Joli, N; Concia, L; Mocaer, K; Guterman, J; Laude, J; Guerin, S; Sciandra, T; Bruyant, F; Ait-Mohamed, O; Beguin, M; Forget, MH; Bourbousse, C; Lacour, T; Bailleul, B; Nef, C; Savoie, M; Tremblay, JE; Campbell, DA; Lavaud, J; Schwab, Y; Babin, M; Bowler, C</t>
  </si>
  <si>
    <t>Joli, Nathalie; Concia, Lorenzo; Mocaer, Karel; Guterman, Julie; Laude, Juliette; Guerin, Sebastien; Sciandra, Theo; Bruyant, Flavienne; Ait-Mohamed, Ouardia; Beguin, Marine; Forget, Marie-Helene; Bourbousse, Clara; Lacour, Thomas; Bailleul, Benjamin; Nef, Charlotte; Savoie, Mireille; Tremblay, Jean-Eric; Campbell, Douglas A.; Lavaud, Johann; Schwab, Yannick; Babin, Marcel; Bowler, Chris</t>
  </si>
  <si>
    <t>Hypometabolism to survive the long polar night and subsequent successful return to light in the diatom Fragilariopsis cylindrus</t>
  </si>
  <si>
    <t>NEW PHYTOLOGIST</t>
  </si>
  <si>
    <t>autophagy; diatom; energy homeostasis; Fragilariopsis cylindrus; polar night; quiescence</t>
  </si>
  <si>
    <t>PROLONGED DARKNESS; ELECTRON-TRANSPORT; RESTING SPORES; MCMURDO-SOUND; PHOTOSYNTHESIS; ANTARCTICA; PHYTOPLANKTON; ACCLIMATION; INSIGHTS; GROWTH</t>
  </si>
  <si>
    <t>center dot Diatoms, the main eukaryotic phytoplankton of the polar marine regions, are essential for the maintenance of food chains specific to Arctic and Antarctic ecosystems, and are experiencing major disturbances under current climate change. As such, it is fundamental to understand the physiological mechanisms and associated molecular basis of their endurance during the long polar night.center dot Here, using the polar diatom Fragilariopsis cylindrus, we report an integrative analysis combining transcriptomic, microscopic and biochemical approaches to shed light on the strategies used to survive the polar night.center dot We reveal that in prolonged darkness, diatom cells enter a state of quiescence with reduced metabolic and transcriptional activity, during which no cell division occurs. We propose that minimal energy is provided by respiration and degradation of protein, carbohydrate and lipid stores and that homeostasis is maintained by autophagy in prolonged darkness. We also report internal structural changes that manifest the morphological acclimation of cells to darkness, including the appearance of a large vacuole.center dot Our results further show that immediately following a return to light, diatom cells are able to use photoprotective mechanisms and rapidly resume photosynthesis, demonstrating the remarkable robustness of polar diatoms to prolonged darkness at low temperature.</t>
  </si>
  <si>
    <t>[Joli, Nathalie; Concia, Lorenzo; Guterman, Julie; Laude, Juliette; Sciandra, Theo; Ait-Mohamed, Ouardia; Bourbousse, Clara; Nef, Charlotte; Bowler, Chris] Univ PSL, Ecole Normale Super IBENS, Ecole Normale Super, CNRS,INSERM,Inst Biol, F-75005 Paris, France; [Mocaer, Karel] European Mol Biol Lab EMBL, Cell Biol &amp; Biophys Unit, D-69117 Heidelberg, Germany; [Guerin, Sebastien; Sciandra, Theo; Bruyant, Flavienne; Beguin, Marine; Forget, Marie-Helene; Lavaud, Johann; Babin, Marcel] Univ Laval, Takuvik Int Res Lab, Quebec City, PQ, Canada; [Guerin, Sebastien; Sciandra, Theo; Bruyant, Flavienne; Beguin, Marine; Forget, Marie-Helene; Lavaud, Johann; Babin, Marcel] CNRS, Paris, France; [Guerin, Sebastien; Sciandra, Theo; Bruyant, Flavienne; Beguin, Marine; Forget, Marie-Helene; Lavaud, Johann; Babin, Marcel] Univ Laval, Dept Biol, Quebec City, PQ G1V 0A6, Canada; [Guerin, Sebastien; Sciandra, Theo; Bruyant, Flavienne; Beguin, Marine; Forget, Marie-Helene; Lavaud, Johann; Babin, Marcel] Univ Laval, Quebec Ocean, Quebec City, PQ G1V 0A6, Canada; [Lacour, Thomas] Ctr Atlantique, Lab PHYSiol Micro ALGues PDG ODE PHYTOX PHYSALG, F-44311 Nantes, France; [Bailleul, Benjamin] Sorbonne Univ, CNRS, Inst Biol Phys Chim, Lab Chloroplast Biol &amp; Light Sensing Microalgae, F-75005 Paris, France; [Savoie, Mireille; Campbell, Douglas A.] Univ Laval, Dept Biol, Quebec City, PQ G1V 0A6, Canada; [Tremblay, Jean-Eric] Mt Allison Univ, Sackville, NB E4L 1H3, Canada; [Lavaud, Johann] Univ Brest, IUEM Inst Europeen Mer, LEMAR Lab Environm Marine Sci, CNRS,Ifremer,IRD,UMR 6539, Technopole Brest Iroise,Rue Dumont Urville, F-29280 Plouzane, France; [Schwab, Yannick] European Mol Biol Lab EMBL, Cell Biol &amp; Biophys Unit, D-69117 Heidelberg, Germany; [Schwab, Yannick] European Mol Biol Lab EMBL, Electron Microscopy Core Facil, D-69117 Heidelberg, Germany</t>
  </si>
  <si>
    <t>Institut National de la Sante et de la Recherche Medicale (Inserm); Centre National de la Recherche Scientifique (CNRS); Universite PSL; Ecole Normale Superieure (ENS); European Molecular Biology Laboratory (EMBL); Laval University; Centre National de la Recherche Scientifique (CNRS); Laval University; Laval University; Sorbonne Universite; Centre National de la Recherche Scientifique (CNRS); Laval University; Mount Allison University; Centre National de la Recherche Scientifique (CNRS); Ifremer; Institut de Recherche pour le Developpement (IRD); CNRS - Institute of Ecology &amp; Environment (INEE); Universite de Bretagne Occidentale; European Molecular Biology Laboratory (EMBL); European Molecular Biology Laboratory (EMBL)</t>
  </si>
  <si>
    <t>Joli, N; Bowler, C (corresponding author), Univ PSL, Ecole Normale Super IBENS, Ecole Normale Super, CNRS,INSERM,Inst Biol, F-75005 Paris, France.;Babin, M (corresponding author), Univ Laval, Takuvik Int Res Lab, Quebec City, PQ, Canada.;Babin, M (corresponding author), CNRS, Paris, France.;Babin, M (corresponding author), Univ Laval, Dept Biol, Quebec City, PQ G1V 0A6, Canada.;Babin, M (corresponding author), Univ Laval, Quebec Ocean, Quebec City, PQ G1V 0A6, Canada.</t>
  </si>
  <si>
    <t>joli@biologie.ens.fr; marcel.babin@takuvik.ulaval.ca; cbowler@biologie.ens.fr</t>
  </si>
  <si>
    <t>bourbousse, clara/U-4329-2019; Concia, Lorenzo/F-5365-2018</t>
  </si>
  <si>
    <t>bourbousse, clara/0000-0001-6464-6124; Concia, Lorenzo/0000-0002-7401-7214; Guerin, Sebastien/0000-0002-3243-7755; Sciandra, Theo/0000-0001-6938-6253; Joli, Nathalie/0000-0002-3832-8066; Laude, Juliette/0000-0001-7363-1194; Bruyant, Flavienne/0000-0003-4155-4811</t>
  </si>
  <si>
    <t>HFSP project Green Life in the Dark [RGP0003/2016]; European Research Council (ERC) [835067]; Sentinel North programme of Universit Laval (Canada First Research Excellence Fund); Canada Excellence Research Chair on Remote sensing of Canada's new Arctic frontier; NSERC Discovery grant; European Research Council (ERC) [835067] Funding Source: European Research Council (ERC)</t>
  </si>
  <si>
    <t>HFSP project Green Life in the Dark; European Research Council (ERC)(European Research Council (ERC)Spanish Government); Sentinel North programme of Universit Laval (Canada First Research Excellence Fund); Canada Excellence Research Chair on Remote sensing of Canada's new Arctic frontier; NSERC Discovery grant(Natural Sciences and Engineering Research Council of Canada (NSERC)); European Research Council (ERC)(European Research Council (ERC)Spanish Government)</t>
  </si>
  <si>
    <t>We acknowledge the contributions of all the staff who participated in the multiple sampling events. We thank Leila Tirichine for her contribution in the early stages of this project and Fredy Barneche for his continuous support. We thank Natalie Donaher for analysing protein data and Gabriele Deslongchamps for the nutrient data. We thank the IBENS imaging facility (IMACHEM-IBiSA) for their help in generating the confocal microscopy images. We also thank Florian Maumus for the detection of the transposable elements. Finally, we thank the EMBL Electron Microscopy Core Facility for their assistance in generating electron microscopy data. This work was supported by the HFSP project Green Life in the Dark (grant RGP0003/2016) to MB and ChB. This project has also received funding from the European Research Council (ERC) under the European Union's Horizon 2020 research and innovation programme (Diatomic; grant agreement no. 835067). This work was further Funded by the Sentinel North programme of Universite Laval (Canada First Research Excellence Fund), by the Canada Excellence Research Chair on Remote sensing of Canada's new Arctic frontier and by NSERC Discovery grants to MB and DAC.</t>
  </si>
  <si>
    <t>0028-646X</t>
  </si>
  <si>
    <t>1469-8137</t>
  </si>
  <si>
    <t>NEW PHYTOL</t>
  </si>
  <si>
    <t>New Phytol.</t>
  </si>
  <si>
    <t>10.1111/nph.19387</t>
  </si>
  <si>
    <t>HK3G2</t>
  </si>
  <si>
    <t>Green Published, hybrid</t>
  </si>
  <si>
    <t>WOS:001124870300001</t>
  </si>
  <si>
    <t>Liu, YS; Sun, C; Li, JP; Kucharski, F; Di Lorenzo, E; Abid, MA; Li, XC</t>
  </si>
  <si>
    <t>Liu, Yusen; Sun, Cheng; Li, Jianping; Kucharski, Fred; Di Lorenzo, Emanuele; Abid, Muhammad Adnan; Li, Xichen</t>
  </si>
  <si>
    <t>Decadal oscillation provides skillful multiyear predictions of Antarctic sea ice</t>
  </si>
  <si>
    <t>FRONTOTEMPORAL LOBAR DEGENERATION; G-QUADRUPLEX STRUCTURES; RNA G-QUADRUPLEX; PHASE-TRANSITIONS; SMALL MOLECULES; C9ORF72 GENE; IN-VITRO; REPEAT; ALS; AGGREGATION</t>
  </si>
  <si>
    <t>Over the satellite era, Antarctic sea ice exhibited an overall long-term increasing trend, contrary to the Arctic reduction under global warming. However, the drastic decline of Antarctic sea ice in 2014-2018 raises questions about its interannual and decadal-scale variabilities, which are poorly understood and predicted. Here, we identify an Antarctic sea ice decadal oscillation, exhibiting a quasi-period of 8-16 years, that is anticorrelated with the Pacific Quasi-Decadal Oscillation (r = -0.90). By combining observations, Coupled Model Intercomparison Project historical simulations, and pacemaker climate model experiments, we find evidence that the synchrony between the sea ice decadal oscillation and Pacific Quasi-Decadal Oscillation is linked to atmospheric poleward-propagating Rossby wave trains excited by heating in the central tropical Pacific. These waves weaken the Amundsen Sea Low, melting sea ice due to enhanced shortwave radiation and warm advection. A Pacific Quasi-Decadal Oscillation-based regression model shows that this tropical-polar teleconnection carries multi-year predictability. A decadal-scale oscillatory pattern is identified that is a dominant mode of Antarctic sea ice variability. This mode is primarily driven by tropical-polar connections, offering insights into the multi-year predictability of Antarctic sea ice.</t>
  </si>
  <si>
    <t>[Liu, Yusen; Sun, Cheng] Beijing Normal Univ, Fac Geog Sci, State Key Lab Remote Sensing Sci, Beijing, Peoples R China; [Li, Jianping] Ocean Univ China, Frontiers Sci Ctr Deep Ocean Multispheres &amp; Earth, Coll Ocean &amp; Atmospher Sci, Acad Future Ocean,Key Lab Phys Oceanog, Qingdao, Peoples R China; [Li, Jianping] Laoshan Lab, Qingdao, Peoples R China; [Kucharski, Fred; Abid, Muhammad Adnan] Abdus Salam Int Ctr Theoret Phys, Trieste, Italy; [Di Lorenzo, Emanuele] Brown Univ, Dept Earth Environm &amp; Planetary Sci, Providence, RI USA; [Abid, Muhammad Adnan] Univ Oxford, Dept Phys, Atmospher Ocean &amp; Planetary Phys, Oxford, England; [Li, Xichen] Chinese Acad Sci, Inst Atmospher Phys, Beijing, Peoples R China</t>
  </si>
  <si>
    <t>Beijing Normal University; Ocean University of China; Laoshan Laboratory; Abdus Salam International Centre for Theoretical Physics (ICTP); Brown University; University of Oxford; Chinese Academy of Sciences; Institute of Atmospheric Physics, CAS</t>
  </si>
  <si>
    <t>Sun, C (corresponding author), Beijing Normal Univ, Fac Geog Sci, State Key Lab Remote Sensing Sci, Beijing, Peoples R China.</t>
  </si>
  <si>
    <t>scheng@bnu.edu.cn</t>
  </si>
  <si>
    <t>Abid, Muhammad Adnan/L-1845-2013; Li, Jianping/I-2661-2012</t>
  </si>
  <si>
    <t>Abid, Muhammad Adnan/0000-0002-7389-7977; Kucharski, Fred/0000-0002-8710-8051; Li, Jianping/0000-0003-0625-1575; Li, Xichen/0000-0001-6325-6626</t>
  </si>
  <si>
    <t>National Natural Science Foundation of China (National Science Foundation of China) [2022YFF0801703]; National Key Research and Development Projects [41975082,42130607]; National Natural Science Foundation of China (NSFC) Project [2233300001]; Fundamental Research Funds for the Central Universities</t>
  </si>
  <si>
    <t>National Natural Science Foundation of China (National Science Foundation of China)(National Natural Science Foundation of China (NSFC)); National Key Research and Development Projects; National Natural Science Foundation of China (NSFC) Project(National Natural Science Foundation of China (NSFC)); Fundamental Research Funds for the Central Universities(Fundamental Research Funds for the Central Universities)</t>
  </si>
  <si>
    <t>This research was jointly supported by the National Key Research and Development Projects (Grant No. 2022YFF0801703), the National Natural Science Foundation of China (NSFC) Project (41975082,42130607), and the Fundamental Research Funds for the Central Universities (2233300001).</t>
  </si>
  <si>
    <t>DEC 13</t>
  </si>
  <si>
    <t>10.1038/s41467-023-44094-1</t>
  </si>
  <si>
    <t>CL3G8</t>
  </si>
  <si>
    <t>WOS:001125362100020</t>
  </si>
  <si>
    <t>Tian, X; Zheng, LN; Wang, CJ; Han, YD; Li, YJ; Cui, TX; Liu, JL; Liu, CM; Jia, GG; Yang, LJ; Hsu, Y; Zeng, C; Ding, LJ; Wang, C; Cheng, B; Wang, M; Xie, R</t>
  </si>
  <si>
    <t>Tian, Xiao; Zheng, Lingna; Wang, Changjiang; Han, Yida; Li, Yujie; Cui, Tongxiao; Liu, Jialin; Liu, Chuanming; Jia, Guogeng; Yang, Lujie; Hsu, Yi; Zeng, Chen; Ding, Lijun; Wang, Chu; Cheng, Bo; Wang, Meng; Xie, Ran</t>
  </si>
  <si>
    <t>Selenium-based metabolic oligosaccharide engineering strategy for quantitative glycan detection</t>
  </si>
  <si>
    <t>ANTARCTIC SEA-ICE; TROPICAL ATLANTIC; WAVELET TRANSFORM; VARIABILITY; OCEAN; ENSO; OSCILLATIONS; PREDICTABILITY; TEMPERATURE; SALINITY</t>
  </si>
  <si>
    <t>Metabolic oligosaccharide engineering (MOE) is a classical chemical approach to perturb, profile and perceive glycans in physiological systems, but probes upon bioorthogonal reaction require accessibility and the background signal readout makes it challenging to achieve glycan quantification. Here we develop SeMOE, a selenium-based metabolic oligosaccharide engineering strategy that concisely combines elemental analysis and MOE,enabling the mass spectrometric imaging of glycome. We also demonstrate that the new-to-nature SeMOE probes allow for detection, quantitative measurement and visualization of glycans in diverse biological contexts. We also show that chemical reporters on conventional MOE can be integrated into a bifunctional SeMOE probe to provide multimodality signal readouts. SeMOE thus provides a convenient and simplified method to explore the glyco-world. Metabolic oligosaccharide engineering (MOE) is a classical strategy for carbohydrate perception but suffers from glycan quantification. Here the authors develop a selenium-based metabolic oligosaccharide engineering strategy (SeMOE), based on elemental analysis, to quantitatively detect and visualize glycans both in vitro and in vivo.</t>
  </si>
  <si>
    <t>[Tian, Xiao; Wang, Changjiang; Han, Yida; Li, Yujie; Cui, Tongxiao; Hsu, Yi; Xie, Ran] Nanjing Univ, Chem &amp; Biomed Innovat Ctr ChemBIC, Sch Chem &amp; Chem Engn, State Key Lab Coordinat Chem, Nanjing, Peoples R China; [Zheng, Lingna; Wang, Meng] Chinese Acad Sci, Inst High Energy Phys, CAS Key Lab Biomed Effects Nanomat &amp; Nanosafety, Beijing, Peoples R China; [Liu, Jialin; Jia, Guogeng; Wang, Chu] Peking Univ, Coll Chem &amp; Mol Engn, Beijing, Peoples R China; [Liu, Chuanming; Ding, Lijun] Nanjing Univ Med Sch, Nanjing Drum Tower Hosp, Ctr Reprod Med &amp; Obstet &amp; Gynecol, Nanjing, Peoples R China; [Yang, Lujie; Zeng, Chen] Southern Univ Sci &amp; Technol, Sch Med, Dept Pharmacol, Shenzhen, Peoples R China; [Cheng, Bo] Peking Univ, Sch Pharmaceut Sci, Beijing, Peoples R China</t>
  </si>
  <si>
    <t>Nanjing University; Chinese Academy of Sciences; Institute of High Energy Physics, CAS; Peking University; Nanjing University; Southern University of Science &amp; Technology; Peking University</t>
  </si>
  <si>
    <t>Xie, R (corresponding author), Nanjing Univ, Chem &amp; Biomed Innovat Ctr ChemBIC, Sch Chem &amp; Chem Engn, State Key Lab Coordinat Chem, Nanjing, Peoples R China.;Wang, M (corresponding author), Chinese Acad Sci, Inst High Energy Phys, CAS Key Lab Biomed Effects Nanomat &amp; Nanosafety, Beijing, Peoples R China.</t>
  </si>
  <si>
    <t>wangmeng@ihep.ac.cn; ranxie@nju.edu.cn</t>
  </si>
  <si>
    <t>Zheng, Lingna/C-2494-2015; WANG, Meng/B-1461-2009</t>
  </si>
  <si>
    <t>WANG, Meng/0000-0002-4970-8590; Tian, Xiao/0000-0001-6294-6342; Liu, Jialin/0000-0002-9450-0772; Hsu, Yi/0009-0004-3697-9406</t>
  </si>
  <si>
    <t>National Natural Science Foundation of China (National Science Foundation of China) [2207070006]; National Natural Science Foundation of China [BK20200299, BK20202004]; Natural Science Foundation of Jiangsu Province [YJKYYQ20210025]; Chinese Academy of Sciences [Z230008]; Beijing Natural Science Foundation; Programs for High-level Entrepreneurial and Innovative Talents Introduction of Jiangsu Province (Individual and Group Program) [021414380508, 2022ZD0211804]; Fundamental Research Funds for the Central Universities [2022YFA1505600]; National Key R&amp;D Program of China [22107005]; China National Natural Science Foundation of Youth Fund Project</t>
  </si>
  <si>
    <t>National Natural Science Foundation of China (National Science Foundation of China)(National Natural Science Foundation of China (NSFC)); National Natural Science Foundation of China(National Natural Science Foundation of China (NSFC)); Natural Science Foundation of Jiangsu Province(Natural Science Foundation of Jiangsu Province); Chinese Academy of Sciences(Chinese Academy of Sciences); Beijing Natural Science Foundation(Beijing Natural Science Foundation); Programs for High-level Entrepreneurial and Innovative Talents Introduction of Jiangsu Province (Individual and Group Program); Fundamental Research Funds for the Central Universities(Fundamental Research Funds for the Central Universities); National Key R&amp;D Program of China; China National Natural Science Foundation of Youth Fund Project</t>
  </si>
  <si>
    <t>This study was supported by the National Natural Science Foundation of China (2207070006) (R.X.), the Natural Science Foundation of Jiangsu Province (BK20200299, BK20202004)(R.X.), the Chinese Academy of Sciences (YJKYYQ20210025)(M.W.), the Beijing Natural Science Foundation (Z230008) (M.W.), the Programs for High-level Entrepreneurial and Innovative Talents Introduction of Jiangsu Province (Individual and Group Program)(R.X.), the Fundamental Research Funds for the Central Universities (021414380508)(R.X.), the STI2030-Major Projects (2022ZD0211804)(R.X.), the National Key R&amp;D Program of China (2022YFA1505600)(R.X.), and the China National Natural Science Foundation of Youth Fund Project (22107005)(B.C). We thank Prof. Xing Chen (Peking University) for help with the glycan labeling and glycoproteomics.</t>
  </si>
  <si>
    <t>10.1038/s41467-023-44118-w</t>
  </si>
  <si>
    <t>WOS:001125362100030</t>
  </si>
  <si>
    <t>García-Veira, D; Sukekava, CF; Sparaventi, E; Navarro, G; Huertas, IE; Tovar-Sánchez, A; Laglera, LM</t>
  </si>
  <si>
    <t>Garcia-Veira, Daniel; Sukekava, Camila Fiaux; Sparaventi, Erica; Navarro, Gabriel; Huertas, I. Emma; Tovar-Sanchez, Antonio; Laglera, Luis Miguel</t>
  </si>
  <si>
    <t>A first estimation of the role of penguin guano on copper cycling and organic speciation in Antarctic coastal waters</t>
  </si>
  <si>
    <t>Copper; Chemical speciation; Guano; Antarctica; Ligands</t>
  </si>
  <si>
    <t>DECEPTION ISLAND; BRANSFIELD STRAIT; PORT FOSTER; WEDDELL SEA; COMPLEXATION; CADMIUM; IRON; DISTRIBUTIONS; PENINSULA; TITRATION</t>
  </si>
  <si>
    <t>Cu is a vital micronutrient, but free Cu ions (Cu2+) in seawater, even at subnanomolar concentrations, can impede phytoplankton growth. Natural Cu complexation with organic ligands regulates Cu acquisition and, in most instances, reduces Cu2+ concentrations below toxic thresholds. Along the Antarctic coast, the sources and sinks of Cu and its associated ligands remain poorly defined. Despite the high productivity in the area, there are no studies on the role of trophic transfer in Cu cycling. This study explores penguin guano release of Cu and Cu ligands and its potential in neutralizing copper toxicity along the Antarctic coast. We collected guano in a Chinstrap penguin nesting location in the West coast of Deception Island and extracted its components into aqueous solution imitating natural processes. Copper concentration in guano was 0.4 mg (dry weight g)-1 constituting a potential toxic threat and showed biomagnification with respect to krill. Surface seawater samples collected from various locations varying in penguin activity, were analyzed to assess the potential influence of guano on the area. Visual examination and elevated levels of Al suggested that a substantial portion of guano was lithogenic. Consequently, only a modest 16 % of the total Cu present in guano could be extracted using mechanical methods. Notably, the concentrations of the extracted organic ligands were approximately 23 times higher than the concentrations of the extracted Cu. This significant presence of ligands effectively nullifies any potential toxicity that could have arisen from free Cu2+ ions. Guano ligands' conditional stability constants were lower than those in surface seawater suggesting phytoplankton exudation was the main ligand source in the area. Overall, guano acts as a key node for Cu cycling in coastal Antarctic waters but its deleterious potential is neutralized by ligands from krill digestion and the high background concentration of phytoplankton exudates.</t>
  </si>
  <si>
    <t>[Garcia-Veira, Daniel; Sukekava, Camila Fiaux; Laglera, Luis Miguel] Univ Balear Islands, Dept Chem, Balear Isl, Palma De Mallorca 07122, Spain; [Sukekava, Camila Fiaux] Fundaca Univ Fed Rio Grande, Inst Oceanog, BR-96203900 Rio Grande, Brazil; [Sparaventi, Erica; Navarro, Gabriel] Campus Univ Rio San Pedro, Andalusian Inst Marine Sci, Dept Ecol &amp; Coastal Management, ICMAN CSIC, Cadiz, Spain</t>
  </si>
  <si>
    <t>Consejo Superior de Investigaciones Cientificas (CSIC); CSIC - Instituto de Ciencias Marinas de Andalucia (ICMAN)</t>
  </si>
  <si>
    <t>Laglera, LM (corresponding author), Univ Balear Islands, Dept Chem, Balear Isl, Palma De Mallorca 07122, Spain.</t>
  </si>
  <si>
    <t>luis.laglera@uib.es</t>
  </si>
  <si>
    <t>Tovar-Sánchez, Antonio/B-8003-2010; Laglera, Luis/B-7983-2010</t>
  </si>
  <si>
    <t>Laglera, Luis/0000-0002-5941-5900; Sukekava, Camila/0000-0003-0822-8029; Tovar-Sanchez, Antonio/0000-0003-4375-1982</t>
  </si>
  <si>
    <t>Spanish Government - MCIN/AEI [RTI2018-098048-B-I00, PID2020-115291GB-I00]; Conselleria de Fons Europeus, Universitat i Cultura, Govern de Les Illes Balears [RI-01.08/22 - CT 1]; Coordenacao de Aperfeicoamento de Pessoal de Nivel Superior (CAPES) [88887.479740/2020-00]; Spanish FPI grant [PRE2019-089679]</t>
  </si>
  <si>
    <t>Spanish Government - MCIN/AEI; Conselleria de Fons Europeus, Universitat i Cultura, Govern de Les Illes Balears; Coordenacao de Aperfeicoamento de Pessoal de Nivel Superior (CAPES)(Coordenacao de Aperfeicoamento de Pessoal de Nivel Superior (CAPES)); Spanish FPI grant(Spanish Government)</t>
  </si>
  <si>
    <t>This research has been funded by the Spanish Government projects PIMETAN (RTI2018-098048-B-I00) and HUFENAO (PID2020-115291GB-I00) funded by MCIN/AEI/10.13039/501100011033. Daniel Garcia Veira was funded by the Conselleria de Fons Europeus, Universitat i Cultura, Govern de Les Illes Balears (contract RI-01.08/22 - CT 1). Camila Sukekava participated in this work thanks to a grant provided by the Coordenacao de Aperfeicoamento de Pessoal de Nivel Superior (CAPES) (88887.479740/2020-00). E. Sparaventi was supported by a Spanish FPI grant (PRE2019-089679).</t>
  </si>
  <si>
    <t>10.1016/j.scitotenv.2023.169266</t>
  </si>
  <si>
    <t>FN4C6</t>
  </si>
  <si>
    <t>WOS:001146486000001</t>
  </si>
  <si>
    <t>Tang, H; Thierry, NNB; Achille, NP; Mouangue, R; Xu, LX; Hu, FX; Mbangue, E</t>
  </si>
  <si>
    <t>Tang, Hao; Thierry, Nyatchouba Nsangue Bruno; Achille, Njomoue Pandong; Mouangue, Ruben; Xu, Liuxiong; Hu, Fuxiang; Mbangue, Ekmon</t>
  </si>
  <si>
    <t>Coupled dynamics of the moving Antarctic krill trawl structure and its hydrodynamics behavior using various catch sizes and door spreads based on wavelet-based and Fourier analysis</t>
  </si>
  <si>
    <t>JOURNAL OF FLUIDS AND STRUCTURES</t>
  </si>
  <si>
    <t>Antarctic krill trawl; Fluid -structure interaction; Bridle tension; Fluttering motions; Unsteady turbulent flow</t>
  </si>
  <si>
    <t>TURBULENT-FLOW; BOTTOM TRAWL; GEAR SHAPE; CODEND; PERFORMANCE; SIMULATION; DRAG; TILT</t>
  </si>
  <si>
    <t>Antarctic krill is a key element of the complex ecology of the Antarctic Ocean and a target species for commercial fisheries for aquaculture supply, krill oil production, and as a major food source for various natural predators. Therefore, understanding the interaction between the fluid structures of the Antarctic krill trawl structure is the key factor in solving problems such as selectivity, energy efficiency, catchability, and ecological sustainability in this fishery. Thus, this study experimentally investigated the influence of catch sizes, door spread, and inflow velocities on the bridle tension, trawl motions, trawl deformation, and flow field inside and around a scaled trawl model in flume tank based on the electromagnetic current velocity meter measurements. Fourier analysis using power spectrum density and the continuous wavelet transform is used to analyze the time-frequency contents of the instantaneous flow velocities, bridle tension, and trawl motions; and in the interaction between the unstable turbulent flows and the fluttering trawl motions, wavelet coherency analysis was employed to detect coherent structures. Results indicated that the bridle tension and trawl motions increased as the catch size, door spread, and inflow velocity increased. Owing to the significant trawl deformation, a complex fluid-structure interaction occurred and a strong positive correlation between the bridle tension and trawl motions was obtained. Furthermore, a significant decrease in the flow field occurred inside and outside different parts of the trawl. Fourier and wavelet analysis results showed that the trawl motions and bridle tension are mainly of a low-frequency activity and of another component related to the unsteady turbulent flow street, and decreased with the increasing catch size and door spread. A complex fluid-structure interaction is then demonstrated where the hydrodynamics of the moving</t>
  </si>
  <si>
    <t>[Tang, Hao; Thierry, Nyatchouba Nsangue Bruno; Xu, Liuxiong] Shanghai Ocean Univ, Coll Marine Sci, Shanghai 201306, Peoples R China; [Tang, Hao; Thierry, Nyatchouba Nsangue Bruno; Xu, Liuxiong] Natl Engn Res Ctr Ocean Fisheries, Shanghai 201306, Peoples R China; [Tang, Hao; Thierry, Nyatchouba Nsangue Bruno; Xu, Liuxiong] Minist Agr &amp; Rural Affairs, Key Lab Ocean Fisheries Explorat, Shanghai 201306, Peoples R China; [Tang, Hao; Thierry, Nyatchouba Nsangue Bruno; Xu, Liuxiong] Shanghai Ocean Univ, Key Lab Sustainable Exploitat Ocean Fisheries Reso, Minist Educ, Shanghai 201306, Peoples R China; [Tang, Hao; Thierry, Nyatchouba Nsangue Bruno; Xu, Liuxiong] Shanghai Ocean Univ, Ctr Polar Res, Shanghai 201306, Peoples R China; [Achille, Njomoue Pandong] Univ Ebolowa, Natl Adv Sch Maritime &amp; Ocean Sci &amp; Technol NASMOS, Ebolowa, Cameroon; [Achille, Njomoue Pandong; Mouangue, Ruben; Mbangue, Ekmon] Univ Douala, Natl High Polytech Sch Douala, Lab E3M, Douala, Cameroon; [Hu, Fuxiang] Tokyo Univ Marine Sci &amp; Technol, Fac Marine Sci, Minato, Tokyo 1088477, Japan; [Thierry, Nyatchouba Nsangue Bruno] Shanghai Ocean Univ, Coll Marine Sci, 999 Huchenghuan Rd, Shanghai 201306, Peoples R China</t>
  </si>
  <si>
    <t>Shanghai Ocean University; National Engineering Research Center for Oceanic Fisheries; Ministry of Agriculture &amp; Rural Affairs; Shanghai Ocean University; Shanghai Ocean University; Tokyo University of Marine Science &amp; Technology; Shanghai Ocean University</t>
  </si>
  <si>
    <t>Thierry, NNB (corresponding author), Shanghai Ocean Univ, Coll Marine Sci, 999 Huchenghuan Rd, Shanghai 201306, Peoples R China.</t>
  </si>
  <si>
    <t>nnbt@shou.edu.cn</t>
  </si>
  <si>
    <t>xu, liu/KCL-1154-2024</t>
  </si>
  <si>
    <t>National Natural Science Foundation of China [32373187]; Research Fund for International Scientists of National Natural Science Foundation of China [32350410404]; Natural Science Foundation of Shanghai [23ZR1427000]</t>
  </si>
  <si>
    <t>National Natural Science Foundation of China(National Natural Science Foundation of China (NSFC)); Research Fund for International Scientists of National Natural Science Foundation of China(National Natural Science Foundation of China (NSFC)); Natural Science Foundation of Shanghai(Natural Science Foundation of Shanghai)</t>
  </si>
  <si>
    <t>This study was financially sponsored by the Sponsored by National Natural Science Foundation of China (Grand No. 32373187) , the Research Fund for International Scientists of National Natural Science Foundation of China (Grand No. 32350410404) , and Natural Science Foundation of Shanghai (23ZR1427000) .</t>
  </si>
  <si>
    <t>0889-9746</t>
  </si>
  <si>
    <t>1095-8622</t>
  </si>
  <si>
    <t>J FLUID STRUCT</t>
  </si>
  <si>
    <t>J. Fluids Struct.</t>
  </si>
  <si>
    <t>10.1016/j.jfluidstructs.2023.104037</t>
  </si>
  <si>
    <t>Engineering, Mechanical; Mechanics</t>
  </si>
  <si>
    <t>Engineering; Mechanics</t>
  </si>
  <si>
    <t>EQ3Y1</t>
  </si>
  <si>
    <t>WOS:001140362300001</t>
  </si>
  <si>
    <t>Wong, RHX; Monk, J; Perkins, NR; Barrett, NS</t>
  </si>
  <si>
    <t>Wong, Rachel H. X.; Monk, Jacquomo; Perkins, Nicholas R.; Barrett, Neville S.</t>
  </si>
  <si>
    <t>A systematic review on the anthropogenic stressors on sessile benthic mesophotic reef communities: implications for temperate reef management in Australia</t>
  </si>
  <si>
    <t>deep reef; ocean warming; pulsed warming; storms; seabed impacts; refugia; animal forest; high latitude</t>
  </si>
  <si>
    <t>GREAT-BARRIER-REEF; GLOBAL ANALYSIS; MASS-MORTALITY; CLIMATE-CHANGE; MARINE; IMPACTS; RECOVERY; FAUNA; BIODIVERSITY; DISTURBANCE</t>
  </si>
  <si>
    <t>Temperate rocky reefs are complex habitats that support high levels of biodiversity and productivity. However, the sessile benthic communities attached to these reefs are vulnerable to climate change and local human impacts due to their limited capacity to rapidly avoid unfavourable environments. In southeastern Australia, high latitude rocky reefs face increasing threats from rapid warming, surpassing the global average. Existing management efforts for these reefs rely heavily on research from tropical coral ecosystems and shallow temperate algal-dominated rocky reefs, where sufficient data allows for reliable predictions on the future state of the systems. Recent evidence from seabed mapping programs indicates that mesophotic reefs (similar to 30-150 m depth) are equally or more extensive than shallow systems in temperate waters. They provide novel ecosystem functions and could potentially act as climate refuges for some components of shallow water communities that extend across depth strata. However, despite their importance, very little is known about the threats faced by non-algal sessile organisms in either shallow water or mesophotic systems in many parts of the world, including temperate Australia. This review examined the current state of knowledge regarding the direct impact of physical disturbances, such as extreme weather events, ocean warming and destructive fishing practices, on sessile mesophotic communities in general. We then used this to infer the likely drivers of change in temperate mesophotic systems. We found that Australia's temperate mesophotic ecosystems were less likely to be impacted by fishing, anchoring and lost fishing gears compared to the northern hemisphere due to lower population density. Instead, we identified present and future pulsed warming events and severe storms as major threats to Australia's mesophotic systems. This conclusion is based on the lack of evidence supporting the existence of depth refuges from climate events in the current literature and the potential implications of the predicted future increases in high wind-wave energy and warming extending into the mesophotic depths. Drawing from observations globally, changes in the distribution of growth forms, size or diversity of sponges may be useful indicators of heat stress and seabed disturbances in temperate mesophotic systems.</t>
  </si>
  <si>
    <t>[Wong, Rachel H. X.; Monk, Jacquomo; Perkins, Nicholas R.; Barrett, Neville S.] Univ Tasmania, Inst Marine &amp; Antarctic Studies, Hobart, Tas, Australia</t>
  </si>
  <si>
    <t>Wong, RHX (corresponding author), Univ Tasmania, Inst Marine &amp; Antarctic Studies, Hobart, Tas, Australia.</t>
  </si>
  <si>
    <t>Rachel.wong@utas.edu.au</t>
  </si>
  <si>
    <t>; Barrett, Neville/J-7593-2014</t>
  </si>
  <si>
    <t>Wong, Rachel/0000-0002-6550-5646; Barrett, Neville/0000-0002-6167-1356</t>
  </si>
  <si>
    <t>10.3389/fmars.2023.1276072</t>
  </si>
  <si>
    <t>DJ9R6</t>
  </si>
  <si>
    <t>WOS:001131792000001</t>
  </si>
  <si>
    <t>Urbar, J; Spogli, L; Cicone, A; Clausen, LBN; Jin, YQ; Wood, AG; Alfonsi, L; Cesaroni, C; Kotova, D; Hoeg, P; Miloch, WJ</t>
  </si>
  <si>
    <t>Urbar, Jaroslav; Spogli, Luca; Cicone, Antonio; Clausen, Lasse B. N.; Jin, Yaqi; Wood, Alan G.; Alfonsi, Lucilla; Cesaroni, Claudio; Kotova, Daria; Hoeg, Per; Miloch, Wojciech J.</t>
  </si>
  <si>
    <t>Multi-scale response of the high-latitude topside ionosphere to geospace forcing</t>
  </si>
  <si>
    <t>ADVANCES IN SPACE RESEARCH</t>
  </si>
  <si>
    <t>Plasma density; Topside ionosphere; Swarm satellite; Time-frequency analysis</t>
  </si>
  <si>
    <t>SEPTEMBER 2017; PLASMA BUBBLES; STORM; SWARM</t>
  </si>
  <si>
    <t>We investigate the response of the topside ionosphere, auroral and polar sectors, to the forcing of the geospace during September 2017. Specifically, we aim at characterizing such a response in terms of the involved spatial scales and of their intensification during the different auroral and polar cap activity conditions experienced in the selected month, that is characterized by severe geomagnetic storm conditions. For our purposes, we leverage on and compare various in situ plasma density data products provided by the Swarm constellation of the European Space Agency (ESA). The spatio-temporal variability of the involved scales in the plasma density obser-vation is featured through the application of the Fast Iterative Filtering (FIF) signal decomposition technique and, for the first time in the ionospheric field, of a FIF-derived dynamical spectrum called IMFogram. The instantaneous time-frequency representation pro-vided through the IMFogram illustrates the time development of the multi-scale processes with spatial and temporal resolutions higher than those obtained with traditional signal processing techniques. To demonstrate this, the IMFogram is tested against Fast Fourier and Continuous Wavelet Transforms. With our fine characterization, we highlight how scale cascading and intensification processes in the plasma density observations follow the ionospheric currents activity, as depicted through the auroral activity and polar cap indices, and through the field-aligned currents data product provided by Swarm. (c) 2022 COSPAR. Published by Elsevier B.V. This is an open access article under the CC BY-NC-ND license (http://creativecommons.org/licenses/ by-nc-nd/4.0/).</t>
  </si>
  <si>
    <t>[Urbar, Jaroslav; Spogli, Luca; Cicone, Antonio; Alfonsi, Lucilla; Cesaroni, Claudio] Ist Nazl Geofis &amp; Vulcanol, Via Vigna Murata 605, I-00143 Rome, Italy; [Cicone, Antonio] Univ Aquila, DISIM, via Vetoio 1, I-67100 Laquila, Italy; [Clausen, Lasse B. N.; Jin, Yaqi; Kotova, Daria; Hoeg, Per; Miloch, Wojciech J.] Univ Oslo, Problemveien 7, N-0315 Oslo, Norway; [Wood, Alan G.] Univ Birmingham, Space Environm &amp; Radio Engn Grp SERENE, Birmingham, England; [Spogli, Luca] SpacEarth Technol, Via Vigna Murata, I-00143 Rome, Italy; [Urbar, Jaroslav] Czech Acad Sci, Inst Atmospher Phys, BocniII 1401, Prague 14100, Czech Republic; [Cicone, Antonio] INAF, Ist Astrofis &amp; Planetol Spaziali, Via Fosso Cavaliere 100, I-00133 Rome, Italy</t>
  </si>
  <si>
    <t>Istituto Nazionale Geofisica e Vulcanologia (INGV); University of L'Aquila; University of Oslo; University of Birmingham; Czech Academy of Sciences; Institute of Atmospheric Physics of the Czech Academy of Sciences; Istituto Nazionale Astrofisica (INAF)</t>
  </si>
  <si>
    <t>Spogli, L (corresponding author), Ist Nazl Geofis &amp; Vulcanol, Via Vigna Murata 605, I-00143 Rome, Italy.;Spogli, L (corresponding author), SpacEarth Technol, Via Vigna Murata, I-00143 Rome, Italy.</t>
  </si>
  <si>
    <t>urbar@ufa.cas.cz; luca.spogli@ingv.it; antonio.cicone@univaq.it; lasse.clausen@fys.uio; yaqi.jin@fys.uio.no; a.wood.1@bham.ac.uk; lucilla.alfonsi@ingv.it; claudio.cesaroni@ingv.it; daria.kotova@fys.uio.no; per.hoeg@fys.uio; w.j.miloch@fys.uio.no</t>
  </si>
  <si>
    <t>Høeg, Per/G-3537-2010; Urbar, Jaroslav/E-9164-2015; Kotova, Daria/F-3645-2017; Cicone, Antonio/AAD-8298-2019</t>
  </si>
  <si>
    <t>Høeg, Per/0000-0002-3172-5587; Urbar, Jaroslav/0000-0002-3861-306X; Kotova, Daria/0000-0001-9862-6084; Cicone, Antonio/0000-0002-8107-9624; Miloch, Wojciech/0000-0002-5202-750X</t>
  </si>
  <si>
    <t>PNRA (National Antarctic Research Program) [PNRA 14/00133-PNRA 14/00110]; European Space Agency [4000130562/20/I-DT]</t>
  </si>
  <si>
    <t>PNRA (National Antarctic Research Program); European Space Agency(European Space Agency)</t>
  </si>
  <si>
    <t>Jaroslav Urbar gratefully acknowledges the postdoctoral research fellowship awarded by the PNRA (National Antarctic Research Program) (PNRA 14/00133-PNRA 14/00110) . Antonio Cicone is a member of the Italian Gruppo Nazionale di Calcolo Scientifico  (GNCS) of the Istituto Nazionale di Alta Matematica Francesco Severi  (INdAM) and affiliated with the Istituto di Astrofisica e Planetologia Spaziali, INAF, Rome, Italy. This work is part of the activities conducted in the frame of the Swarm Space Weather Variability of Ionospheric Plasma (Swarm VIP) project, that has been funded by the European Space Agency, contract 4000130562/20/I-DT with the title Swarm+4D Ionosphere .</t>
  </si>
  <si>
    <t>0273-1177</t>
  </si>
  <si>
    <t>1879-1948</t>
  </si>
  <si>
    <t>ADV SPACE RES</t>
  </si>
  <si>
    <t>Adv. Space Res.</t>
  </si>
  <si>
    <t>10.1016/j.asr.2022.06.045</t>
  </si>
  <si>
    <t>Engineering, Aerospace; Astronomy &amp; Astrophysics; Geosciences, Multidisciplinary; Meteorology &amp; Atmospheric Sciences</t>
  </si>
  <si>
    <t>Engineering; Astronomy &amp; Astrophysics; Geology; Meteorology &amp; Atmospheric Sciences</t>
  </si>
  <si>
    <t>EC5T8</t>
  </si>
  <si>
    <t>WOS:001136736200001</t>
  </si>
  <si>
    <t>Gulyaeva, T; Stanislawska, I; Lukianova, R</t>
  </si>
  <si>
    <t>Gulyaeva, Tamara; Stanislawska, Iwona; Lukianova, Renata</t>
  </si>
  <si>
    <t>Arctic-Antarctic asymmetry of the ionospheric weather</t>
  </si>
  <si>
    <t>Space weather; TEC storms; W index; North-South asymmetry; Auroral ionosphere; Single-sign conditions</t>
  </si>
  <si>
    <t>TOTAL ELECTRON-CONTENT; NORTH-SOUTH ASYMMETRY; SOLAR-WIND PARAMETERS; GEOMAGNETIC-ACTIVITY; PC INDEX; FIELD; TIME; HEMISPHERES; CONVECTION; PROXY</t>
  </si>
  <si>
    <t>The state of the ionosphere is investigated on a global scale, in the Arctic and Antarctic regions poleward of 60 degrees magnetic latitudes. The Total Electron Content, TEC, enhancement (as represented by the global WU, polar WUN and WUS indices) and depletion (WL, WLN and WLS), and the respective ranges (WE, WEN and WES) are evaluated from global GIM-W index maps. GIM-W maps are derived from JPL GIM-TECs converted to geomagnetic coordinate frame for Solar Cycles 23-24. Using a superimposed epoch analysis, we examined 380 geo-storms caused by high speed solar wind stream, Vsw, with time t(0) set at onset of the Dst storm and Dst(min) &lt;= -50 nT. Single-sign positive and negative storm effects are detected in both Arctic and Antarctic, when the polar WUN, WLN, WUS or WLS index is equal to zero for 10-20% of the pre-storm period, 5-25% for the main storm phase, and 7-25% during recovery. These asymmetric single-sign conditions violate the correlation between WUS (WUN) and WLN (WLS) data and global Dst, WU, WL and WE indices, demonstrated for the extreme storm on 15-17 July 2000 (Dst = -301 nT). The persistent single-sign conditions are observed in the polar segments for the both disturbed and quiet times from 1994 to 2021. The peak of the monthly single-sign conditions up to 50% of time occurs during the polar summer when the solar wind - polar ionosphere interaction at the open field lines facing the Sun is strengthened due to reduced magnetosphere shielding the solar wind. A long-term Arctic-Antarctic asymmetry is observed from 1994 to 2021, with larger values of daily polar indices WUN, WUS, WUN and WLS found for the winter hemisphere (the 'winter anomaly') while contribution of the multiple single-sign zeros yields the reduced monthly values at summer. The asymmetry is likely caused by the difference in the solar irradiance that is minimized at the dominant high-latitude winter night-time, compared to the sunlit summer conditions in the opposite hemisphere. Higher values of asymmetry index AI(WU) and AI(WL) shows dominant North Hemisphere variance over South Hemisphere during December solstice reversed towards the June solstice presumably related with dynamical influences of the lower atmosphere.(c) 2022 COSPAR. Published by Elsevier B.V. All rights reserved.</t>
  </si>
  <si>
    <t>[Gulyaeva, Tamara] IZMIRAN, Kaluzskoe Sh 4, Moscow 108840, Russia; [Stanislawska, Iwona] Space Res Ctr PAS, Bartycka 18a, PL-00716 Warsaw, Poland; [Lukianova, Renata] Space Res Inst RAS, Profsoyuznaja 84-32, Moscow 117997, Russia</t>
  </si>
  <si>
    <t>Russian Academy of Sciences; Pushkov Institute of Terrestrial Magnetism, Ionosphere &amp; Radio Wave Propagation; Polish Academy of Sciences; Space Research Centre of the Polish Academy of Sciences; Russian Academy of Sciences</t>
  </si>
  <si>
    <t>Gulyaeva, T (corresponding author), IZMIRAN, Kaluzskoe Sh 4, Moscow 108840, Russia.</t>
  </si>
  <si>
    <t>gulyaeva@izmiran.ru; stanis@cbk.waw.pl; renata@aari.nw.ru</t>
  </si>
  <si>
    <t>Lukianova, Renata/K-3293-2012</t>
  </si>
  <si>
    <t>Lukianova, Renata/0000-0003-2343-9174</t>
  </si>
  <si>
    <t>RFBR, Russia [19-52-25001_Kipr_a]; RPF Bilateral/Russia(RFBR), Cyprus [1118/0004]</t>
  </si>
  <si>
    <t>RFBR, Russia(Russian Foundation for Basic Research (RFBR)); RPF Bilateral/Russia(RFBR), Cyprus</t>
  </si>
  <si>
    <t>GIM-TEC maps are provided by JPL at https://side-show.jpl.nasa.gov/pub/iono_daily/. Interplanetary data are provided by OMNI at https://omniweb.gsfc.nasa.gov/-form/omni_min.html. Geomagnetic indices Kp are provided by GFC Potsdam, https://www.gfz-potsdam.de/en/kp-index/, https://doi.org/10.5880/Kp.0001. Geomagnetic PCN and PCS indices are provided by ISGI at http://isgi.unistra.fr/data_download.php. Geomagnetic Dst index is provided by Geomagnetic data service at http://wdc. kugi.kyotou.ac.jp/wdc/Sec3.html. Storm Sudden Commencement SSC is provided at http://www.obsebre.es/en/rapid. Ionospheric GIM-W maps and catalogues of the storms are provided by IZMIRAN at https://www.izmi-ran.ru/ionosphere/weather/. The global ionospheric WU, WL, WE indices and relevant Arctic WUN, WLN, WEN indices and Antarctic WUS, WLS, WES indices are provided at https://www.izmiran.ru/ionosphere/weather/archive/. The authors are grateful to the Editor Margaret Shea and three Reviewers for evaluation of our paper and valuable comments for its improvement. This study is supported by RFBR 19-52-25001_Kipr_a, Russia, and RPF Bilateral/Russia(RFBR)/1118/0004 (RENAM), Cyprus.</t>
  </si>
  <si>
    <t>10.1016/j.asr.2022.05.008</t>
  </si>
  <si>
    <t>EE6L0</t>
  </si>
  <si>
    <t>WOS:001137281200001</t>
  </si>
  <si>
    <t>Ferreira, LC; Thums, M; Whiting, S; Meekan, M; Andrews-Goff, V; Attard, CRM; Bilgmann, K; Davenport, A; Double, M; Falchi, F; Guinea, M; Hickey, SM; Jenner, C; Jenner, M; Loewenthal, G; Mcfarlane, G; Möller, LM; Norman, B; Peel, L; Pendoley, K; Radford, B; Reynolds, S; Rossendell, J; Tucker, A; Waayers, D; Whittock, P; Wilson, P; Fossette, S</t>
  </si>
  <si>
    <t>Ferreira, Luciana C.; Thums, Michele; Whiting, Scott; Meekan, Mark; Andrews-Goff, Virginia; Attard, Catherine R. M.; Bilgmann, Kerstin; Davenport, Andrew; Double, Mike; Falchi, Fabio; Guinea, Michael; Hickey, Sharyn M.; Jenner, Curt; Jenner, Micheline; Loewenthal, Graham; Mcfarlane, Glenn; Moller, Luciana M.; Norman, Brad; Peel, Lauren; Pendoley, Kellie; Radford, Ben; Reynolds, Samantha; Rossendell, Jason; Tucker, Anton; Waayers, David; Whittock, Paul; Wilson, Phillipa; Fossette, Sabrina</t>
  </si>
  <si>
    <t>Exposure of marine megafauna to cumulative anthropogenic threats in north-west Australia</t>
  </si>
  <si>
    <t>FRONTIERS IN ECOLOGY AND EVOLUTION</t>
  </si>
  <si>
    <t>marine turtle; whale; whale shark; oil and gas; shipping; fishing; spatial overlap</t>
  </si>
  <si>
    <t>INTER-NESTING DISTRIBUTION; TURTLES NATATOR-DEPRESSUS; SHARKS RHINCODON-TYPUS; FLATBACK TURTLES; NINGALOO REEF; SEISMIC SURVEYS; WHALE SHARKS; HUMPBACK DOLPHINS; INFORMATION GAPS; PATTERNS</t>
  </si>
  <si>
    <t>As the use of coastal and offshore environments expands, there is a need to better understand the exposure of marine megafauna to anthropogenic activities that potentially threaten their populations. Individual satellite telemetry studies are often hampered by small sample sizes, providing limited information on spatiotemporal distributions of migratory animals and their relationships to anthropogenic threats. We addressed this issue by synthesising satellite tracking data from 484 individuals of three taxonomic groups and six species; three marine turtle, two whale and one shark. The spatial overlap between taxa distributions and multiple anthropogenic activities was assessed as a proxy for the cumulative exposure of these taxa to anthropogenic threats (coastal modification, vessel strike, underwater noise, oil spill, bycatch, entanglement, and artificial light) across an area totalling 2,205,740 km(2) off north-western Australia. Core exposure areas (top 50% of the distribution) encompassed ecologically important sites for all taxa, such as the Ningaloo and Pilbara regions, migratory routes for whales and sharks in offshore waters beyond Ningaloo Reef, and marine turtle nesting beaches at Barrow Island and Cape Lambert. Although areas of high exposure represented &lt;14% of taxa distributions, we showed that no taxa occurred in the absence of threats and that even areas with existing spatial protections are experiencing high levels of exposure. Importantly, we developed a robust approach for documenting the potential exposure of marine species to a range of human activities at appropriate spatial scales to inform conservation management.</t>
  </si>
  <si>
    <t>[Ferreira, Luciana C.; Thums, Michele; Meekan, Mark; Radford, Ben; Wilson, Phillipa] Univ Western Australia, Oceans Inst, Crawley, WA, Australia; [Whiting, Scott; Loewenthal, Graham; Tucker, Anton; Fossette, Sabrina] Dept Biodivers Conservat &amp; Attract, Biodivers &amp; Conservat Sci, Kensington, WA, Australia; [Andrews-Goff, Virginia; Double, Mike] Australian Antarctic Div, Dept Climate Change Energy Environm &amp; Water, Hobart, Tas, Australia; [Attard, Catherine R. M.; Bilgmann, Kerstin; Moller, Luciana M.] Flinders Univ S Australia, Coll Sci &amp; Engn, Cetacean Ecol Behav &amp; Evolut Lab, Adelaide, SA, Australia; [Bilgmann, Kerstin] Macquarie Univ, Sch Nat Sci, Sydney, NSW, Australia; [Davenport, Andrew; Jenner, Curt; Jenner, Micheline] Ctr Whale Res WA Inc, Fremantle, WA, Australia; [Falchi, Fabio] Univ Santiago De Compostela, Dept Fis Aplicada, Santiago De Compostela, Galicia, Spain; [Falchi, Fabio] ISTIL Light Pollut Sci &amp; Technol Inst, Thiene, Italy; [Guinea, Michael] Charles Darwin Univ, Res Inst Environm &amp; Livelihoods, Darwin, NT, Australia; [Hickey, Sharyn M.; Radford, Ben] Univ Western Australia, Sch Agr &amp; Environm, Crawley, WA, Australia; [Mcfarlane, Glenn] Conservat Volunteers Australia, POB 2358, Darwin, NT, Australia; [Norman, Brad] Murdoch Univ, Harry Butler Inst, Perth, WA, Australia; [Norman, Brad] ECOCEAN Inc, Perth, WA, Australia; [Peel, Lauren; Pendoley, Kellie; Whittock, Paul; Wilson, Phillipa] Pendoley Environm, Booragoon, WA, Australia; [Reynolds, Samantha] Univ Queensland, Sch Biol Sci, St Lucia, Qld, Australia; [Rossendell, Jason] Rio Tinto Iron Ore, Perth, WA, Australia; [Waayers, David] Environm Resources Management Pty Ltd ERM, Perth, WA, Australia; [Fossette, Sabrina] Univ Western Australia, Sch Biol Sci, Crawley, WA, Australia</t>
  </si>
  <si>
    <t>University of Western Australia; Australian Antarctic Division; Flinders University South Australia; Macquarie University; Universidade de Santiago de Compostela; Charles Darwin University; University of Western Australia; Murdoch University; University of Queensland; Rio Tinto; University of Western Australia</t>
  </si>
  <si>
    <t>Ferreira, LC (corresponding author), Univ Western Australia, Oceans Inst, Crawley, WA, Australia.</t>
  </si>
  <si>
    <t>l.ferreira@aims.gov.au</t>
  </si>
  <si>
    <t>Thums, Michele/A-3850-2013</t>
  </si>
  <si>
    <t>Meekan, Mark/0000-0002-3067-9427</t>
  </si>
  <si>
    <t>AIMS' North West Shoals to Shore Research Program; Santos Ltd</t>
  </si>
  <si>
    <t>AIMS acknowledges the Traditional Owners of Country throughout the northern coast of Western Australia where this North West Shoals to Shore Research Program work was undertaken. We recognise these People's ongoing spiritual and physical connection to Country and pay our respects to their Aboriginal Elders past, present, and emerging. We acknowledge the Department of Biodiversity, Conservation and Attractions, Pendoley Environmental, Rio Tinto, Chevron Corporation and the INPEX-operated Ichthys LNG Project and Woodside Energy Ltd (Woodside) as Operator for and on behalf of the Greater Enfield Project with Mitsui E &amp; P Australia Pty Ltd and the Browse Joint Venture (BJV) and Conservation International Timor-Leste for making tracking data available. SH undertook the research as part of the ICoAST collaborative project and acknowledge support from the Indian Ocean Marine Institute Research Centre collaborative research fund and partner organisations AIMS, CSIRO, DPIRD and UWA. We also thank Peter Farrell and Christopher Teasdale for project management. CWR thanks the Australian Department of Defence, specifically Wayne Bennett, for the opportunity to conduct pygmy blue whale tagging studies. CWR also thank Rodney Thompson, and Gary Ramsay from L3 Harris and Craig Werley from Sonartech Atlas for their guidance with acoustic detection of whales.r The author(s) declare financial support was received for the research, authorship, and/or publication of this article. This study was conducted as part of AIMS' North West Shoals to Shore Research Program and was supported by Santos Ltd as part of the company's commitment to better understand Western Australia's marine environment. The funder was not involved in the study design, collection, analysis,interpretation of data, the writing of this article or the decision to submit it for publication.</t>
  </si>
  <si>
    <t>2296-701X</t>
  </si>
  <si>
    <t>FRONT ECOL EVOL</t>
  </si>
  <si>
    <t>Front. Ecol. Evol.</t>
  </si>
  <si>
    <t>10.3389/fevo.2023.1229803</t>
  </si>
  <si>
    <t>Ecology</t>
  </si>
  <si>
    <t>DJ9S0</t>
  </si>
  <si>
    <t>WOS:001131792400001</t>
  </si>
  <si>
    <t>Jacobson, GL; Norton, SA; Maasch, KA</t>
  </si>
  <si>
    <t>Jacobson, George l.; Norton, Stephen a.; Maasch, Kirk a.</t>
  </si>
  <si>
    <t>The importance of terrestrial carbon sequestration during Termination 1</t>
  </si>
  <si>
    <t>JOURNAL OF QUATERNARY SCIENCE</t>
  </si>
  <si>
    <t>atmospheric CO2; ice sheets; plant colonization; rate of deglaciation; soil development; terrestrial carbon sequestration; Termination 1</t>
  </si>
  <si>
    <t>LAST GLACIAL MAXIMUM; CREEKS FOREST BED; VEGETATION CHANGE; SOIL DEVELOPMENT; YUKON-TERRITORY; YOUNGER DRYAS; ICE-SHEET; PRIMARY SUCCESSION; ATMOSPHERIC CO2; KLUTLAN GLACIER</t>
  </si>
  <si>
    <t>During the transition from the Last Glacial Maximum (LGM) to the Holocene, terrestrial carbon sequestration occurred primarily in boreal forests and forest soils largely on landscapes that had been covered by ice sheets. Major processes operating during this period included radiative warming from rising concentrations of atmospheric CO2 (degassing oceans and oxidation of permafrost); increased seasonal warming associated with axial precession; melting of alpine glaciers and ice sheets; exposure of new land surfaces; and sequestration of carbon in expanding terrestrial vegetation and soils. We examine mechanisms of warming that melted glacial ice; temporal and spatial availability of newly exposed landscapes; rates at which plant colonization and soil development occurred; estimates of terrestrial carbon sequestration; and how those processes interacted with one another. Data from the West Antarctic Ice Sheet Divide ice core show that from 18 to 11 cal ka bp the concentration of atmospheric CO2 rose by approximate to 80 ppmv (approximate to 170 Gt C); published estimates of net terrestrial carbon sequestration (following photosynthesis) are considerably higher (450-1250 Gt C). Thus, accumulation of carbon in terrestrial vegetation and soils played an important role in modulating atmospheric CO2 and, indirectly, Earth's climate during Termination 1, and possibly during earlier Quaternary ice ages.(c) 2023 John Wiley &amp; Sons, Ltd.</t>
  </si>
  <si>
    <t>[Jacobson, George l.; Norton, Stephen a.; Maasch, Kirk a.] Univ Maine, Climate Change Inst, Orono, ME 04469 USA; [Norton, Stephen a.; Maasch, Kirk a.] Univ Maine, Sch Earth &amp; Climate Sci, Orono, ME 04469 USA</t>
  </si>
  <si>
    <t>University of Maine System; University of Maine Orono; University of Maine System; University of Maine Orono</t>
  </si>
  <si>
    <t>Jacobson, GL (corresponding author), Univ Maine, Climate Change Inst, Orono, ME 04469 USA.</t>
  </si>
  <si>
    <t>jacobson@maine.edu</t>
  </si>
  <si>
    <t>Jacobson, George/0000-0002-0406-340X</t>
  </si>
  <si>
    <t>0267-8179</t>
  </si>
  <si>
    <t>1099-1417</t>
  </si>
  <si>
    <t>J QUATERNARY SCI</t>
  </si>
  <si>
    <t>J. Quat. Sci.</t>
  </si>
  <si>
    <t>10.1002/jqs.3579</t>
  </si>
  <si>
    <t>HI4M0</t>
  </si>
  <si>
    <t>WOS:001125161300001</t>
  </si>
  <si>
    <t>Patterson, JD; Aydin, M; Crotwell, AM; Pétron, G; Severinghaus, JP; Krummel, PB; Langenfelds, RL; Petrenko, VV; Saltzman, ES</t>
  </si>
  <si>
    <t>Patterson, John D.; Aydin, Murat; Crotwell, Andrew M.; Petron, Gabrielle; Severinghaus, Jeffery P.; Krummel, Paul B.; Langenfelds, Ray L.; Petrenko, Vasilii V.; Saltzman, Eric S.</t>
  </si>
  <si>
    <t>Reconstructing atmospheric H2 over the past century from bi-polar firn air records</t>
  </si>
  <si>
    <t>ROAD TRANSPORTATION SECTOR; CARBON-MONOXIDE; MOLECULAR-HYDROGEN; GAS CONCENTRATIONS; POLAR FIRN; ICE; GREENLAND; ANTARCTICA; CHEMISTRY; EMISSIONS</t>
  </si>
  <si>
    <t>Historical atmospheric H-2 levels were reconstructed using firn air measurements from two sites in Greenland (NEEM and Summit) and two sites in Antarctica (South Pole and Megadunes). A joint reconstruction based on the two Antarctic sites yields H-2 levels monotonically increasing from about 330 ppb in 1900 to 550 ppb in the late 1990s, leveling off thereafter. These results are similar to individual reconstructions published previously (Patterson et al., 2020, 2021). Interpretation of the Greenland firn air measurements is complicated by challenges in modeling enrichment induced by pore close-off at these sites. We used observations of neon enrichment at NEEM and Summit to tune the parameterization of enrichment induced by pore close-off in our firn air model. The joint reconstruction from the Greenland data shows H-2 levels rising 30 % between 1950 and the late 1980s, reaching a maximum of 530 ppb. After 1990, reconstructed atmospheric H-2 levels over Greenland are roughly constant, with a small decline of 3 % over the next 25 years. The reconstruction shows good agreement with the available flask measurements of H-2 at high northern latitudes.</t>
  </si>
  <si>
    <t>[Patterson, John D.; Aydin, Murat; Saltzman, Eric S.] Univ Calif Irvine, Dept Earth Syst Sci &amp; Chem, Irvine, CA 92697 USA; [Crotwell, Andrew M.; Petron, Gabrielle] Univ Colorado Boulder, Cooperat Inst Res Environm Sci, Boulder, CO 80309 USA; [Crotwell, Andrew M.; Petron, Gabrielle] NOAA, Global Monitoring Lab, Boulder, CO 80305 USA; [Severinghaus, Jeffery P.] Univ Calif San Diego, Scripps Inst Oceanog, La Jolla, CA 92093 USA; [Krummel, Paul B.; Langenfelds, Ray L.] CSIRO, Climate Sci Ctr, Environm, Aspendale, Vic 3195, Australia; [Petrenko, Vasilii V.] Univ Rochester, Dept Earth &amp; Environm Sci, Rochester, NY 14627 USA</t>
  </si>
  <si>
    <t>University of California System; University of California Irvine; University of Colorado System; University of Colorado Boulder; National Oceanic Atmospheric Admin (NOAA) - USA; University of California System; University of California San Diego; Scripps Institution of Oceanography; Commonwealth Scientific &amp; Industrial Research Organisation (CSIRO); University of Rochester</t>
  </si>
  <si>
    <t>Patterson, JD (corresponding author), Univ Calif Irvine, Dept Earth Syst Sci &amp; Chem, Irvine, CA 92697 USA.</t>
  </si>
  <si>
    <t>jdpatter@uci.edu</t>
  </si>
  <si>
    <t>Krummel, Paul B/A-4293-2013</t>
  </si>
  <si>
    <t>Krummel, Paul B/0000-0002-4884-3678; Severinghaus, Jeffrey/0000-0001-8883-3119</t>
  </si>
  <si>
    <t>National Science Foundation [OPP-1907074, OPP-2019719]; US Department of Energy - Hydrogen and Fuel Cell Technologies Office; NOAA [NA23OAR4310139]</t>
  </si>
  <si>
    <t>National Science Foundation(National Science Foundation (NSF)); US Department of Energy - Hydrogen and Fuel Cell Technologies Office(United States Department of Energy (DOE)); NOAA(National Oceanic Atmospheric Admin (NOAA) - USA)</t>
  </si>
  <si>
    <t>This material is based upon work supported by the National Science Foundation under grant nos. OPP-1907074 and OPP-2019719. Additional support was provided by the US Department of Energy - Hydrogen and Fuel Cell Technologies Office and NOAA award NA23OAR4310139. Any opinions, findings,and conclusions or recommendations expressed in this material are those of the authors and do not necessarily reflect the views of the National Science Foundation or the US Government.</t>
  </si>
  <si>
    <t>DEC 12</t>
  </si>
  <si>
    <t>10.5194/cp-19-2535-2023</t>
  </si>
  <si>
    <t>JB6K7</t>
  </si>
  <si>
    <t>WOS:001170731500001</t>
  </si>
  <si>
    <t>Mitsui, T; Willeit, M; Boers, N</t>
  </si>
  <si>
    <t>Mitsui, Takahito; Willeit, Matteo; Boers, Niklas</t>
  </si>
  <si>
    <t>Synchronization phenomena observed in glacial-interglacial cycles simulated in an Earth system model of intermediate complexity</t>
  </si>
  <si>
    <t>EARTH SYSTEM DYNAMICS</t>
  </si>
  <si>
    <t>MIDDLE PLEISTOCENE TRANSITION; ICE-SHEET MODEL; STOCHASTIC RESONANCE; CLIMATE VARIABILITY; ANTARCTIC CLIMATE; CARBON-DIOXIDE; SEA-LEVEL; PRECESSION; OBLIQUITY; ORIGIN</t>
  </si>
  <si>
    <t>The glacial-interglacial cycles of the Quaternary exhibit 41 kyr periodicity before the Mid-Pleistocene Transition (MPT) around 1.2-0.8 Myr ago and similar to 100 kyr periodicity after that. From the viewpoint of dynamical systems, proposed mechanisms generating these periodicities are broadly divided into two types: (i) nonlinear forced responses of a mono- or multi-stable climate system to the astronomical forcing or (ii) synchronization of internal self-sustained oscillations to the astronomical forcing. In this study, we investigate the dynamics of glacial cycles simulated by the Earth system model of intermediate complexity CLIMBER-2 with a fully interactive carbon cycle, which reproduces the MPT under gradual changes in volcanic-CO 2 degassing and regolith cover. We report that, in this model, the dominant frequency of glacial cycles is set in line with the principle of synchronization. It is found that the model exhibits self-sustained oscillations in the absence of astronomical forcing. Before the MPT, glacial cycles synchronize to the 41 kyr obliquity cycles because the self-sustained oscillations have periodicity relatively close to 41 kyr. After the MPT the timescale of internal oscillations becomes too long to follow every 41 kyr obliquity cycle, and the oscillations synchronize to the 100 kyr eccentricity cycles that modulate the amplitude of climatic precession. The latter synchronization occurs with the help of the 41 kyr obliquity forcing, which enables some terminations and glaciations to occur robustly at their right timing. We term this phenomenon vibration-enhanced synchronization because of its similarity to the noise-enhanced synchronization known in nonlinear science. While we interpret the dominant periodicities of glacial cycles as the result of synchronization of internal self-sustained oscillations to the astronomical forcing, the Quaternary glacial cycles show facets of both synchronization and forced response.</t>
  </si>
  <si>
    <t>[Mitsui, Takahito; Boers, Niklas] Tech Univ Munich, Sch Engn &amp; Design, Earth Syst Modelling, D-85521 Ottobrunn, Germany; [Mitsui, Takahito; Willeit, Matteo; Boers, Niklas] Potsdam Inst Climate Impact Res PIK, Leibniz Assoc, POB 60 12 03, D-14412 Potsdam, Germany; [Boers, Niklas] Univ Exeter, Dept Math &amp; Global, Global Syst Inst, Exeter, England</t>
  </si>
  <si>
    <t>Technical University of Munich; Potsdam Institut fur Klimafolgenforschung; University of Exeter</t>
  </si>
  <si>
    <t>Mitsui, T (corresponding author), Tech Univ Munich, Sch Engn &amp; Design, Earth Syst Modelling, D-85521 Ottobrunn, Germany.;Mitsui, T (corresponding author), Potsdam Inst Climate Impact Res PIK, Leibniz Assoc, POB 60 12 03, D-14412 Potsdam, Germany.</t>
  </si>
  <si>
    <t>takahito321@gmail.com</t>
  </si>
  <si>
    <t>Willeit, Matteo/GWQ-9457-2022</t>
  </si>
  <si>
    <t>Willeit, Matteo/0000-0003-3998-6404; Mitsui, Takahito/0000-0002-2825-3996</t>
  </si>
  <si>
    <t>Technical University of Munich (TUM)</t>
  </si>
  <si>
    <t>This work was supported by the Technical University of Munich (TUM) in the framework of the Open Access Publishing Program.</t>
  </si>
  <si>
    <t>2190-4979</t>
  </si>
  <si>
    <t>2190-4987</t>
  </si>
  <si>
    <t>EARTH SYST DYNAM</t>
  </si>
  <si>
    <t>Earth Syst. Dynam.</t>
  </si>
  <si>
    <t>10.5194/esd-14-1277-2023</t>
  </si>
  <si>
    <t>IU4B4</t>
  </si>
  <si>
    <t>WOS:001168826300001</t>
  </si>
  <si>
    <t>Cvitanovic, C; Shellock, RJ; Karcher, DB; Tuohy, P; Mackay, M; van Putten, EI; Ballesteros, M; Dickey-Collas, M</t>
  </si>
  <si>
    <t>Cvitanovic, C.; Shellock, R. J.; Karcher, D. B.; Tuohy, P.; Mackay, M.; van Putten, E. I.; Ballesteros, Marta; Dickey-Collas, M.</t>
  </si>
  <si>
    <t>Navigating the stormy seas of building 'trust' as a boundary organisation connecting marine science with policy and management</t>
  </si>
  <si>
    <t>Trust; Boundary organisation; Knowledge exchange; Policy advice; Science -policy</t>
  </si>
  <si>
    <t>KNOWLEDGE EXCHANGE; ENVIRONMENTAL SCIENCE; MANAGING TRUST; INTERFACE; SYSTEMS; SCIENTISTS; GOVERNANCE; BARRIERS; OBJECTS; VIEW</t>
  </si>
  <si>
    <t>Improving knowledge exchange among scientists and decision-makers is a critical component of navigating ocean sustainability challenges. Boundary organisations are one approach to facilitating knowledge exchange and influencing marine policy and management. However, to effectively do so, boundary organisations must navigate various challenges that can undermine the extent to which they are considered as trusted by partners. At present, there is a lack of specific guidance on how boundary organisations can navigate these challenges and build trust. We seek to address this gap empirically via in-depth qualitative analysis, using the International Council for the Exploration of the Sea (ICES) as a case study. Through interviews with requesters of ICES advice (i.e. the users of the knowledge), we sought to understand (i) the benefits that requesters derived from working with ICES and (ii) the factors that can affect the extent to which requesters trust the advice generated and provided by ICES. Our results show that requesters gain numerous benefits from requesting advice from ICES (e. g., being able to rely on an independent scientific body, receiving best available scientific evidence, and being engaged in processes which enable sharing of expertise and scientific knowledge). We also identified factors that contribute to increased trust in ICES (e.g., ICES processes, good relationships between requesters and ICES, and the requester's ability to understand ICES advice). Conversely, trust in ICES was negatively affected when there was a production of poor-quality advice, a lack of transparency, and when ICES advice went beyond its original remit. In presenting these insights from ICES, this study provides guidance for organisations operating at the interface of marine science and policy and helps them to navigate the stormy seas associated with maintaining trust.</t>
  </si>
  <si>
    <t>[Cvitanovic, C.] Univ New South Wales, Sch Business, Canberra, ACT, Australia; [Cvitanovic, C.; Shellock, R. J.; Karcher, D. B.; Tuohy, P.; Mackay, M.; van Putten, E. I.] Univ Tasmania, Ctr Marine Socioecol, Hobart, Tas, Australia; [Shellock, R. J.; Tuohy, P.] Univ Tasmania, Inst Marine &amp; Antarctic Studies, Hobart, Tas, Australia; [Karcher, D. B.] Australian Natl Univ, Australian Natl Ctr Publ Awareness Sci, Canberra, Australia; [Mackay, M.; van Putten, E. I.] Environment, Environm, Hobart, Tas 7001, Australia; [Ballesteros, Marta] Fdn CETMAR, Ctr Tecnol Mar, Vigo, Spain; [Dickey-Collas, M.] Int Council Explorat Sea ICES, Copenhagen, Denmark; [Dickey-Collas, M.] Tech Univ Denmark, Natl Inst Aquat Resources, Lyngby, Denmark</t>
  </si>
  <si>
    <t>University of New South Wales Sydney; University of Tasmania; University of Tasmania; Australian National University; Technical University of Denmark</t>
  </si>
  <si>
    <t>Cvitanovic, C (corresponding author), Univ New South Wales, Sch Business, Canberra, ACT, Australia.</t>
  </si>
  <si>
    <t>c.cvitanovic@unsw.edu.au</t>
  </si>
  <si>
    <t>Ballesteros, Marta/0000-0002-5415-8722; Dickey-Collas, Mark/0000-0003-3154-8039</t>
  </si>
  <si>
    <t>10.1016/j.ocecoaman.2023.106952</t>
  </si>
  <si>
    <t>EO7O6</t>
  </si>
  <si>
    <t>WOS:001139935000001</t>
  </si>
  <si>
    <t>Haywood, AM; Tindall, JC; Burton, LE; Chandler, MA; Dolan, AM; Dowsett, HJ; Feng, R; Fletcher, TL; Foley, KM; Hill, DJ; Hunter, SJ; Otto-Bliesner, BL; Lunt, DJ; Robinson, MM; Salzmann, U</t>
  </si>
  <si>
    <t>Haywood, A. M.; Tindall, J. C.; Burton, L. E.; Chandler, M. A.; Dolan, A. M.; Dowsett, H. J.; Feng, R.; Fletcher, T. L.; Foley, K. M.; Hill, D. J.; Hunter, S. J.; Otto-Bliesner, B. L.; Lunt, D. J.; Robinson, M. M.; Salzmann, U.</t>
  </si>
  <si>
    <t>Pliocene Model Intercomparison Project Phase 3 (PlioMIP3) - Science plan and experimental design</t>
  </si>
  <si>
    <t>Climate modelling; Palaeoclimate; Pliocene; PlioMIP</t>
  </si>
  <si>
    <t>MID-PIACENZIAN; OCEAN; MECHANISMS; FEATURES; ISTHMUS; PANAMA; WARM</t>
  </si>
  <si>
    <t>The Pliocene Model Intercomparison Project (PlioMIP) was initiated in 2008. Over two phases PlioMIP has helped co-ordinate the experimental design and publication strategy of the community, which has included an increasing number of climate models and modelling groups from around the world. It has engaged with palaeoenvironmental scientists to foster new data synthesis supporting the construction of new model boundary conditions, as well as to facilitate new data-model comparisons. The work has advanced our understanding of Pliocene climates and environments, enhanced our knowledge regarding the ability of complex climate and Earth System models to accurately simulate climate change, and helped to refine our estimates of how sensitive the climate system is to forcing conditions.In this community protocol paper, we outline the scientific plan for PlioMIP Phase 3 (PlioMIP3). This plan provides the required guidance to participating modelling groups from around the world to successfully set up and perform PlioMIP3 climate model experiments. The project is open to new participants from the scientific community (both from the climate modelling and geosciences communities).In PlioMIP3, we retain the PlioMIP2 Core experiments (Eoi400, E280) and extend the Core requirements to include either an experiment focussed on the Early Pliocene or an alternative Late Pliocene simulation (or both). These additions (a) allow a comparison of Early and Late Pliocene warm intervals and help build research connections and synergy with the MioMIP (Miocene Model Intercomparison Project - also known as DeepMIPMiocene) and PlioMioVAR projects (Pliocene-Miocene Variability Working Group), and (b) create an alternative time slice simulation for 3.205 Ma (MIS KM5c) through removal of some of the largest palaeogeographic differences introduced between PlioMIP1 and 2 resulting in minimal land-sea mask variations from the modern. In addition, we present ten optional experiments designed to enhance our assessment of climate sensitivity and to explore the uncertainty in greenhouse gas-related forcing. For the first time, we introduce orbital sensitivity experiments into the science plan, as well as simulations incorporating dynamic vegetation-climate feedbacks and an experiment designed to examine the potential significance of East Antarctic Ice Sheet boundary condition uncertainty. These changes enhance palaeo-to-future scientific connections and enable an exploration of the significance of palaeogeographic uncertainties on climate simulations.</t>
  </si>
  <si>
    <t>[Haywood, A. M.; Tindall, J. C.; Burton, L. E.; Dolan, A. M.; Feng, R.; Fletcher, T. L.; Hill, D. J.; Hunter, S. J.] Univ Leeds, Sch Earth &amp; Environm, Woodhouse Lane, Leeds LS2 9JT, England; [Chandler, M. A.; Dolan, A. M.] Columbia Univ, CCSR, GISS, New York, NY 10025 USA; [Dowsett, H. J.; Foley, K. M.; Robinson, M. M.] US Geol Survey, Florence Bascom Geosci Ctr, 12201 Sunrise Valley Dr,MS926A, Reston, VA 20192 USA; [Feng, R.] Univ Connecticut, Coll Liberal Arts &amp; Sci, Dept Earth Sci, Storrs, CT 06033 USA; [Otto-Bliesner, B. L.] Natl Ctr Atmospher Res NCAR, Boulder, CO 80305 USA; [Lunt, D. J.] Univ Bristol, Sch Geog Sci, Bristol BS8 1QU, England; [Salzmann, U.] Northumbria Univ, Dept Geog &amp; Environm Sci, Newcastle Upon Tyne NE1 8ST, England</t>
  </si>
  <si>
    <t>University of Leeds; Columbia University; United States Department of the Interior; United States Geological Survey; University of Connecticut; National Center Atmospheric Research (NCAR) - USA; University of Bristol; Northumbria University</t>
  </si>
  <si>
    <t>Haywood, AM (corresponding author), Univ Leeds, Sch Earth &amp; Environm, Woodhouse Lane, Leeds LS2 9JT, England.</t>
  </si>
  <si>
    <t>earamh@leeds.ac.uk</t>
  </si>
  <si>
    <t>Fletcher, Tamara/I-3107-2019</t>
  </si>
  <si>
    <t>Fletcher, Tamara/0000-0001-9066-7834</t>
  </si>
  <si>
    <t>Leeds -York -Hull Natural Environment Research Council (NERC) Doctoral Training Partnership (DTP) Panorama [NE/S007458/1]; European Union [101017833]; U.S. Geological Survey Climate R D Program; National Science Foundation [2238875]; EGU; PAGES; NERC IODP; Marie Curie Actions (MSCA) [101017833] Funding Source: Marie Curie Actions (MSCA)</t>
  </si>
  <si>
    <t>Leeds -York -Hull Natural Environment Research Council (NERC) Doctoral Training Partnership (DTP) Panorama; European Union(European Union (EU)); U.S. Geological Survey Climate R D Program; National Science Foundation(National Science Foundation (NSF)); EGU; PAGES; NERC IODP(UK Research &amp; Innovation (UKRI)Natural Environment Research Council (NERC)); Marie Curie Actions (MSCA)(Marie Curie Actions)</t>
  </si>
  <si>
    <t>The authors would like to thank Ayako Abe-Ouchi, Daniel Lunt, and Christian Stepanek for providing initial feedback on the PlioMIP3 science plan. Discussions on this manuscript were facilitated at the 10th EGU Galileo Conference: The warm Pliocene: Bridging the geological data and modelling communities, sponsored by EGU, NERC IODP and PAGES. Discussions were also facilitated by the US Geological Survey during the March 2023 Black Bear Workshop. LEB acknowledges that this work was supported by the Leeds -York -Hull Natural Environment Research Council (NERC) Doctoral Training Partnership (DTP) Panorama under grant no. NE/S007458/1. TLF acknowledges that this project has received funding from the European Union's Horizon2020 research and innovation pro- gramme under the Marie Sklodowska-Curie grant agreement No. 101017833. HJD, MMR and KMF acknowledge support from the U.S. Geological Survey Climate R &amp; D Program. RF acknowledges support from the National Science Foundation grant No. 2238875.</t>
  </si>
  <si>
    <t>10.1016/j.gloplacha.2023.104316</t>
  </si>
  <si>
    <t>FB9D4</t>
  </si>
  <si>
    <t>WOS:001143397900001</t>
  </si>
  <si>
    <t>Li, Y; Kan, JJ; Liu, FL; Lian, KY; Liang, YT; Shao, HB; Mcminn, A; Wang, HL; Wang, M</t>
  </si>
  <si>
    <t>Li, Yi; Kan, Jinjun; Liu, Feilong; Lian, Kaiyue; Liang, Yantao; Shao, Hongbing; Mcminn, Andrew; Wang, Hualong; Wang, Min</t>
  </si>
  <si>
    <t>Depth shapes microbiome assembly and network stability in the Mariana Trench</t>
  </si>
  <si>
    <t>MICROBIOLOGY SPECTRUM</t>
  </si>
  <si>
    <t>microbiomes; community complexity and stability; Mariana Trench; upper bathypelagic waters; hadal waters</t>
  </si>
  <si>
    <t>HETEROTROPHIC BACTERIA; CHALLENGER DEEP; COMMUNITY; GROWTH; GENES; OCEAN; RATES; CYCLE</t>
  </si>
  <si>
    <t>The Mariana Trench, a stable marine ecosystem minimally impacted by human activities, has the greatest vertical depth in the ocean. Depth gradients profoundly influence the physical, chemical, and biotic conditions in the deep oceans. Therefore, elucidating the depth-related effects on microbiome assembly and interaction is integral to understanding marine hadal ecosystems. In this study, eight samples were collected along vertical gradients to compare the assembly and associations of bacteria, archaea, and microeukaryotes, in the Marina Trench using high-throughput sequencing. There is no significant difference in the niche breadth occupied by bacteria, archaea, and microeukaryotes, indicating that microorganisms from the surface to the hadal water of the trench are well adapted to this environment. Stochastic processes significantly influenced the distribution of bacteria and microeukaryotes as well as archaea when the phylogenetic distance was considered. Although diversities of all three microbial domains were consistent across depth, distinct bacterial and archaeal community structures occurred between hadal waters (3,699-8,727 m) and upper bathypelagic waters (&lt;= 1,000 m). Bacteria and archaea in upper bathypelagic zones were more affected by a random process and exhibited higher phylogenetic distance than those in hadal waters. In contrast, stochasticity in assembly and phylogenetic distance of microeukaryotes remained unchanged. Bacteria made vital contributions to the stability of trench microbiomes, while consistent community stability was observed between the upper bathypelagic and hadal zones. Our results reveal the complexity of community assembly and associations of multi-domain microbiomes in hadal ecosystems and also highlight the differential adaptations and contributions of prokaryotes vs. microeukaryotes to microbiome community stability and robustness.IMPORTANCEExploring microbial interactions and their stability/resilience from the surface to the hadal ocean is critical for further understanding of the microbiome structure and ecosystem function in the Mariana Trench. Vertical gradients did not destabilize microbial communities after long-term evolution and adaption. The uniform niche breadth, diversity, community complexity, and stability of microbiomes in both upper bathypelagic and hadal waters suggest the consistent roles of microbiomes in elemental cycling and adaptive strategies to overcome extreme environmental conditions. Compared with microeukaryotes, bacteria and archaea play a pivotal role in shaping the stability of the hadal microbiome. The consistent co-occurrence stability of microbiomes across vertical gradients was observed in the Mariana Trench. These results illuminate a key principle of microbiomes inhabiting the deepest trench: although distinct microbial communities occupy specific habitats, the interactions within microbial communities remain consistently stable from the upper bathypelagic to the hadal waters. Exploring microbial interactions and their stability/resilience from the surface to the hadal ocean is critical for further understanding of the microbiome structure and ecosystem function in the Mariana Trench. Vertical gradients did not destabilize microbial communities after long-term evolution and adaption. The uniform niche breadth, diversity, community complexity, and stability of microbiomes in both upper bathypelagic and hadal waters suggest the consistent roles of microbiomes in elemental cycling and adaptive strategies to overcome extreme environmental conditions. Compared with microeukaryotes, bacteria and archaea play a pivotal role in shaping the stability of the hadal microbiome. The consistent co-occurrence stability of microbiomes across vertical gradients was observed in the Mariana Trench. These results illuminate a key principle of microbiomes inhabiting the deepest trench: although distinct microbial communities occupy specific habitats, the interactions within microbial communities remain consistently stable from the upper bathypelagic to the hadal waters.</t>
  </si>
  <si>
    <t>[Li, Yi; Liu, Feilong; Lian, Kaiyue; Liang, Yantao; Shao, Hongbing; Wang, Hualong; Wang, Min] Ocean Univ China, Inst Evolut &amp; Marine Biodivers, Coll Marine Life Sci, Frontiers Sci Ctr Deep Ocean Multispheres &amp; Earth, Qingdao, Peoples R China; [Li, Yi; Liu, Feilong; Lian, Kaiyue; Liang, Yantao; Shao, Hongbing; Wang, Hualong; Wang, Min] Ocean Univ China, Key Lab Polar Oceanog &amp; Global Ocean Change, Qingdao, Peoples R China; [Li, Yi; Liu, Feilong; Lian, Kaiyue; Liang, Yantao; Shao, Hongbing; Wang, Hualong; Wang, Min] UMT OUC Joint Ctr Marine Studies, Qingdao, Peoples R China; [Kan, Jinjun] Stroud Water Res Ctr, Microbiol Div, Avondale, PA USA; [Mcminn, Andrew] Univ Tasmania, Inst Marine &amp; Antarctic Studies, Hobart, Tas, Australia</t>
  </si>
  <si>
    <t>Ocean University of China; Ocean University of China; University of Tasmania</t>
  </si>
  <si>
    <t>Wang, HL; Wang, M (corresponding author), Ocean Univ China, Inst Evolut &amp; Marine Biodivers, Coll Marine Life Sci, Frontiers Sci Ctr Deep Ocean Multispheres &amp; Earth, Qingdao, Peoples R China.;Wang, HL; Wang, M (corresponding author), Ocean Univ China, Key Lab Polar Oceanog &amp; Global Ocean Change, Qingdao, Peoples R China.;Wang, HL; Wang, M (corresponding author), UMT OUC Joint Ctr Marine Studies, Qingdao, Peoples R China.</t>
  </si>
  <si>
    <t>wanghualong@ouc.edu.cn; mingwang@ouc.edu.cn</t>
  </si>
  <si>
    <t>McMinn, Andrew/A-9910-2008; Wang, Hualong/AAX-2049-2020; Wang, Min/AFR-9645-2022</t>
  </si>
  <si>
    <t>Wang, Min/0000-0002-2357-589X; Li, Yi/0009-0000-2285-8217; McMinn, Andrew/0000-0002-2133-3854; liang, yan tao/0000-0002-2477-8197; Wang, Hualong/0000-0002-4891-1431</t>
  </si>
  <si>
    <t>MOST | National Natural Science Foundation of China (NSFC); Center for High Performance Computing and System Simulation, Pilot National Laboratory for Marine Science and Technology (Qingdao); Ocean University of China</t>
  </si>
  <si>
    <t>MOST | National Natural Science Foundation of China (NSFC)(National Natural Science Foundation of China (NSFC)); Center for High Performance Computing and System Simulation, Pilot National Laboratory for Marine Science and Technology (Qingdao); Ocean University of China</t>
  </si>
  <si>
    <t>We thank the high-performance servers of the Center for High Performance Computing and System Simulation, Pilot National Laboratory for Marine Science and Technology (Qingdao), the Marine Big Data Center of the Institute for Advanced Ocean Study of the Ocean University of China, the IEMB-1, a high-performance computing cluster operated by the Institute of Evolution and Marine Biodiversity, and Marine Big Data Center of Institute for Advanced Ocean Study of Ocean University of China for the support.</t>
  </si>
  <si>
    <t>AMER SOC MICROBIOLOGY</t>
  </si>
  <si>
    <t>1752 N ST NW, WASHINGTON, DC 20036-2904 USA</t>
  </si>
  <si>
    <t>2165-0497</t>
  </si>
  <si>
    <t>MICROBIOL SPECTR</t>
  </si>
  <si>
    <t>Microbiol. Spectr.</t>
  </si>
  <si>
    <t>JAN 11</t>
  </si>
  <si>
    <t>10.1128/spectrum.02110-23</t>
  </si>
  <si>
    <t>ET8N7</t>
  </si>
  <si>
    <t>WOS:001123966900012</t>
  </si>
  <si>
    <t>Seong, GC; Chung, SD; Kim, D; Kang, DY; Jin, SY; Baeck, GW</t>
  </si>
  <si>
    <t>Seong, Gi Chang; Chung, Sangdeok; Kim, Do-Gyun; Kang, Da Yeon; Jin, Suyeon; Baeck, Gun Wook</t>
  </si>
  <si>
    <t>Feeding ecology of Antarctic toothfish, Dissostichus mawsoni in the subarea 88.3 (Bellingshausen Sea and eastern Amundsen Sea) of the Southern Ocean</t>
  </si>
  <si>
    <t>Antarctic toothfish; feeding ecology; Southern Ocean; CCAMLR; food web</t>
  </si>
  <si>
    <t>STANDARDIZED DIET COMPOSITIONS; ROSS SEA; PATAGONIAN TOOTHFISH; TROPHIC LEVELS; FISH FAUNA; BODY-SIZE; STOMACH CONTENTS; FOOD RESOURCES; LIFE-HISTORY; MARINE</t>
  </si>
  <si>
    <t>Understanding feeding ecology is essential for ecosystem-based management. As dietary data can show differences depending on the spatiotemporal and ontogenetic aspects of the sample, the results should be derived based on various size classes and samples over a wide spatiotemporal range. Morphological analysis of the stomach contents of Dissostichus mawsoni, a piscivore, collected at depths of 603-2,113 m in subarea 88.3 during the Antarctic summer fishing seasons from 2016 to 2020 was used to assess the dietary composition according to the research block, fishing season, depth, and size. Here, we used 1,639 D. mawsoni specimens with a total length range of 44.5-189.0 cm. The dietary composition of D. mawsoni did not show significant differences by fishing season but differed with research block, depth, and size. Macrouridae dominated research blocks 88.3_1 and 88.3_3; Nototheniidae dominated research blocks 88.3_2 and 88.3_6; and Channichthyidae dominated research blocks 88.3_4 and 88.3_5. The proportion of Nototheniidae decreased as depth increased, whereas the consumption of Channichthyidae increased gradually with depth in research blocks 88.3_3 and 88.3_4. The proportion of Channichthyidae decreased as body size increased, whereas the consumption of Macrouridae increased gradually with body size in both blocks 88.3_3 and 88.3_4. During the study period, the dietary composition of D. mawsoni in both blocks 88.3_3 and 88.3_4 did not show significant temporal differences, suggesting that these data could be used as a baseline for identifying future environmental changes in the region. This study provides information on the relationships between various species and benthic fish fauna, which are essential for ecosystem-based management.</t>
  </si>
  <si>
    <t>[Seong, Gi Chang; Kim, Do-Gyun; Kang, Da Yeon; Jin, Suyeon; Baeck, Gun Wook] Gyeongsang Natl Univ, Inst Marine Ind, Coll Marine Sci,Dept Aquaculture Sci, Dept Marine Biol &amp; Aquaculture, Tongyeong, South Korea; [Chung, Sangdeok] Natl Inst Fisheries Sci, Distant Water Fisheries Resources Res Div, Busan, South Korea</t>
  </si>
  <si>
    <t>Gyeongsang National University; National Institute of Fisheries Science</t>
  </si>
  <si>
    <t>Baeck, GW (corresponding author), Gyeongsang Natl Univ, Inst Marine Ind, Coll Marine Sci,Dept Aquaculture Sci, Dept Marine Biol &amp; Aquaculture, Tongyeong, South Korea.</t>
  </si>
  <si>
    <t>gwbaeck@gnu.ac.kr</t>
  </si>
  <si>
    <t>Kim, Do-Gyun/0000-0001-9787-5767</t>
  </si>
  <si>
    <t>Distant-water fisheries resources assessment and management of the National Institute of Fisheries Science, South Korea [R2023003]</t>
  </si>
  <si>
    <t>Distant-water fisheries resources assessment and management of the National Institute of Fisheries Science, South Korea</t>
  </si>
  <si>
    <t>The author(s) declare financial support was received for the research, authorship, and/or publication of this article. This research was supported by the distant-water fisheries resources assessment and management of the National Institute of Fisheries Science, South Korea (R2023003).</t>
  </si>
  <si>
    <t>10.3389/fmars.2023.1240569</t>
  </si>
  <si>
    <t>DE9D9</t>
  </si>
  <si>
    <t>WOS:001130462900001</t>
  </si>
  <si>
    <t>Jo, E; Choi, S; Lee, SJ; Kim, J; Choi, EK; Cho, MJ; Kim, J; Chung, SD; Lee, JB; Kim, JH; Park, H</t>
  </si>
  <si>
    <t>Jo, Euna; Choi, Soyun; Lee, Seung Jae; Kim, Jinmu; Choi, Eun Kyung; Cho, Minjoo; Kim, Jangyeon; Chung, Sangdeok; Lee, Jaebong; Kim, Jeong-Hoon; Park, Hyun</t>
  </si>
  <si>
    <t>Chromosome-level genome assembly and annotation of the Antarctica whitefin plunderfish Pogonophryne albipinna</t>
  </si>
  <si>
    <t>SCIENTIFIC DATA</t>
  </si>
  <si>
    <t>Article; Data Paper</t>
  </si>
  <si>
    <t>DE-NOVO IDENTIFICATION; ROSS SEA; ARTEDIDRACONIDAE PISCES; PERCIFORMES; SEQUENCE; PREDICTION; FAMILIES; PROVIDES; PROGRAM; FISHES</t>
  </si>
  <si>
    <t>The Antarctic whitefin plunderfish Pogonophryne albipinna belongs to the family Artedidraconidae, a key component of Antarctic benthic ecosystems within the order Perciformes and the suborder Notothenioidei. While genome research on P. albipinna using short-read sequencing is available, high-quality genome assembly and annotation employing long-read sequencing have yet to be performed. This study presents a chromosome-scale genome assembly and annotation for P. albipinna, utilizing a combination of Illumina short-read, PacBio long-read, and Hi-C sequencing technologies. The resulting genome assembly spans approximately 1.07 Gb, with a longest scaffold measuring 59.39 Mb and an N50 length of 41.76 Mb. Of the 1,111 Hi-C scaffolds, 23 exceeded 10 Mb and were thus classified as chromosome-level. BUSCO completeness was assessed at 95.6%. The assembled genome comprises 50.68% repeat sequences, and a total of 31,128 protein-coding genes were predicted. This study will enhance our understanding of the genomic characteristics of cryonotothenioids and facilitate comparative analyses of their adaptation and evolution in extreme environments.</t>
  </si>
  <si>
    <t>[Jo, Euna; Choi, Soyun; Lee, Seung Jae; Kim, Jinmu; Choi, Eun Kyung; Cho, Minjoo; Kim, Jangyeon; Park, Hyun] Korea Univ, Coll Life Sci &amp; Biotechnol, Dept Biotechnol, Seoul 02841, South Korea; [Jo, Euna; Kim, Jeong-Hoon] Korea Polar Res Inst KOPRI, Div Life Sci, Incheon 21990, South Korea; [Chung, Sangdeok; Lee, Jaebong] Natl Inst Fisheries Sci NIFS Korea, Tongyeong 53085, South Korea</t>
  </si>
  <si>
    <t>Korea University; Korea Polar Research Institute (KOPRI); National Institute of Fisheries Science</t>
  </si>
  <si>
    <t>Park, H (corresponding author), Korea Univ, Coll Life Sci &amp; Biotechnol, Dept Biotechnol, Seoul 02841, South Korea.</t>
  </si>
  <si>
    <t>hpark@korea.ac.kr</t>
  </si>
  <si>
    <t>Jo, Euna/0000-0003-2666-6743</t>
  </si>
  <si>
    <t>Korea Institute of Marine Science and Technology promotion (Korea Institute of Marine Science &amp; Technology promotion) [KIMST 20220547]; Korea Institute of Marine Science &amp; Technology Promotion (KIMST) - Ministry of Oceans and Fisheries [R2023003]; National Institute of Fisheries Science; Korea University</t>
  </si>
  <si>
    <t>Korea Institute of Marine Science and Technology promotion (Korea Institute of Marine Science &amp; Technology promotion); Korea Institute of Marine Science &amp; Technology Promotion (KIMST) - Ministry of Oceans and Fisheries(Korea Institute of Marine Science &amp; Technology Promotion (KIMST)); National Institute of Fisheries Science; Korea University</t>
  </si>
  <si>
    <t>This research received support from the Korea Institute of Marine Science &amp; Technology Promotion (KIMST) grant funded by the Ministry of Oceans and Fisheries (KIMST 20220547), the National Institute of Fisheries Science (NIFS; R2023003), and a grant from Korea University.</t>
  </si>
  <si>
    <t>2052-4463</t>
  </si>
  <si>
    <t>SCI DATA</t>
  </si>
  <si>
    <t>Sci. Data</t>
  </si>
  <si>
    <t>10.1038/s41597-023-02811-x</t>
  </si>
  <si>
    <t>CJ7S3</t>
  </si>
  <si>
    <t>WOS:001124956400001</t>
  </si>
  <si>
    <t>Cimino, MA; Goerke, MA; Bent, S</t>
  </si>
  <si>
    <t>Cimino, Megan A.; Goerke, Marissa A.; Bent, Shavonna</t>
  </si>
  <si>
    <t>Sixty years of glacial retreat behind Palmer Station, Antarctica</t>
  </si>
  <si>
    <t>Climate change; ice loss; polar; warming</t>
  </si>
  <si>
    <t>[Cimino, Megan A.] Univ Calif Santa Cruz, 1156 High St, Santa Cruz, CA 95064 USA; [Goerke, Marissa A.] Antarctic Support Contract, 7400 S Tucson Way, Centennial, CO 80112 USA; [Bent, Shavonna] Woods Hole Oceanog Inst, 360 Woods Hole Rd, Woods Hole, MA 02536 USA</t>
  </si>
  <si>
    <t>University of California System; University of California Santa Cruz; Woods Hole Oceanographic Institution</t>
  </si>
  <si>
    <t>Cimino, MA (corresponding author), Univ Calif Santa Cruz, 1156 High St, Santa Cruz, CA 95064 USA.</t>
  </si>
  <si>
    <t>mecimino@ucsc.edu</t>
  </si>
  <si>
    <t>Cimino, Megan/0000-0002-1715-2903; Goerke, Marissa/0009-0007-7586-5497</t>
  </si>
  <si>
    <t>National Science Foundation, the National Aeronautics and Space Administration, and the U.S. Geological Survey; National Science Foundation; National Aeronautics and Space Administration [EAR-1724794]; US Geological Survey under NSF; Marr Glacier</t>
  </si>
  <si>
    <t>National Science Foundation, the National Aeronautics and Space Administration, and the U.S. Geological Survey; National Science Foundation(National Science Foundation (NSF)); National Aeronautics and Space Administration(National Aeronautics &amp; Space Administration (NASA)); US Geological Survey under NSF; Marr Glacier</t>
  </si>
  <si>
    <t>This material is based on services provided by the GAGE Facility, operated by the EarthScope Consortium, with support from the National Science Foundation, the National Aeronautics and Space Administration and the US Geological Survey under NSF Cooperative Agreement EAR-1724794. We thank the many Palmer Station research associates that have contributed to mapping the glacier terminus in previous years and Darren Roberts and Megan Roberts for ArcGIS assistance. We thank the editor and reviewers, including James McClintock, who offered editorial insights and over two decades encouraged many a Palmer Station-based science technician to pack their GPS devices and hike the terminus of the Marr Glacier.</t>
  </si>
  <si>
    <t>2023 DEC 12</t>
  </si>
  <si>
    <t>10.1017/S0954102023000251</t>
  </si>
  <si>
    <t>CG0P4</t>
  </si>
  <si>
    <t>WOS:001123983000001</t>
  </si>
  <si>
    <t>Koch, I; Drews, R; Franke, S; Jansen, D; Oraschewski, FM; Muhle, LS; Visnjevic, V; Matsuoka, K; Pattyn, F; Eisen, O</t>
  </si>
  <si>
    <t>Koch, Inka; Drews, Reinhard; Franke, Steven; Jansen, Daniela; Oraschewski, Falk Marius; Muhle, Leah Sophie; Visnjevic, Vjeran; Matsuoka, Kenichi; Pattyn, Frank; Eisen, Olaf</t>
  </si>
  <si>
    <t>Radar internal reflection horizons from multisystem data reflect ice dynamic and surface accumulation history along the Princess Ragnhild Coast, Dronning Maud Land, East Antarctica</t>
  </si>
  <si>
    <t>airborne electromagnetic soundings; Antarctic glaciology; ground-penetrating radar; ice rise; ice shelves</t>
  </si>
  <si>
    <t>ENHANCED FIRN DENSIFICATION; PINE ISLAND GLACIER; MASS-BALANCE; WEST ANTARCTICA; SHEAR MARGINS; SHELF; SHEET; CORE; FLOW; STRATIGRAPHY</t>
  </si>
  <si>
    <t>Ice shelves, which regulate ice flow from the Antarctic ice sheet towards the ocean, are shaped by spatiotemporal patterns of surface accumulation, surface/basal melt and ice dynamics. Therefore, an ice dynamic and accumulation history are imprinted in the internal ice stratigraphy, which can be imaged by radar in the form of internal reflection horizons (IRHs). Here, IRHs were derived from radar data combined across radar platforms (airborne and ground-based) in coastal eastern Dronning Maud Land (East Antarctica), comprising three ice rises and adjacent two ice shelves. To facilitate interpretation of dominant spatiotemporal patterns of processes shaping the local IRH geometry, traced IRHs are classified into three different types (laterally continuous, discontinuous or absent/IRH-free). Near-surface laterally continuous IRHs reveal local accumulation patterns, reflecting the mean easterly wind direction, and correlate with surface slopes. Areas of current and past increased ice flow and internal deformation are marked by discontinuous or IRH-free zones, and can inform about paleo ice-stream dynamics. The established IRH datasets extend continent-wide mapping efforts of IRHs to an important and climatically sensitive ice marginal region of Antarctica and are ready for integration into ice-flow models to improve predictions of Antarctic ice drainage.</t>
  </si>
  <si>
    <t>[Koch, Inka; Drews, Reinhard; Franke, Steven; Oraschewski, Falk Marius; Muhle, Leah Sophie; Visnjevic, Vjeran] Univ Tubingen, Dept Geosci, Tubingen, Germany; [Franke, Steven; Jansen, Daniela; Eisen, Olaf] Alfred Wegener Inst, Helmholtz Ctr Polar &amp; Marine Sci, Bremerhaven, Germany; [Matsuoka, Kenichi] Norwegian Polar Res Inst, Tromso, Norway; [Pattyn, Frank] Univ libre Bruxelles, Lab Glaciol, Brussels, Belgium; [Eisen, Olaf] Univ Bremen, Dept Geosci, Bremen, Germany</t>
  </si>
  <si>
    <t>Eberhard Karls University of Tubingen; Helmholtz Association; Alfred Wegener Institute, Helmholtz Centre for Polar &amp; Marine Research; Norwegian Polar Institute; Universite Libre de Bruxelles; University of Bremen</t>
  </si>
  <si>
    <t>Koch, I (corresponding author), Univ Tubingen, Dept Geosci, Tubingen, Germany.</t>
  </si>
  <si>
    <t>inka.koch@uni-tuebingen.de</t>
  </si>
  <si>
    <t>Oraschewski, Falk M./IAP-3210-2023; Pattyn, Frank/AAA-9640-2019; Matsuoka, Kenichi/B-7298-2017</t>
  </si>
  <si>
    <t>Oraschewski, Falk M./0000-0001-7287-2965; Pattyn, Frank/0000-0003-4805-5636; Franke, Steven/0000-0001-8462-4379; Drews, Reinhard/0000-0002-2328-294X; Matsuoka, Kenichi/0000-0002-3587-3405; Muhle, Leah Sophie/0009-0000-8363-8963; Jansen, Daniela/0000-0002-4412-5820; Eisen, Olaf/0000-0002-6380-962X</t>
  </si>
  <si>
    <t>Deutsche Forschungsgemeinschaft [DR 822/3-1]; Alfred Wegener Institute Strategy Fund; Helmholtz Young investigator group [HGF YIG VH-NG-802]; Studienstiftung des deutschen Volkes; University of Kansas, NASA Operation IceBridge grant [NNX16AH54G]; NSF [ACI-1443054, OPP-1739003, IIS-1838230]</t>
  </si>
  <si>
    <t>Deutsche Forschungsgemeinschaft(German Research Foundation (DFG)); Alfred Wegener Institute Strategy Fund(Helmholtz Association); Helmholtz Young investigator group; Studienstiftung des deutschen Volkes; University of Kansas, NASA Operation IceBridge grant; NSF(National Science Foundation (NSF))</t>
  </si>
  <si>
    <t>Inka Koch, Reinhard Drews and Vjeran Vi &amp; scaron;njevi &amp; cacute; were supported by an Emmy Noether Grant of the Deutsche Forschungsgemeinschaft (DR 822/3-1). Steven Franke and Daniela Jansen were funded by the Alfred Wegener Institute Strategy Fund, while Daniela Jansen was also funded by the Helmholtz Young investigator group HGF YIG VH-NG-802. Falk Oraschweski was supported by a scholarship of the 'Studienstiftung des deutschen Volkes'. Logistical support was provided at Princess Elisabeth Station (Belgium), Troll Station (Norway) and Novolazarewskaja-Station (Russia). The airborne radar data were acquired in austral summer 2018/19 by the Alfred Wegener Institute, Helmholtz Centre for Polar and Marine Resarch (AWI) within the CHIRP project. We thank the Kenn Borek crew as well as Martin Gehrmann and Sebastian Spelz of AWI's technical staff of the research aircraft Polar 6. Furthermore, we thank John Paden, Tobias Binder and Veit Helm for their support regarding airborne data acquisition and processing. We acknowledge the use of the CReSIS toolbox from CReSIS generated with support from the University of Kansas, NASA Operation IceBridge grant NNX16AH54G and NSF grants ACI-1443054, OPP-1739003 and IIS-1838230. We thank Marie Cavitte and Nanna Karlsson for helpful discussions and tips around generating IRH datasets and Heiko Spiegel for picking IRHs at Derwael Ice Rise. In addition, we thank Joseph MacGregor and another anonymous reviewer for helpful comments that improved the clarity of the manuscript. Internal reflection horizons of this study are available on the PANGAEA data repository (Koch and others, 2023a) at https://doi.org/10.1594/PANGAEA.950383. Radar data products from the standard work flow of the CHIRP survey are available on the PANGAEA data repository (Franke and others, 2023) at https://doi.org/10.1594/PANGAEA.963264. Non-standard and raw radar data are available on request.</t>
  </si>
  <si>
    <t>10.1017/jog.2023.93</t>
  </si>
  <si>
    <t>CA5F2</t>
  </si>
  <si>
    <t>WOS:001122534400001</t>
  </si>
  <si>
    <t>Rollin, M; Coulaud, R; Quéau, H; Delorme, N; Duflot, A; Le Foll, F; Geffard, O; Xuereb, B</t>
  </si>
  <si>
    <t>Rollin, Marc; Coulaud, Romain; Queau, Herve; Delorme, Nicolas; Duflot, Aurelie; Le Foll, Frank; Geffard, Olivier; Xuereb, Benoit</t>
  </si>
  <si>
    <t>N-acetyl-β-d-glucosaminidase measurement on the freshwater amphipod Gammarus fossarum: development, biological variability and application in an ecotoxicological approach</t>
  </si>
  <si>
    <t>ENVIRONMENTAL SCIENCE AND POLLUTION RESEARCH</t>
  </si>
  <si>
    <t>N-acetyl-beta-d-glucosaminidase; Methodological optimisation; Gammarus fossarum; Moult cycle; Biomarker; Moult alteration; Crustaceans</t>
  </si>
  <si>
    <t>ANTARCTIC KRILL; MOLT CYCLE; INTRINSIC VARIABILITY; CHITINOLYTIC ENZYMES; CHITOBIASE ACTIVITY; EUPHAUSIA-SUPERBA; PALAEMON-SERRATUS; FIDDLER-CRAB; BLUE-CRAB; INTEGUMENT</t>
  </si>
  <si>
    <t>Due to its role in the crustacean moulting process, N-acetyl-beta-d-glucosaminidase (NAGase) is interesting to monitor the good proceeding of the moult cycle, as well as relevant in assessing changes in the moulting process caused by stressors. The present study aimed to measure the NAGase activity to monitor the moulting process of the freshwater amphipod Gammarus fossarum. Firstly, an optimised protocol measuring the NAGase activity was made, allowing a robustness and reproducibility of measurements. Then, intrinsic variability of NAGase response was checked under two physiological factors: the gammarid moult cycle and gender. For both genders, a significative increase of activity was observed during premoult, instead of a basal activity detected during postmoult and intermoult. However, the NAGase female profile was preconised to study since it was defined with more precision. Finally, a 16-day exposure of female gammarids to different levels of treated or non-treated wastewater effluents was made. If delays of tissue development appeared on effluent exposed specimens, NAGase activity was similar between the different conditions. This apparent desynchronization between tissue and molecular activities accentuates the diagnostic of moult impairment and raises the interest to use markers at different organisational levels.</t>
  </si>
  <si>
    <t>[Rollin, Marc; Coulaud, Romain; Duflot, Aurelie; Le Foll, Frank; Xuereb, Benoit] Univ Le Havre Normandie, Normandie Univ,CNRS, SCALE 3730, UMR I 02,SEBIO, F-76600 Le Havre, France; [Queau, Herve; Delorme, Nicolas; Geffard, Olivier] INRAE, UR RiverLy, Lab Ecotoxicol, F-69625 Villeurbanne, France</t>
  </si>
  <si>
    <t>Universite de Reims Champagne-Ardenne; Universite Le Havre Normandie; Centre National de la Recherche Scientifique (CNRS); INRAE</t>
  </si>
  <si>
    <t>Xuereb, B (corresponding author), Univ Le Havre Normandie, Normandie Univ,CNRS, SCALE 3730, UMR I 02,SEBIO, F-76600 Le Havre, France.</t>
  </si>
  <si>
    <t>marc.rollin7@gmail.com; romain.coulaud@univ-lehavre.fr; herve.queau@inrae.fr; nicolas.delorme@inrae.fr; aurelie.duflot@univ-lehavre.fr; frank.le-foll@univ-lehavre.fr; olivier.geffard@inrae.fr; benoit.xuereb@univ-lehavre.fr</t>
  </si>
  <si>
    <t>Rgion Normandie</t>
  </si>
  <si>
    <t>SPRINGER HEIDELBERG</t>
  </si>
  <si>
    <t>HEIDELBERG</t>
  </si>
  <si>
    <t>TIERGARTENSTRASSE 17, D-69121 HEIDELBERG, GERMANY</t>
  </si>
  <si>
    <t>0944-1344</t>
  </si>
  <si>
    <t>1614-7499</t>
  </si>
  <si>
    <t>ENVIRON SCI POLLUT R</t>
  </si>
  <si>
    <t>Environ. Sci. Pollut. Res.</t>
  </si>
  <si>
    <t>10.1007/s11356-023-31325-7</t>
  </si>
  <si>
    <t>CJ6L7</t>
  </si>
  <si>
    <t>WOS:001124923800016</t>
  </si>
  <si>
    <t>de Oliveira, C; Guimaraes, M; Schroeder, L; Zagonel-Oliveira, M; da Silva, GAM; Borges-Martins, M; Danilewicz, D; Prado, JHF; Schossler, V; Botta, S; Secchi, ER; Aquino, FE; Estima, SC; Bester, MN; de Oliveira, LR</t>
  </si>
  <si>
    <t>de Oliveira, Carlos; Guimaraes, Murilo; Schroeder, Lucas; Zagonel-Oliveira, Marcelo; da Silva, Gyrlene Aparecida Mendes; Borges-Martins, Marcio; Danilewicz, Daniel; Prado, Jonatas Henrique Fernandes; Schossler, Venisse; Botta, Silvina; Secchi, Eduardo Resende; Aquino, Francisco Eliseu; Estima, Sergio Curi; Bester, Marthan N.; de Oliveira, Larissa Rosa</t>
  </si>
  <si>
    <t>Patterns of occurrence of the sub-Antarctic fur seal Arctocephalus tropicalis (Gray 1872) in Southern Brazil: climatic and environmental associations</t>
  </si>
  <si>
    <t>Concentration of chlorophytes; Climatic variability patterns; Pinnipeds; Extra-limital distribution; Sea surface temperature</t>
  </si>
  <si>
    <t>SEASONAL-CHANGES; AGULHAS RINGS; ANNULAR MODE; POPULATION; VARIABILITY; GAZELLA; VARIABLES; ISLAND; REPRODUCTION; TRANSLATION</t>
  </si>
  <si>
    <t>This study presents the pattern of occurrence of sub-Antarctic fur seals (SAFS), Arctocephalus tropicalis, in the southern Brazilian coast and evaluate its association with climatic variability and anomalies in the concentration of chlorophytes and sea surface temperature in the reproductive colonies of Gough and Tristan da Cunha Islands. Date, sex, and age class of 254 stranded SAFS recorded between 1992 and 2013 were analyzed. Representative indexes of the patterns of climatic variability and environmental variables were obtained between four and five months before the records, the assumed interval of displacement for species between their closest breeding colonies and the southern Brazilian coast. The species was observed in southern Brazil between May and November each year, and most individuals were adult males. The records of SAFS on the southern Brazilian coast were associated with low concentration of chlorophytes interacting with negative sea surface temperature anomalies, and positive events of South Annular Mode, South Atlantic Ocean Dipole and Indian Ocean Dipole. Climatic variability is influencing the ecology SAFS, because it affects the environmental factors, that act as a driver of dispersion of the species. These variables had been interacting together in the region of the breeding colonies, and possibly during the fur seals' journey towards the Brazilian coast. Considering the current scenario of global climate change, we expect that SAFS will continue to disperse to areas beyond their regular distribution, not only in the direction of the coasts of southern continents, but also further south, towards higher latitudes.</t>
  </si>
  <si>
    <t>[de Oliveira, Carlos; de Oliveira, Larissa Rosa] Univ Vale Rio dos Sinos UNISINOS, Lab Ecol Mamiferos, Ave Unisinos 950, Sao Leopoldo, RS, Brazil; [Guimaraes, Murilo; Borges-Martins, Marcio] Univ Fed Rio Grande UFRGS, Dept Zool, Inst Biociencias, Ave Bento Goncalves, Porto Alegre, RS, Brazil; [Schroeder, Lucas; Zagonel-Oliveira, Marcelo] Univ Vale Rio Sinos UNISINOS, Adv Visualizat &amp; Geoinformat Lab VizLab, Ave Unisinos 950, BR-3022750 Sao Leopoldo, RS, Brazil; [da Silva, Gyrlene Aparecida Mendes] Univ Fed Sao Paulo, Inst Mar, Rua Doutor Carvalho Mendonca 144, BR-11070100 Santos, SP, Brazil; [Borges-Martins, Marcio; Danilewicz, Daniel; de Oliveira, Larissa Rosa] Grp Estudos Mamiferos Aquat Rio Grande GEMARS, Rua Saldanha Gama 937, BR-95560000 Torres, RS, Brazil; [Prado, Jonatas Henrique Fernandes] Inst Caipora, Servidao Olibio Correa Souza, 309 Armacao Pantano, BR-88066455 Florianopolis, SC, Brazil; [Prado, Jonatas Henrique Fernandes; Botta, Silvina; Secchi, Eduardo Resende] Univ Fed Rio Grande FURG, Lab Ecol &amp; Conservacao Megafauna Marinha ECOMEGA, Inst Oceanog, Rio Grande, RS, Brazil; [Schossler, Venisse; Aquino, Francisco Eliseu] Univ Fed Rio Grande UFRGS, Lab Climatol, NOTOS, Ave Bento Goncalves 9500, BR-91501970 Porto Alegre, RS, Brazil; [Schossler, Venisse; Aquino, Francisco Eliseu] Univ Fed Rio Grande UFRGS, Ctr Polar &amp; Climat CPC, UFRGS, Ave Bento Goncalves 9500, BR-91501970 Porto Alegre, RS, Brazil; [Estima, Sergio Curi] Nucl Educ &amp; Monitoramento Ambiental, Rua Maria Araujo 450, BR-96207480 Rio Grande, RS, Brazil; [Bester, Marthan N.] Univ Pretoria, Mammal Res Inst, Dept Zool &amp; Entomol, Private Bag X20, ZA-0028 Hatfield, South Africa; [Guimaraes, Murilo] Univ Fed Piaui, Dept Biol, Ave Univ lado Impar, BR-64049550 Teresina, PI, Brazil; [Danilewicz, Daniel] Univ Estadual Santa Cruz UESC, Programa Posgrad Zool, Rod Jorge Amado, Rod Jorge Amado,Km 16, BR-45662900 Ilheus, BA, Brazil</t>
  </si>
  <si>
    <t>Universidade do Vale do Rio dos Sinos (Unisinos); Universidade Federal do Rio Grande do Sul; Universidade Federal de Sao Paulo (UNIFESP); Universidade Federal do Rio Grande; Universidade Federal do Rio Grande do Sul; University of Pretoria; Universidade Federal do Piaui; Universidade Estadual de Santa Cruz</t>
  </si>
  <si>
    <t>de Oliveira, LR (corresponding author), Univ Vale Rio dos Sinos UNISINOS, Lab Ecol Mamiferos, Ave Unisinos 950, Sao Leopoldo, RS, Brazil.;de Oliveira, LR (corresponding author), Grp Estudos Mamiferos Aquat Rio Grande GEMARS, Rua Saldanha Gama 937, BR-95560000 Torres, RS, Brazil.</t>
  </si>
  <si>
    <t>carlos.prof.bio@gmail.com; mu.guima@gmail.com; schroederlucas@hotmail.com; marceloz@unisinos.br; gyrlene.silva@unifesp.br; borges.martins@ufrgs.br; daniel.danilewicz@gmail.com; jonatashenriquef@gmail.com; venisse.schossler@ufrgs.br; silbotta@gmail.com; edu.secchi@furg.br; francisco.aquino@ufrgs.br; sergioestima@yahoo.com.br; marthan.bester@up.ac.za; lari.minuano@gmail.com</t>
  </si>
  <si>
    <t>Guimarães, Murilo/A-5343-2013</t>
  </si>
  <si>
    <t>Guimarães, Murilo/0000-0002-0226-1904</t>
  </si>
  <si>
    <t>Programa de Suporte a Pos-Graduaco de Instituices Comunitarias de Educaco Superior da Coordenaco de Aperfeicoamento Pessoal de Nivel Superior - PROSUC/CAPES</t>
  </si>
  <si>
    <t>The authors thank all members of the three institutions involved in field work and sampling: Grupo de Estudos de Mamiferos Aquaticos do Rio Grande do Sul (GEMARS), Nucleo de Educac &amp; atilde;o e Monitoramento Ambiental (NEMA) and Laboratorio de Ecologia e Conservac &amp; atilde;o da Megafauna Marinha (Ecomega-FURG). We also thank Dr. Diego Rodriguez (Facultad de Ciencias Exactas y Naturales, Universidad Nacional de Mar del Plata, Mar del Plata, Argentina) for his contributions, and Marlon Ferraz (Universidade do Vale do Rio dos Sinos, UNISINOS, Brazil) who designed the maps and graphs. This work had the financial support of the Programa de Suporte a Pos-Graduac &amp; atilde;o de Instituic &amp; otilde;es Comunitarias de Educac &amp; atilde;o Superior da Coordenac &amp; atilde;o de Aperfeicoamento Pessoal de Nivel Superior - PROSUC/CAPES (Master's scholarship). We also thank to Dra. Mia Wege for the telemetry information on sub-Antarctic fur seals, Dr. Greg Hofmeyr and the other anonymous referee for comments and suggestions that significantly improved this manuscript.</t>
  </si>
  <si>
    <t>10.1007/s00300-023-03206-9</t>
  </si>
  <si>
    <t>WOS:001124466000001</t>
  </si>
  <si>
    <t>Kim, YJ; Jang, WY; Chang, JH</t>
  </si>
  <si>
    <t>Kim, Yu Jeong; Jang, Woo Young; Chang, Jeong Ho</t>
  </si>
  <si>
    <t>Nanofructosome encapsulated CalB enzyme immobilized silica-coated magnetic nanoparticles for rapid enzymatic hydrolysis and acylation</t>
  </si>
  <si>
    <t>JOURNAL OF THE KOREAN CERAMIC SOCIETY</t>
  </si>
  <si>
    <t>CalB enzyme; Nanofructosome; Hydrolysis; Acylation; Magnetic nanoparticles; Cross-linkers</t>
  </si>
  <si>
    <t>ANTARCTICA LIPASE B; PROTEIN; EDC/NHS</t>
  </si>
  <si>
    <t>This study reports the preparation of Candida Antarctic lipase B (CalB) enzyme and nanofructosome encapsulated CalB enzyme (CalB@NF) immobilized silica coated magnetic nanoparticles (Si-MNPs) and demonstration of the enzymatic hydrolysis and acylation against p-nitrophenyl butyrate (p-NPB) and benzoic anhydride. Si-MNPs was prepared 60 nm of particle size with spherical shape, and the immobilization of CalB and CalB@NF was coupled by chlorosilane linker on the surface of Si-MNPs. The quantitative determination of CalB in Si-MNPs@CalB and Si-MNPs@CalB@NF was followed by Bradford assay. Various enzymatic kinetic parameters such as Km, Vmax, and Kcat were calculated using the Lineweaver-Burk equation and Michaelis-Menten kinetics. The hydrolysis of p-NPB with Si-MNPs@CalB@NF and Si-MNPS@CalB confirmed their utilization as effective catalysts. Furthermore, all four samples of native CalB, CalB@NF, Si-MNPs@CalB, and Si-MNPs@CalB@NF were successfully acylated to benzyl benzoate after column separation, and showed more than 99% conversion efficiency. The stability for pH and temperature of Si-MNPs@CalB and Si-MNPs@CalB@NF was optimized at 8 and 45 celcius, respectively.</t>
  </si>
  <si>
    <t>[Kim, Yu Jeong; Jang, Woo Young; Chang, Jeong Ho] Korea Inst Ceram Engn &amp; Technol, Chungbuk 28160, South Korea; [Kim, Yu Jeong] Yonsei Univ, Dept Chem, Seoul 03722, South Korea</t>
  </si>
  <si>
    <t>Korea Institute of Ceramic Engineering &amp; Technology; Yonsei University</t>
  </si>
  <si>
    <t>Chang, JH (corresponding author), Korea Inst Ceram Engn &amp; Technol, Chungbuk 28160, South Korea.</t>
  </si>
  <si>
    <t>jhchang@kicet.re.kr</t>
  </si>
  <si>
    <t>Chang, Jeong Ho/0000-0002-8222-4176</t>
  </si>
  <si>
    <t>Rural Development Administration, [PJ01493802]; Rural Development Administration, Republic of Korea</t>
  </si>
  <si>
    <t>Rural Development Administration,(Rural Development Administration (RDA), Republic of Korea); Rural Development Administration, Republic of Korea(Rural Development Administration (RDA), Republic of Korea)</t>
  </si>
  <si>
    <t>This work was carried out with the support of Cooperative Research Program for Agriculture Science and Technology Development (Project No. PJ01493802) Rural Development Administration, Republic of Korea.</t>
  </si>
  <si>
    <t>1229-7801</t>
  </si>
  <si>
    <t>2234-0491</t>
  </si>
  <si>
    <t>J KOREAN CERAM SOC</t>
  </si>
  <si>
    <t>J. Korean Ceram. Soc.</t>
  </si>
  <si>
    <t>10.1007/s43207-023-00355-9</t>
  </si>
  <si>
    <t>Materials Science, Ceramics</t>
  </si>
  <si>
    <t>Materials Science</t>
  </si>
  <si>
    <t>FQ5F4</t>
  </si>
  <si>
    <t>WOS:001121035000001</t>
  </si>
  <si>
    <t>Liu, ZY</t>
  </si>
  <si>
    <t>Liu, Zhengyu</t>
  </si>
  <si>
    <t>Evolution of Atlantic Meridional Overturning Circulation since the last glaciation: model simulations and relevance to present and future</t>
  </si>
  <si>
    <t>PHILOSOPHICAL TRANSACTIONS OF THE ROYAL SOCIETY A-MATHEMATICAL PHYSICAL AND ENGINEERING SCIENCES</t>
  </si>
  <si>
    <t>proxy records; water mass; Atlantic Meridional Overturning Circulation instability</t>
  </si>
  <si>
    <t>OCEAN THERMOHALINE CIRCULATION; ANTARCTIC SEA-ICE; SOUTHERN-OCEAN; CARBON-ISOTOPE; EQUILIBRIUM RESPONSE; WIND CHANGES; SURFACE; RADIOCARBON; MAXIMUM; WATER</t>
  </si>
  <si>
    <t>The Atlantic Meridional Overturning Circulation (AMOC) and the associated water masses have changed dramatically during the glacial-interglacial cycle. Here, I review some recent progress in the modelling of the AMOC and water masses since the Last Glacial Maximum and discuss the relevance of these past AMOC studies to the present and future AMOC study. Recent studies suggested that Atlantic water masses were constrained by carbon isotopes (delta C-13) and neodymium isotopes (epsilon(Nd)), while the strength of the AMOC better was constrained by protactinium/thorium ratio (Pa-231/Th-230) and the spatial gradient of calcite oxygen isotopes (delta O-18(c)). In spite of the shallower AMOC at the glacial period, its intensity did not differ substantially from the present because of the cancellation of opposite responses to the rising CO2 and the retreating ice sheet. This article is part of a discussion meeting issue 'Atlantic overturning: new observations and challenges'.</t>
  </si>
  <si>
    <t>[Liu, Zhengyu] Ohio State Univ, Dept Geog, 154 North Oval Mall, Columbus, OH 43210 USA</t>
  </si>
  <si>
    <t>University System of Ohio; Ohio State University</t>
  </si>
  <si>
    <t>Liu, ZY (corresponding author), Ohio State Univ, Dept Geog, 154 North Oval Mall, Columbus, OH 43210 USA.</t>
  </si>
  <si>
    <t>liu.7022@osu.edu</t>
  </si>
  <si>
    <t>NOAA; DOE</t>
  </si>
  <si>
    <t>NOAA(National Oceanic Atmospheric Admin (NOAA) - USA); DOE(United States Department of Energy (DOE))</t>
  </si>
  <si>
    <t>This work is supported by NOAA and DOE.</t>
  </si>
  <si>
    <t>1364-503X</t>
  </si>
  <si>
    <t>1471-2962</t>
  </si>
  <si>
    <t>PHILOS T R SOC A</t>
  </si>
  <si>
    <t>Philos. Trans. R. Soc. A-Math. Phys. Eng. Sci.</t>
  </si>
  <si>
    <t>DEC 11</t>
  </si>
  <si>
    <t>10.1098/rsta.2022.0190</t>
  </si>
  <si>
    <t>LM6C8</t>
  </si>
  <si>
    <t>hybrid, Green Published</t>
  </si>
  <si>
    <t>WOS:001187247700001</t>
  </si>
  <si>
    <t>Deakin, KA; Christie, FDW; Boxall, K; Willis, IC</t>
  </si>
  <si>
    <t>Deakin, Katherine A.; Christie, Frazer D. W.; Boxall, Karla; Willis, Ian C.</t>
  </si>
  <si>
    <t>Oscillatory response of Larsen C Ice Shelf flow to the calving of iceberg A-68</t>
  </si>
  <si>
    <t>Antarctic glaciology; iceberg calving; ice shelves; ice velocity; remote sensing</t>
  </si>
  <si>
    <t>BASAL MELT RATES; ANTARCTIC PENINSULA; SURFACE MELT; SHEET; STABILITY; VELOCITIES; EVOLUTION; LANDSAT; BREAKUP; RETREAT</t>
  </si>
  <si>
    <t>The collapse of several ice shelves in the Antarctic Peninsula since the late 20th century has resulted in the upstream acceleration of multiple formerly buttressed outlet glaciers, raising questions about the stability of Antarctica's remaining ice shelves and the effects their demise may have upon inland ice. Here, we use high temporal resolution Sentinel-1A/B synthetic aperture radar-derived observations to assess the velocity response of Larsen C Ice Shelf (LCIS) to the calving of colossal iceberg A-68 in 2017. We find marked oscillations in ice-shelf flow across LCIS in the months following A-68's calving, beginning with a near-ice-shelf-wide slowdown of 11.3 m yr-1 on average. While falling close to the limits of detectability, these ice-flow variations appear to have been presaged by similar oscillations in the years prior to A-68's breakaway, associated primarily with major rifting events, together reflecting potentially hitherto unobserved ice-shelf mechanical processes with important implications for ice-shelf weakening. Such ice-flow oscillations were, however, short-lived, with more recent observations suggesting a deceleration below longer-term rates of ice flow. Collectively, our observations reveal complex spatial-temporal patterns of ice-flow variability at LCIS. Similarly abrupt fluctuations may have important implications for the stability of other ice shelves, necessitating the continued, close observation of Antarctica's coastline in the future.</t>
  </si>
  <si>
    <t>[Deakin, Katherine A.; Christie, Frazer D. W.; Boxall, Karla; Willis, Ian C.] Univ Cambridge, Scott Polar Res Inst, Cambridge CB2 1ER, England; [Christie, Frazer D. W.] Airbus Def &amp; Space Ltd, Newcastle Upon Tyne, England</t>
  </si>
  <si>
    <t>University of Cambridge</t>
  </si>
  <si>
    <t>Christie, FDW (corresponding author), Univ Cambridge, Scott Polar Res Inst, Cambridge CB2 1ER, England.;Christie, FDW (corresponding author), Airbus Def &amp; Space Ltd, Newcastle Upon Tyne, England.</t>
  </si>
  <si>
    <t>fc475@cam.ac.uk</t>
  </si>
  <si>
    <t>Natural Environment Research Council; European Space Agency</t>
  </si>
  <si>
    <t>Natural Environment Research Council(UK Research &amp; Innovation (UKRI)Natural Environment Research Council (NERC)); European Space Agency(European Space Agency)</t>
  </si>
  <si>
    <t>The authors thank Thomas Nagler and Jan Wuite of ENVEO IT GmbH for their initial discussions and access to the processed SAR velocity grids before they were made publicly available, and the European Space Agency and EU Copernicus programme for making the Sentinel-1 data used in this study freely available. KAD also thanks Gabriel Amable for initial discussions in support of this work.</t>
  </si>
  <si>
    <t>2023 DEC 11</t>
  </si>
  <si>
    <t>10.1017/jog.2023.102</t>
  </si>
  <si>
    <t>HU3Y5</t>
  </si>
  <si>
    <t>WOS:001161992900001</t>
  </si>
  <si>
    <t>Santos, CLD; Fourré, E; Agosta, C; Casado, M; Cauquoin, A; Werner, M; Minster, B; Prié, F; Jossoud, O; Petit, L; Landais, A</t>
  </si>
  <si>
    <t>Leroy-Dos Santos, Christophe; Fourre, Elise; Agosta, Cecile; Casado, Mathieu; Cauquoin, Alexandre; Werner, Martin; Minster, Benedicte; Prie, Frederic; Jossoud, Olivier; Petit, Leila; Landais, Amaelle</t>
  </si>
  <si>
    <t>From atmospheric water isotopes measurement to firn core interpretation in Adélie Land: a case study for isotope-enabled atmospheric models in Antarctica</t>
  </si>
  <si>
    <t>SURFACE MASS-BALANCE; ADELIE LAND; CLIMATE VARIABILITY; DEUTERIUM EXCESS; KOHNEN STATION; ICE SHELF; VAPOR; SNOW; FRACTIONATION; SIGNAL</t>
  </si>
  <si>
    <t>In a context of global warming and sea level rise acceleration, it is key to estimate the evolution of the atmospheric hydrological cycle and temperature in polar regions, which directly influence the surface mass balance of the Arctic and Antarctic ice sheets. Direct observations are available from satellite data for the last 40 years and a few weather data since the 1950s in Antarctica. One of the best ways to access longer records is to use climate proxies in firn or ice cores. The water isotopic composition in these cores is widely used to reconstruct past temperature variations.We need to progress in our understanding of the influence of the atmospheric hydrological cycle on the water isotopic composition of ice cores. First, we present a 2-year-long time series of vapor and precipitation isotopic composition measurement at Dumont d'Urville Station, in Adelie Land. We characterize diurnal variations of meteorological parameters (temperature, atmospheric water mixing ratio (hereafter humidity) and delta 18 O) for the different seasons and determine the evolution of key relationships ( delta 18 O versus temperature or humidity) throughout the year: we find that the temperature vs. delta 18 O relationship is dependent on synoptic events dynamics in winter contrary to summer. Then, this data set is used to evaluate the atmospheric general circulation model ECHAM6-wiso (model version with embedded water stable isotopes) in a coastal region of Adelie Land where local conditions are controlled by strong katabatic winds which directly impact the isotopic signal. We show that a combination of continental (79 %) and oceanic (21 %) grid cells leads model outputs (temperature, humidity and delta 18 O) to nicely fit the observations, at different timescales (i.e., seasonal to synoptic). Therefore we demonstrate the added value of long-term water vapor isotopic composition records for model evaluation.Then, as a clear link is found between the isotopic composition of water vapor and precipitation, we assess how isotopic models can help interpret short firn cores. In fact, a virtual firn core built from ECHAM-wiso outputs explains much more of the variability observed in S1C1 isotopic record than a virtual firn core built from temperature only. Yet, deposition and post-deposition effects strongly affect the firn isotopic signal and probably account for most of the remaining misfits between archived firn signal and virtual firn core based on atmospheric modeling.</t>
  </si>
  <si>
    <t>[Leroy-Dos Santos, Christophe; Fourre, Elise; Agosta, Cecile; Casado, Mathieu; Minster, Benedicte; Prie, Frederic; Jossoud, Olivier; Petit, Leila; Landais, Amaelle] Univ Paris Saclay, Lab Sci Climat &amp; Environm, LSCE, CEA,CNRS,UVSQ,IPSL, Gif Sur Yvette, France; [Leroy-Dos Santos, Christophe] Univ Aveiro, Ctr Environm &amp; Marine Studies CESAM, Dept Phys, Aveiro, Portugal; [Cauquoin, Alexandre] Univ Tokyo, Inst Ind Sci IIS, Kashiwa, Japan; [Werner, Martin] Alfred Wegener Inst AWI, Helmholtz Ctr Polar &amp; Marine Res, Bremerhaven, Germany</t>
  </si>
  <si>
    <t>Universite Paris Saclay; Universite Paris Cite; CEA; Centre National de la Recherche Scientifique (CNRS); Universidade de Aveiro; University of Tokyo; Helmholtz Association; Alfred Wegener Institute, Helmholtz Centre for Polar &amp; Marine Research</t>
  </si>
  <si>
    <t>Santos, CLD (corresponding author), Univ Paris Saclay, Lab Sci Climat &amp; Environm, LSCE, CEA,CNRS,UVSQ,IPSL, Gif Sur Yvette, France.;Santos, CLD (corresponding author), Univ Aveiro, Ctr Environm &amp; Marine Studies CESAM, Dept Phys, Aveiro, Portugal.</t>
  </si>
  <si>
    <t>christophe.leroy@lsce.ipsl.fr</t>
  </si>
  <si>
    <t>Werner, Martin/C-8067-2014</t>
  </si>
  <si>
    <t>Werner, Martin/0000-0002-6473-0243</t>
  </si>
  <si>
    <t>IPEVADELISE project; LEFE program ADELISE; French National Research Agency [ANR-20-CE01-0013]; FCT - Fundacao para a Ciencia e a Tecnologia [CIRCNA/CAC/0273/2019]; Fondation Prince Albert II de Monaco under the project Antarctic-Snow; AWACA ERC project [951596]; Agence Nationale de la Recherche (ANR) [ANR-20-CE01-0013] Funding Source: Agence Nationale de la Recherche (ANR); European Research Council (ERC) [951596] Funding Source: European Research Council (ERC)</t>
  </si>
  <si>
    <t>IPEVADELISE project; LEFE program ADELISE; French National Research Agency(Agence Nationale de la Recherche (ANR)); FCT - Fundacao para a Ciencia e a Tecnologia(Fundacao para a Ciencia e a Tecnologia (FCT)); Fondation Prince Albert II de Monaco under the project Antarctic-Snow; AWACA ERC project; Agence Nationale de la Recherche (ANR)(Agence Nationale de la Recherche (ANR)); European Research Council (ERC)(European Research Council (ERC)Spanish Government)</t>
  </si>
  <si>
    <t>This work was supported by the IPEVADELISE project, the LEFE program ADELISE. This article is part of the ANR ARCA (Atmospheric River Climatology in Antarctica; grant number ANR-20-CE01-0013) funded by the French National Research Agency. This study was also funded by Project ATLACE (CIRCNA/CAC/0273/2019) through national funds provided by FCT - Fundacao para a Ciencia e a Tecnologia. It was also funded by the Fondation Prince Albert II de Monaco under the project Antarctic-Snow. Co-author Cecile Agosta is funded by the AWACA ERC project (no. 951596).</t>
  </si>
  <si>
    <t>10.5194/tc-17-5241-2023</t>
  </si>
  <si>
    <t>IU3X7</t>
  </si>
  <si>
    <t>WOS:001168822500001</t>
  </si>
  <si>
    <t>-Goff, VA; Gales, N; Childerhouse, SJ; Laverick, SM; Polanowski, AM; Double, MC</t>
  </si>
  <si>
    <t>-Goff, Virginia Andrews; Gales, Nick; Childerhouse, Simon J.; Laverick, Sarah M.; Polanowski, Andrea M.; Double, Michael C.</t>
  </si>
  <si>
    <t>Australia's east coast humpback whales: Satellite tag-derived movements on breeding grounds, feeding grounds and along the northern and southern migration</t>
  </si>
  <si>
    <t>BIODIVERSITY DATA JOURNAL</t>
  </si>
  <si>
    <t>satellite telemetry; breeding stock E1; conservation; management; foraging; Antarctica; baleen whale; Southern Ocean; Megaptera novaeangliae</t>
  </si>
  <si>
    <t>CETACEANS</t>
  </si>
  <si>
    <t>Satellite tags were deployed on 50 east Australian humpback whales (breeding stock E1) between 2008 and 2010 on their southward migration, northward migration and feeding grounds in order to identify and describe migratory pathways, feeding grounds and possible calving areas. At the time, these movements were not well understood and calving grounds were not clearly identified. To the best of our knowledge, this dataset details all long-term, implantable tag deployments that have occurred to date on breeding stock E1. As such, these data provide researchers, regulators and industry with clear and valuable insights into the spatial and temporal nature of humpback whale movements along the eastern coastline of Australia and into the Southern Ocean. As this population of humpback whales navigates an increasingly complex habitat undergoing various development pressures and anthropogenic disturbances, in addition to climate-mediated changes in their marine environment, this dataset may also provide a valuable baseline.</t>
  </si>
  <si>
    <t>[-Goff, Virginia Andrews; Polanowski, Andrea M.; Double, Michael C.] Dept Climate Change Energy Environm &amp; Water, Australian Antarctic Div, Hobart, Australia; [Gales, Nick] Dept Climate Change Energy Environm &amp; Water, Hobart, Australia; [Childerhouse, Simon J.] Environm Law Initiat, Wellington, New Zealand; [Laverick, Sarah M.] Blue Planet Marine, Canberra, Australia</t>
  </si>
  <si>
    <t>Australian Antarctic Division</t>
  </si>
  <si>
    <t>-Goff, VA (corresponding author), Dept Climate Change Energy Environm &amp; Water, Australian Antarctic Div, Hobart, Australia.</t>
  </si>
  <si>
    <t>virginia.andrews-goff@aad.gov.au</t>
  </si>
  <si>
    <t>Andrews-Goff, Virginia/0000-0002-4609-7317; Polanowski, Andrea/0000-0002-9612-220X</t>
  </si>
  <si>
    <t>1314-2836</t>
  </si>
  <si>
    <t>1314-2828</t>
  </si>
  <si>
    <t>BIODIVERS DATA J</t>
  </si>
  <si>
    <t>Biodiver. Data J.</t>
  </si>
  <si>
    <t>e114729</t>
  </si>
  <si>
    <t>10.3897/BDJ.11.e114729</t>
  </si>
  <si>
    <t>FG2N9</t>
  </si>
  <si>
    <t>WOS:001144545400001</t>
  </si>
  <si>
    <t>Postaire, BD; Devloo-Delva, F; Brunnschweiler, JM; Charvet, P; Chen, X; Cliff, G; Daly, R; Drymon, JM; Espinoza, M; Fernando, D; Glaus, K; Grant, MI; Hernandez, S; Hyodo, S; Jabado, RW; Jaquemet, S; Johnson, G; Naylor, GJP; Nevill, JEG; Pathirana, BM; Pillans, RD; Smoothey, AF; Tachihara, K; Tillet, BJ; Valerio-Vargas, JA; Lesturgie, P; Magalon, H; Feutry, P; Mona, S</t>
  </si>
  <si>
    <t>Postaire, Bautisse D.; Devloo-Delva, Floriaan; Brunnschweiler, Juerg M.; Charvet, Patricia; Chen, Xiao; Cliff, Geremy; Daly, Ryan; Drymon, J. Marcus; Espinoza, Mario; Fernando, Daniel; Glaus, Kerstin; Grant, Michael I.; Hernandez, Sebastian; Hyodo, Susumu; Jabado, Rima W.; Jaquemet, Sebastien; Johnson, Grant; Naylor, Gavin J. P.; Nevill, John E. G.; Pathirana, Buddhi M.; Pillans, Richard D.; Smoothey, Amy F.; Tachihara, Katsunori; Tillet, Bree J.; Valerio-Vargas, Jorge A.; Lesturgie, Pierre; Magalon, Helene; Feutry, Pierre; Mona, Stefano</t>
  </si>
  <si>
    <t>Global genetic diversity and historical demography of the Bull Shark</t>
  </si>
  <si>
    <t>JOURNAL OF BIOGEOGRAPHY</t>
  </si>
  <si>
    <t>Carcharhinidae; coalescent simulations; DArTcap; demographic history; marine biogeography</t>
  </si>
  <si>
    <t>CARCHARHINUS-LEUCAS; POPULATION-STRUCTURE; LIFE-HISTORY; FISHERIES MANAGEMENT; MODEL CHOICE; REEF SHARKS; R-PACKAGE; CONSERVATION; SITES; SIZE</t>
  </si>
  <si>
    <t>Aim: Biogeographic boundaries and genetic structuring have important effects on the inferences and interpretation of effective population size (N-e) temporal variations, a key genetics parameter. We reconstructed the historical demography and divergence history of a vulnerable coastal high-trophic shark using population genomics and assessed our ability to detect recent bottleneck events.Location: Western and Central Indo-Pacific (IPA), Western Tropical Atlantic (WTA) and Eastern Tropical Pacific (EPA).Taxon: Carcharhinus leucas (Muller &amp; Henle, 1839).Methods: A DArTcap (TM) approach was used to sequence 475 samples and assess global genetic structuring. Three demographic models were tested on each population, using an ABC-RF framework coupled with coalescent simulations, to investigate within-cluster structure. Divergence times between clusters were computed, testing multiple scenarios, with fastsimcoal. N-e temporal variations were reconstructed with STAIRWAYPLOT. Coalescent simulations were performed to determine the detectability of recent bottleneck under the estimated historical trend for datasets of this size.Results: Three genetic clusters corresponding to the IPA, WTA and EPA regions were identified, agreeing with previous studies. The IPA presented the highest genetic diversity and was consistently identified as the oldest. No significant within-cluster structuring was detected. N-e increased globally, with an earlier onset in the IPA, during the last glacial period. Coalescent simulations showed that weak and recent bottlenecks could not be detected with our dataset, while old and/or strong bottlenecks would erase the observed ancestral expansion.Main Conclusions: This study further confirms the role of marine biogeographic breaks in shaping the genetic history of large mobile marine predators. N-e historical increases in N-e are potentially linked to extended coastal habitat availability. The limited within-cluster population structuring suggests that N-e can be monitored over ocean basins. Due to insufficient amount of available genetic data, it cannot be concluded whether overfishing is impacting Bull Shark genetic diversity, calling for whole-genome sequencing.</t>
  </si>
  <si>
    <t>[Postaire, Bautisse D.; Jaquemet, Sebastien; Magalon, Helene] Univ La Reunion, Univ Nouvelle Caledonie, CNRS, UMR ENTROPIE,IFREMER,IRD, F-97744 St Denis, France; [Postaire, Bautisse D.; Magalon, Helene; Mona, Stefano] Lab Excellence CORAIL, Perpignan, France; [Devloo-Delva, Floriaan; Feutry, Pierre] CSIRO, Hobart, Tas, Australia; [Devloo-Delva, Floriaan] Univ Tasmania, Inst Marine &amp; Antarctic Studies, Quantitat Marine Sci Program, Hobart, Tas, Australia; [Devloo-Delva, Floriaan] Univ Tasmania, Sch Nat Sci, Discipline Biol Sci, Hobart, Tas, Australia; [Devloo-Delva, Floriaan] CSIRO Australian Natl Fish Collect, Natl Res Collect Australia, Hobart, Tas, Australia; [Brunnschweiler, Juerg M.] ETHZ, Zurich, Switzerland; [Charvet, Patricia] Univ Fed Ceara, Dept Ciencias Biol, Programa Posgrad Sistemat Uso &amp; Conservacao Biodi, Fortaleza, Ceara, Brazil; [Chen, Xiao] South China Agr Univ, Coll Vet Med, Guangzhou, Peoples R China; [Cliff, Geremy] KwaZulu Natal Sharks Board, Umhlanga, South Africa; [Cliff, Geremy] Univ KwaZulu Natal, Sch Life Sci, Durban, South Africa; [Daly, Ryan] South African Assoc Marine Biol Res, Oceanog Res Inst, Durban, South Africa; [Daly, Ryan] South African Inst Aquat Biodivers, Makhanda, South Africa; [Drymon, J. Marcus] Mississippi State Univ, Coastal Res &amp; Extens Ctr, Biloxi, MS USA; [Drymon, J. Marcus] Mississippi Alabama Sea Grant Consortium, Ocean Springs, MS USA; [Espinoza, Mario; Valerio-Vargas, Jorge A.] Univ Costa Rica, Ctr Invest Ciencias Mar &amp; Limnol CIMAR, San Pedro Montes De Oca, San Jose, Costa Rica; [Espinoza, Mario] MigraMar, Sir Francis Drake Blvd, Olema, CA USA; [Fernando, Daniel; Pathirana, Buddhi M.] Blue Resources Trust, Colombo, Sri Lanka; [Glaus, Kerstin] Univ South Pacific, Sch Agr Geog Environm Ocean &amp; Nat Sci SAGEONS, Suva, Fiji; [Grant, Michael I.; Jabado, Rima W.] James Cook Univ, Coll Sci &amp; Engn, Ctr Sustainable Trop Fisheries &amp; Aquaculture, Townsville, Qld, Australia; [Hernandez, Sebastian] Univ VERITAS, Ctr Int Programs, Biomol Lab, San Jose, Costa Rica; [Hernandez, Sebastian] Univ Catolica Norte, Fac Ciencias Mar, Sala Colecc, Coquimbo, Chile; [Hyodo, Susumu] Univ Tokyo, Atmosphere &amp; Ocean Res Inst, Lab Physiol, Kashiwa, Chiba 2778564, Japan; [Jabado, Rima W.] Elasmo Project, Dubai, U Arab Emirates; [Johnson, Grant] Northern Terr Dept Ind Tourism &amp; Trade, Darwin, NT 0801, Australia; [Naylor, Gavin J. P.] Univ Florida, Florida Museum Nat Hist, Gainesville, FL USA; [Nevill, John E. G.] Seychelles Isl Fdn, Victoria, Mahe, Seychelles; [Pillans, Richard D.] CSIRO, Dutton Pk 4102, Australia; [Smoothey, Amy F.] Sydney Inst Marine Sci, NSW Dept Primary Ind, Fisheries Res, Mosman, NSW, Australia; [Tachihara, Katsunori] Univ Ryukyus, Fac Sci, Lab Fisheries Biol &amp; Coral Reef Studies, Nakagami, Okinawa 9030123, Japan; [Tillet, Bree J.] Univ Queensland, Diamantina Inst, Translat Res Inst, Brisbane, Australia; [Lesturgie, Pierre; Mona, Stefano] Univ PSL, Inst Systemat Evolut Biodivers ISYEB, EPHE, PSL, Paris, France; [Mona, Stefano] PSL Res Univ, EPHE, Paris, France</t>
  </si>
  <si>
    <t>University of La Reunion; Ifremer; Institut de Recherche pour le Developpement (IRD); Centre National de la Recherche Scientifique (CNRS); Commonwealth Scientific &amp; Industrial Research Organisation (CSIRO); University of Tasmania; University of Tasmania; Commonwealth Scientific &amp; Industrial Research Organisation (CSIRO); Swiss Federal Institutes of Technology Domain; ETH Zurich; Universidade Federal do Ceara; South China Agricultural University; University of Kwazulu Natal; National Research Foundation - South Africa; South African Institute for Aquatic Biodiversity; Mississippi State University; Universidad Costa Rica; University of the South Pacific; James Cook University; Universidad Catolica del Norte; University of Tokyo; State University System of Florida; University of Florida; Commonwealth Scientific &amp; Industrial Research Organisation (CSIRO); NSW Department of Primary Industries; Sydney Institute of Marine Science; University of the Ryukyus; University of Queensland; Museum National d'Histoire Naturelle (MNHN); Sorbonne Universite; Universite PSL; Ecole Pratique des Hautes Etudes (EPHE); Universite PSL; Ecole Pratique des Hautes Etudes (EPHE)</t>
  </si>
  <si>
    <t>Postaire, BD (corresponding author), Univ La Reunion, Fac Sci &amp; Technol, UMR ENTROPIE, 15, Bd Rene Cassin,CS 92003, F-97744 St Denis 09, La Reunion, France.</t>
  </si>
  <si>
    <t>postaireb@gmail.com</t>
  </si>
  <si>
    <t>Feutry, Pierre/D-7469-2011; Lesturgie, Pierre/HLV-7930-2023; Lesturgie, Pierre/KHZ-1526-2024</t>
  </si>
  <si>
    <t>Lesturgie, Pierre/0000-0001-6120-3336; Lesturgie, Pierre/0000-0001-6120-3336; Postaire, Bautisse/0000-0001-8566-1040; Hyodo, Susumu/0000-0001-8146-2386; Pillans, Richard/0000-0001-6234-8764</t>
  </si>
  <si>
    <t>Commonwealth Scientific and Industrial Research Organisation; Laboratoire d'Excellence CORAIL; Quantitative Marine Science programme; Sea World Research and Rescue Foundation Inc.; Ord River Research Offset grant through CSIRO; Marine Biodiversity Hub; Australian Government's National Environmental Science Program - DEAL/SEB; Blue Resources Trust; KZN Sharks Board (SAF)</t>
  </si>
  <si>
    <t>Commonwealth Scientific and Industrial Research Organisation(Commonwealth Scientific &amp; Industrial Research Organisation (CSIRO)); Laboratoire d'Excellence CORAIL; Quantitative Marine Science programme; Sea World Research and Rescue Foundation Inc.; Ord River Research Offset grant through CSIRO; Marine Biodiversity Hub; Australian Government's National Environmental Science Program - DEAL/SEB(Australian Government); Blue Resources Trust; KZN Sharks Board (SAF)</t>
  </si>
  <si>
    <t>Sampling permits and ethics approval are listed in Data S6. Bautisse D. Postaire was supported by a postdoctoral fellowship from the Laboratoire d'Excellence CORAIL, associated with the BULLGENE research project. We are grateful to the Genotoul bioinformatics platform Toulouse Midi-Pyrenees (Bioinfo Genotoul; ) for providing computing resources. Floriaan Devloo-Delva was supported by a joint UTAS/CSIRO scholarship and the Quantitative Marine Science programme. Sequencing was supported by the Sea World Research and Rescue Foundation Inc., the Ord River Research Offset grant through CSIRO and the Marine Biodiversity Hub, a collaborative partnership supported through funding from the Australian Government's National Environmental Science Program. Samples from Reunion Island were collected as part of projects EcoRecoRun and Eurraica funded by the DEAL/SEB. We would like to acknowledge Peter Kyne, Nicole Phillips, Lei Yang, William White, Jennifer Ovenden, Jessica Morgan, Thomas Poirout, Arie de Jong, Jeffrey de Pauw, Victor Peddemors, Betty Laglbauer, Blue Resources Trust, Beqa Adventure Divers, the operations and research staff of the KZN Sharks Board (SAF) and the many Traditional Owners, assistants and volunteers for their help with obtaining samples from across the various research projects. We also like to thank all fishers and landing site workers for their help in providing access to the sampled specimen.</t>
  </si>
  <si>
    <t>0305-0270</t>
  </si>
  <si>
    <t>1365-2699</t>
  </si>
  <si>
    <t>J BIOGEOGR</t>
  </si>
  <si>
    <t>J. Biogeogr.</t>
  </si>
  <si>
    <t>10.1111/jbi.14774</t>
  </si>
  <si>
    <t>Ecology; Geography, Physical</t>
  </si>
  <si>
    <t>LJ1W9</t>
  </si>
  <si>
    <t>WOS:001121792300001</t>
  </si>
  <si>
    <t>Zhang, ZQ; Zheng, L; Leng, WC; Zhao, TJ; Li, T; Liang, Q; Cheng, X</t>
  </si>
  <si>
    <t>Zhang, Ziqian; Zheng, Lei; Leng, Wanchun; Zhao, Tianjie; Li, Teng; Liang, Qi; Cheng, Xiao</t>
  </si>
  <si>
    <t>Toward a real validation of passive microwave snowmelt detection algorithms over the Antarctic Ice sheet</t>
  </si>
  <si>
    <t>INTERNATIONAL JOURNAL OF APPLIED EARTH OBSERVATION AND GEOINFORMATION</t>
  </si>
  <si>
    <t>Validation; Antarctic Ice Sheet; Surface snowmelt; Passive microwave remote sensing; Surface energy balance model</t>
  </si>
  <si>
    <t>BRIGHTNESS TEMPERATURES; MELT EXTENT; DURATION; SSM/I; TRENDS; ONSET; SMMR</t>
  </si>
  <si>
    <t>Antarctic Ice Sheet (AIS) surface snowmelt can profoundly impact climatological and hydrological processes, as well as energy and mass balances. Passive microwave remote sensing has proven highly effective in detecting snowmelt, and the accuracy of the algorithms is typically assessed using air temperature (Tair). Nonetheless, the occurrence of snowmelt cannot be solely determined by Tair being above the melting point, it can only provide evaluation of the algorithms rather than a real validation. This study is the first to conduct a reliable validation of six commonly used algorithms by using the melt rate data from a surface energy balance model, including the cross-polarized gradient ratio (XPGR) algorithm, the diurnal amplitude variation (DAV) algorithm, the Microwave Emission Model of Layered Snowpacks based (MEMLS-based) algorithm, the constant threshold algorithm (CTA), the Ashcraft and Long Algorithm (ALA), and the M + 30 K (M30 hereafter) algorithm. Results suggest that the M30 algorithm and MEMLS-based algorithm have overall better performances, with high overall accuracies (with a value of 95.81 % and 95.56 %) and high kappa coefficient (with a value of 0.69 and 0.68). Though Tair is not reliable for evaluating the algorithms, a threshold of Tair = - 0.8 celcius can serve as an alternative criterion in the absence of melt rate data. Additionally, two algorithms with the highest accuracy were selected to investigate interannual snowmelt trends in the Antarctic and the sub-regions. The results show a significant increase in melt extent and density in the Wilkes and Adelie sub-region during the period 1979-2020.</t>
  </si>
  <si>
    <t>[Zhang, Ziqian; Zheng, Lei; Leng, Wanchun; Li, Teng; Liang, Qi; Cheng, Xiao] Sun Yat Sen Univ, Sch Geospatial Engn &amp; Sci, Zhuhai 519082, Peoples R China; [Zhang, Ziqian; Zheng, Lei; Leng, Wanchun; Li, Teng; Liang, Qi; Cheng, Xiao] Southern Marine Sci &amp; Engn Guangdong Lab Zhuhai, Zhuhai 519082, Peoples R China; [Zhang, Ziqian; Zheng, Lei; Li, Teng; Liang, Qi; Cheng, Xiao] Sun Yat Sen Univ, Key Lab Comprehens Observat Polar Environm, Minist Educ, Zhuhai 519082, Peoples R China; [Zhao, Tianjie] Chinese Acad Sci, Aerosp Informat Res Inst, State Key Lab Remote Sensing Sci, Beijing 100101, Peoples R China</t>
  </si>
  <si>
    <t>Sun Yat Sen University; Southern Marine Science &amp; Engineering Guangdong Laboratory; Southern Marine Science &amp; Engineering Guangdong Laboratory (Zhuhai); Sun Yat Sen University; Chinese Academy of Sciences; Aerospace Information Research Institute, CAS</t>
  </si>
  <si>
    <t>Zheng, L; Cheng, X (corresponding author), Sun Yat Sen Univ, Sch Geospatial Engn &amp; Sci, Zhuhai 519082, Peoples R China.;Zheng, L; Cheng, X (corresponding author), Southern Marine Sci &amp; Engn Guangdong Lab Zhuhai, Zhuhai 519082, Peoples R China.</t>
  </si>
  <si>
    <t>zhenglei6@mail.sysu.edu.cn; chengxiao9@mail.sysu.edu.cn</t>
  </si>
  <si>
    <t>Liang, Qi/0000-0002-6766-9361; Li, Teng/0000-0002-5620-3662</t>
  </si>
  <si>
    <t>National Natural Science Foundation of China [41830536, 42006192, 41925027]; Fundamental Research Funds for the Central Universities, Sun Yat-sen University; Innovation Group Project of Southern Marine Science and Engineering Guangdong Laboratory (Zhuhai) [231GBJ022]; [311022003]</t>
  </si>
  <si>
    <t>National Natural Science Foundation of China(National Natural Science Foundation of China (NSFC)); Fundamental Research Funds for the Central Universities, Sun Yat-sen University(Fundamental Research Funds for the Central Universities); Innovation Group Project of Southern Marine Science and Engineering Guangdong Laboratory (Zhuhai);</t>
  </si>
  <si>
    <t>This study was supported by the National Natural Science Foundation of China (Grant Nos. 41830536, 42006192, 41925027) , the Fundamental Research Funds for the Central Universities, Sun Yat-sen University (231GBJ022) , and the Innovation Group Project of Southern Marine Science and Engineering Guangdong Laboratory (Zhuhai) (No. 311022003) . We are grateful to the anonymous reviewers and the editorial team for their attention and time dedicated to this manuscript and for their constructive comments. We are grateful to Dr. Minghu Ding and Dr. Shoudong Zhao for the availability of the Antarctic AWSs air temperature data set.</t>
  </si>
  <si>
    <t>1569-8432</t>
  </si>
  <si>
    <t>1872-826X</t>
  </si>
  <si>
    <t>INT J APPL EARTH OBS</t>
  </si>
  <si>
    <t>Int. J. Appl. Earth Obs. Geoinf.</t>
  </si>
  <si>
    <t>10.1016/j.jag.2023.103600</t>
  </si>
  <si>
    <t>Remote Sensing</t>
  </si>
  <si>
    <t>EA6A7</t>
  </si>
  <si>
    <t>WOS:001136209300001</t>
  </si>
  <si>
    <t>Johnson, CR; Dudgeon, S</t>
  </si>
  <si>
    <t>Johnson, Craig R.; Dudgeon, Steve</t>
  </si>
  <si>
    <t>Understanding change in benthic marine systems</t>
  </si>
  <si>
    <t>ANNALS OF BOTANY</t>
  </si>
  <si>
    <t>Alternative stable states; catastrophe theory; characteristic length scales; fucoids; kelps; long transient; multiple stable states; Phaeophyceae; phase shift; Rhodophyceae</t>
  </si>
  <si>
    <t>URCHIN CENTROSTEPHANUS-RODGERSII; ALTERNATIVE STABLE STATES; EARLY-WARNING SIGNALS; REGIME SHIFTS; COMMUNITY STATES; KELP RECRUITMENT; PHASE-SHIFTS; TEMPERATURE; THRESHOLDS; RESILIENCE</t>
  </si>
  <si>
    <t>Background The unprecedented influence of human activities on natural ecosystems in the 21st century has resulted in increasingly frequent large-scale changes in ecological communities. This has heightened interest in understanding such changes and effective means to manage them. Accurate interpretation of state changes is challenging because of difficulties translating theory to empirical study, and most theory emphasizes systems near equilibrium, which may not be relevant in rapidly changing environments.Scope We review concepts of long-transient stages and phase shifts between stable community states, both smooth, continuous and discontinuous shifts, and the relationships among them. Three principal challenges emerge when applying these concepts. The first is how to interpret observed change in communities - distinguishing multiple stable states from long transients, or reversible shifts in the phase portrait of single attractor systems. The second is how to quantify the magnitudes of three sources of variability that cause switches between community states: (1) 'noise' in species' abundances, (2) 'wiggle' in system parameters and (3) trends in parameters that affect the topography of the basin of attraction. The third challenge is how variability of the system shapes evidence used to interpret community changes. We outline a novel approach using critical length scales to potentially address these challenges. These concepts are highlighted by a review of recent examples involving macroalgae as key players in marine benthic ecosystems.Conclusions Real-world examples show three or more stable configurations of ecological communities may exist for a given set of parameters, and transient stages may persist for long periods necessitating their respective consideration. The characteristic length scale (CLS) is a useful metric that uniquely identifies a community 'basin of attraction', enabling phase shifts to be distinguished from long transients. Variabilities of CLSs and time series data may likewise provide proactive management measures to mitigate phase shifts and loss of ecosystem services. Continued challenges remain in distinguishing continuous from discontinuous phase shifts because their respective dynamics lack unique signatures.</t>
  </si>
  <si>
    <t>[Johnson, Craig R.] Univ Tasmania, Inst Marine &amp; Antarctic Studies, Private Bag 129, Hobart, Tas 7001, Australia; [Dudgeon, Steve] Calif State Univ Northridge, Dept Biol, Northridge, CA 91330 USA</t>
  </si>
  <si>
    <t>University of Tasmania; California State University System; California State University Northridge</t>
  </si>
  <si>
    <t>Dudgeon, S (corresponding author), Calif State Univ Northridge, Dept Biol, Northridge, CA 91330 USA.</t>
  </si>
  <si>
    <t>Steve.dudgeon@csun.edu</t>
  </si>
  <si>
    <t>US National Science Foundation [DEB-1020480, DEB-1555641]</t>
  </si>
  <si>
    <t>US National Science Foundation(National Science Foundation (NSF))</t>
  </si>
  <si>
    <t>Steve Dudgeon's research is supported by the US National Science Foundation, grant numbers DEB-1020480 and DEB-1555641.</t>
  </si>
  <si>
    <t>0305-7364</t>
  </si>
  <si>
    <t>1095-8290</t>
  </si>
  <si>
    <t>ANN BOT-LONDON</t>
  </si>
  <si>
    <t>Ann. Bot.</t>
  </si>
  <si>
    <t>MAR 8</t>
  </si>
  <si>
    <t>SI</t>
  </si>
  <si>
    <t>10.1093/aob/mcad187</t>
  </si>
  <si>
    <t>JY7F7</t>
  </si>
  <si>
    <t>WOS:001129338500001</t>
  </si>
  <si>
    <t>Suominen, M; Korgesaar, M; Taylor, R; Bergström, M</t>
  </si>
  <si>
    <t>Suominen, Mikko; Korgesaar, Mihkel; Taylor, Rocky; Bergstrom, Martin</t>
  </si>
  <si>
    <t>Probabilistic analysis of operational ice damage for Polar class vessels using full-scale data</t>
  </si>
  <si>
    <t>STRUCTURAL SAFETY</t>
  </si>
  <si>
    <t>Polar Code; POLARIS; Load limit states; Structural damage; Ice load; Full-scale measurements</t>
  </si>
  <si>
    <t>SHIP BOW; LOADS</t>
  </si>
  <si>
    <t>To ensure the safety of maritime operations in polar waters, the IMO enforced the International Code for Ships Operating in Polar Waters (Polar Code) in 2017. To address ice navigation related risks, the Polar Code refers to a set of guidelines known as the Polar Operational Limit Assessment Risk Indexing System (POLARIS). Following POLARIS, operational limits for ice navigation are defined based on the Risk Index Outcome (RIO) value, which takes into account the prevailing ice conditions and the ice class of a ship.Recent studies indicate that the POLARIS guidelines are well-founded. However, no direct relationship be-tween RIO values and the probability of an ice-induced hull structural damage has been established. To enable a more accurate analysis of ice navigation risks, this article addresses this issue by (i) relating measured ice-induced loads to RIO values corresponding to the ice conditions in which the loads were measured, (ii) calcu-lating the load limits for plastic deformation and rupture of the ice belt of hull structures representing different ice classes, and (iii) defining the probability of structural damage for different load limits. The study utilizes long-term full-scale ice load measurements carried out onboard Polar Supply and Research Vessel (PSRV) S.A. Agulhas II in the Antarctic Ocean. The load limits were calculated for ice class standards, PC3, PC4, PC5, PC6, and PC7 in accordance with the Unified Requirements of the International Association of Classification Societies (IACS).On a general level, the results are consistent with earlier findings indicating that the POLARIS guidelines are well-founded. If a ship operates mainly at 'normal operation' level, the probability for fracture at hull are at probability levels of 10-3 and 10-4 for ice classes PC3 to PC5. The probability levels for PC6 and PC7 are higher that is possibly a result from conservative load probability distributions. When the portion of operations at 'special consideration' level becomes significant, the probability of fracture at the hull increases significantly. However, large ice thicknesses and the largest load magnitudes may be associated with positive RIO values. Some inconsistencies are recognized, and the uncertainty and limitations of the analysis are discussed.</t>
  </si>
  <si>
    <t>[Suominen, Mikko; Bergstrom, Martin] Aalto Univ, Dept Mech Engn, Espoo, Finland; [Korgesaar, Mihkel] Tallinn Univ Technol, Dept Civil Engn &amp; Architecture, Tallinn, Estonia; [Taylor, Rocky] Mem Univ Newfoundland, Dept Mech Engn, St Johns, St John, NF, Canada</t>
  </si>
  <si>
    <t>Aalto University; Tallinn University of Technology; Memorial University Newfoundland</t>
  </si>
  <si>
    <t>Suominen, M (corresponding author), Aalto Univ, Dept Mech Engn, Espoo, Finland.</t>
  </si>
  <si>
    <t>mikko.suominen@aalto.fi</t>
  </si>
  <si>
    <t>Suominen, Mikko/D-6571-2012</t>
  </si>
  <si>
    <t>Suominen, Mikko/0000-0001-9758-9365</t>
  </si>
  <si>
    <t>Lloyd's Register Foun-dation, a charitable foundation; Lloyd's Register Foundation; Charitable foundation; Finnish Funding Agency for Technology and Innovation (Tekes) [40508/11]; Academy of Finland [264354]; Estonian Research Council [PSG754]; Academy of Finland (AKA) [264354] Funding Source: Academy of Finland (AKA)</t>
  </si>
  <si>
    <t>Lloyd's Register Foun-dation, a charitable foundation; Lloyd's Register Foundation; Charitable foundation; Finnish Funding Agency for Technology and Innovation (Tekes)(Finnish Funding Agency for Technology &amp; Innovation (TEKES)); Academy of Finland(Research Council of Finland); Estonian Research Council(Estonian Research Council); Academy of Finland (AKA)(Research Council of Finland)</t>
  </si>
  <si>
    <t>This project has received funding from the Lloyd's Register Foundation, a charitable foundation, helping to protect life and property by supporting engineering-related education, public engagement and the application of research www.lrfoundation.org.uk. The data has been collected with funding from the Finnish Funding Agency for Technology and Innovation (Tekes, grant 40508/11) and the Academy of Finland (grant 264354) . Furthermore, the authors would like to acknowledge the Department of Environmental Affairs (South Africa) for providing access to the vessel. Special thanks to the crew of S.A. Agulhas II and researchers from Stellenbosch University for assisting in the measurements and practicalities related to those. Mihkel Korgesaar acknowledges the financial support by the Estonian Research Council grant PSG754.</t>
  </si>
  <si>
    <t>0167-4730</t>
  </si>
  <si>
    <t>1879-3355</t>
  </si>
  <si>
    <t>STRUCT SAF</t>
  </si>
  <si>
    <t>Struct. Saf.</t>
  </si>
  <si>
    <t>10.1016/j.strusafe.2023.102423</t>
  </si>
  <si>
    <t>Engineering, Civil</t>
  </si>
  <si>
    <t>Engineering</t>
  </si>
  <si>
    <t>EN8V7</t>
  </si>
  <si>
    <t>WOS:001139706200001</t>
  </si>
  <si>
    <t>Pizarro, V; Castillo, AG; Piñones, A; Samaniego, H</t>
  </si>
  <si>
    <t>Pizarro, Vanessa; Castillo, Andrea G.; Pinones, Andrea; Samaniego, Horacio</t>
  </si>
  <si>
    <t>Spatial and temporal representation of marine fish occurrences available online</t>
  </si>
  <si>
    <t>ECOLOGICAL INFORMATICS</t>
  </si>
  <si>
    <t>Ecoinformatics; Ecological information biases; Marine fish; Spatial and temporal representativeness; Species richness</t>
  </si>
  <si>
    <t>CONSISTENT TERMINOLOGY; CLIMATE-CHANGE; BIODIVERSITY; BIAS; COMPLETENESS; DIVERSITY; PATTERNS; INVENTORIES; COVERAGE; DATABASE</t>
  </si>
  <si>
    <t>Despite the 243,000 marine species described by 2022, our knowledge about the oceanic biodiversity is still incomplete. This knowledge gap carries potentially adverse and far-reaching consequences for the preservation of marine ecosystems, particularly in the context of the ongoing human-induced alterations to our biosphere and the rapid progression of climate change and global environmental shifts.Recently, however, a large number of online repositories have emerged, which catalogue, store and distribute biodiversity information, including taxonomic and species occurrence data. FishBase, the Global Biodiversity Information Facility (GBIF) and the Ocean Biodiversity Information System (OBIS) are part of these publicly available repositories representing a variety of sources that have exploded in number. However, despite the incredible accumulation of biodiversity records, not all the information is actually useful, nor does it represent any new knowledge regarding global species richness patterns.In this study, we assessed the spatial and temporal representativeness of marine fish records (order Actino-pterygii) found in the GBIF and OBIS global repositories. The methodological framework that we developed relies on a series of non-parametric estimators for computing species richness from incidence data. This methodology employs hexagonal grids as sampling units that overlay marine bioregions across the globe.Using standard ecological and spatial analysis tools, we identify regions that are adequately represented in terms of available records and therefore have more reliable data, as well as regions with few records that do not represent current species richness. We overlap these results with the location of marine protected areas and fishing exploitation zones to understand the anthropogenic effect on marine ichthyofauna. We additionally evaluate hypotheses regarding the taxonomic, geographic, and temporal distribution of information biases to deepen our current understanding of public records of species occurrences worldwide.Considering that more than 40 years of information was analyzed, the results showed that, on a global scale, the primary data on marine fish available on GBIF and OBIS platforms are still far from being representative and complete. Only 1.14% of the records were useful for our analyses. In addition, we found that the information seems to be biased towards coastal areas, regions close to developed countries, and areas where there is a large fishing activity. Finally, the best represented species and families are those with a small body size, which use shallow habitats and are usually recognized as having commercial or cultural value.</t>
  </si>
  <si>
    <t>[Pizarro, Vanessa; Castillo, Andrea G.; Samaniego, Horacio] Univ Austral Chile, Lab Ecoinformat, Inst Conservac Biodivers &amp; Terr, Valdivia, Chile; [Castillo, Andrea G.] Univ Austral Chile, Escuela Grad, Fac Ciencias, Programa Doctorado Ciencias menc Ecol &amp; Evoluc, Valdivia, Chile; [Pinones, Andrea] Univ Austral Chile, Fac Ciencias, Inst Ciencias Marinas &amp; Limnol, Valdivia, Chile; [Pinones, Andrea] Ctr FONDAP Invest Dinam Ecosistemas Marinos Altas, Valdivia, Chile; [Pinones, Andrea] Univ Concepcion, Ctr Invest Oceanog COPAS Coastal, Concepcion, Chile; [Pinones, Andrea] Univ Austral Chile, Millennium Inst Biodivers Antarctic &amp; Subantarct E, Biodivers Antarctic &amp; Subantarct Ecosyst BASE, Valdivia, Chile; [Samaniego, Horacio] Inst Sistemas Complejos Valparaiso, Subida Artilleria 470, Valparaiso, Chile</t>
  </si>
  <si>
    <t>Universidad Austral de Chile; Universidad Austral de Chile; Universidad Austral de Chile; Universidad de Concepcion; Universidad Austral de Chile</t>
  </si>
  <si>
    <t>Samaniego, H (corresponding author), Univ Austral Chile, Lab Ecoinformat, Inst Conservac Biodivers &amp; Terr, Valdivia, Chile.;Samaniego, H (corresponding author), Inst Sistemas Complejos Valparaiso, Subida Artilleria 470, Valparaiso, Chile.</t>
  </si>
  <si>
    <t>horacio@ecoinformatica.cl</t>
  </si>
  <si>
    <t>Pizarro, Vanessa/KHU-9316-2024</t>
  </si>
  <si>
    <t>Samaniego, Horacio/0000-0002-2485-9827; Pinones, Andrea/0000-0002-1737-9016</t>
  </si>
  <si>
    <t>Chile's National Research and Development Agency (ANID) through project FONDECYT [1211490, 2022- 21220124]</t>
  </si>
  <si>
    <t>Chile's National Research and Development Agency (ANID) through project FONDECYT</t>
  </si>
  <si>
    <t>Funding for this research was provided by Chile's National Research and Development Agency (ANID) through project FONDECYT Regular #1211490 to HS and a doctoral fellowship to AGC (ANID #2022- 21220124) . We thank professor Ricardo Giesecke for his valuable comments on an earlier version of this manuscript.</t>
  </si>
  <si>
    <t>1574-9541</t>
  </si>
  <si>
    <t>1878-0512</t>
  </si>
  <si>
    <t>ECOL INFORM</t>
  </si>
  <si>
    <t>Ecol. Inform.</t>
  </si>
  <si>
    <t>10.1016/j.ecoinf.2023.102403</t>
  </si>
  <si>
    <t>EU6L9</t>
  </si>
  <si>
    <t>WOS:001141486000001</t>
  </si>
  <si>
    <t>Battaglia, F; De Santis, L; Baradello, L; Colizza, E; Rebesco, M; Kovacevic, V; Ursella, L; Bensi, M; Accettella, D; Morelli, D; Corradi, N; Falco, P; Krauzig, N; Colleoni, F; Gordini, E; Caburlotto, A; Langone, L; Finocchiaro, F</t>
  </si>
  <si>
    <t>Battaglia, Francesca; De Santis, Laura; Baradello, Luca; Colizza, Ester; Rebesco, Michele; Kovacevic, Vedrana; Ursella, Laura; Bensi, Manuel; Accettella, Daniela; Morelli, Danilo; Corradi, Nicola; Falco, Pierpaolo; Krauzig, Naomi; Colleoni, Florence; Gordini, Emiliano; Caburlotto, Andrea; Langone, Leonardo; Finocchiaro, Furio</t>
  </si>
  <si>
    <t>The discovery of the southernmost ultra-high-resolution Holocene paleoclimate sedimentary record in Antarctica</t>
  </si>
  <si>
    <t>Antarctica; Ross Sea; Sediment drift; Bottom current; Fjord; Glacier</t>
  </si>
  <si>
    <t>ICE-SHEET EVOLUTION; ROSS SEA; CONTINENTAL-SHELF; SEISMIC STRATIGRAPHY; LAST DEGLACIATION; OCEAN SEDIMENTS; RETREAT; WEST; VARIABILITY; CONTOURITE</t>
  </si>
  <si>
    <t>The response of the Antarctic ice sheet to climate warming is the main source of uncertainty regarding future global sea level rise, since little is known about its present and past dynamics. The last deglaciation is the most recent interval of large-scale climate warming, during which the Northern and Southern Hemisphere ice sheets retreated, and sea level rose globally, although at a non-uniform rate. Geologic records from the polar regions are fundamental in determining the factors that caused the major changes in ice sheets during the last deglacial under different boundary conditions. Here, we combine morpho-bathymetric and seismic data with sediment cores and oceanographic measurements to reconstruct the processes that influenced the deposition of the southernmost, most extensive, ultrahigh-resolution record of the Holocene in Edisto Inlet fjord (Ross Sea, Antarctica). We find that post-glacial sedimentation resulted in a layered diatom mud up to 110 m thick that was locally redistributed by bottom currents over confined drifts-moats in the central part of the fjord. After the Holocene climatic optimum, the fjord was not carved by ground ice, and there continued to be internal fjord water circulation associated with Ross Sea circulation. These results support a retreat of coastal glaciers by about 11 kiloyears ago (ka) from the continental shelf of North Victoria Land.</t>
  </si>
  <si>
    <t>[Battaglia, Francesca; De Santis, Laura; Baradello, Luca; Rebesco, Michele; Kovacevic, Vedrana; Ursella, Laura; Bensi, Manuel; Accettella, Daniela; Colleoni, Florence; Gordini, Emiliano; Caburlotto, Andrea] Natl Inst Oceanog &amp; Appl Geophys OGS, I-34010 Sgonico, Italy; [Battaglia, Francesca; Langone, Leonardo] Natl Res Council CNR, Inst Polar Sci ISP, Via P Gobetti 101, I-40129 Bologna, Italy; [Colizza, Ester; Finocchiaro, Furio] Univ Trieste, Dept Math Informat &amp; Geosci, Via Edoardo Weiss 2, I-34128 Trieste, TS, Italy; [Morelli, Danilo; Corradi, Nicola] Univ Genoa, Dept Earth Environm &amp; Life Sci DISTAV, Corso Europa 26, I-16132 Genoa, Italy; [Falco, Pierpaolo; Krauzig, Naomi] Marche Polytech Univ, Dept Informat Engn, Via Brecce Bianche, I-60121 Ancona, AN, Italy</t>
  </si>
  <si>
    <t>Istituto Nazionale di Oceanografia e di Geofisica Sperimentale; Consiglio Nazionale delle Ricerche (CNR); Istituto di Scienze Polari (ISP-CNR); University of Trieste; University of Genoa; Marche Polytechnic University</t>
  </si>
  <si>
    <t>Battaglia, F (corresponding author), Natl Inst Oceanog &amp; Appl Geophys OGS, I-34010 Sgonico, Italy.</t>
  </si>
  <si>
    <t>fbattaglia@ogs.it</t>
  </si>
  <si>
    <t>Bensi, Manuel/JXN-8991-2024; Bensi, Manuel/AAV-2101-2020</t>
  </si>
  <si>
    <t>Bensi, Manuel/0000-0002-0548-7351; caburlotto, andrea/0000-0001-7259-6884; baradello, luca/0000-0002-9796-4521; Ursella, Laura/0000-0003-1714-1451; Krauzig, Naomi/0000-0002-9846-4318; Morelli, Danilo/0000-0003-2189-9492; Colleoni, Florence/0000-0003-4582-812X</t>
  </si>
  <si>
    <t>Programma Nazionale di Ricerca in Antartide (PNRA), PNRA-Glaciology and Paleoclimatology [PNRA04_4/4.10, PNRA13_AN2.03, PNRA16_00293, PNRA18_00100, PNRA18_00002, PNRA18_00258, PNRA OOS-13, PNRA19_00069]; D. Morelli_FRA funds of the University of Genoa</t>
  </si>
  <si>
    <t>Programma Nazionale di Ricerca in Antartide (PNRA), PNRA-Glaciology and Paleoclimatology; D. Morelli_FRA funds of the University of Genoa</t>
  </si>
  <si>
    <t>Financial support for this project was provided by several projects of the Programma Nazionale di Ricerca in Antartide (PNRA), PNRA-Glaciology and Paleoclimatology (1999-2002) , PNRA04_4/4.10 BAY, PNRA13_AN2.03 HOLOFERNE, PNRA16_00293 GLEVORS, PNRA18_00100 EDISTHO, PNRA18_00002 ANTIPODE, PNRA18_00258 ESTRO, PNRA OOS-13MORSea and PNRA19_00069 LASAGNE. The collaboration activity for this work was partially supported by the D. Morelli_FRA 2021 funds of the University of Genoa. We are grateful to Tommaso Tesi for sharing his knowledge on radiocarbon dating. We thank the crew of the R/V Italica, R/V OGS Explora and I/B Laura Bassi. We acknowledge IHS Markit Global Sarl for providing an academic license for Kingdom-Seismic and Geological Interpretation Software. Finally, we thank the two anonymous reviewers for their supportive and useful feedback on the original manuscript.</t>
  </si>
  <si>
    <t>10.1016/j.margeo.2023.107189</t>
  </si>
  <si>
    <t>DS9O9</t>
  </si>
  <si>
    <t>WOS:001134182600001</t>
  </si>
  <si>
    <t>Hönisch, B; Royer, DL; Breecker, DO; Polissar, PJ; Bowen, GJ; Henehan, MJ; Cui, Y; Steinthorsdottir, M; McElwain, JC; Kohn, MJ; Pearson, A; Phelps, SR; Uno, KT; Ridgwell, A; Anagnostou, E; Austermann, J; Badger, MPS; Barclay, RS; Bijl, PK; Chalk, TB; Scotese, CR; de la Vega, E; DeConto, RM; Dyez, KA; Ferrini, V; Franks, PJ; Giulivi, CF; Gutjahr, M; Harper, DT; Haynes, LL; Huber, M; Snell, KE; Keisling, BA; Konrad, W; Lowenstein, TK; Malinverno, A; Guillermic, M; Mejíia, LM; Milligan, JN; Morton, JJ; Nordt, L; Whiteford, R; Roth-Nebelsick, A; Rugenstein, JKC; Schaller, MF; Sheldon, ND; Sosdian, S; Wilkes, EB; Witkowski, CR; Zhang, YG; Anderson, L; Beerling, DJ; Bolton, C; Cerling, TE; Cotton, JM; Da, JW; Ekart, DD; Foster, GL; Greenwood, DR; Hyland, EG; Jagniecki, EA; Jasper, JP; Kowalczyk, JB; Kunzmann, L; Kürschner, WM; Lawrence, CE; Lear, CH; Martinez-Boti, MA; Maxbauer, DP; Montagna, P; Naafs, BDA; Rae, JWB; Raitzsch, M; Retallack, GJ; Ring, SJ; Seki, O; Sepúlveda, J; Sinha, A; Tesfamichael, TF; Tripati, A; Van der Burgh, J; Yu, JM; Zachos, JC; Zhang, LM</t>
  </si>
  <si>
    <t>Honisch, Barbel; Royer, Dana L.; Breecker, Daniel O.; Polissar, Pratigya J.; Bowen, Gabriel J.; Henehan, Michael J.; Cui, Ying; Steinthorsdottir, Margret; McElwain, Jennifer C.; Kohn, Matthew J.; Pearson, Ann; Phelps, Samuel R.; Uno, Kevin T.; Ridgwell, Andy; Anagnostou, Eleni; Austermann, Jacqueline; Badger, Marcus P. S.; Barclay, Richard S.; Bijl, Peter K.; Chalk, Thomas B.; Scotese, Christopher R.; de la Vega, Elwyn; DeConto, Robert M.; Dyez, Kelsey A.; Ferrini, Vicki; Franks, Peter J.; Giulivi, Claudia F.; Gutjahr, Marcus; Harper, Dustin T.; Haynes, Laura L.; Huber, Matthew; Snell, Kathryn E.; Keisling, Benjamin A.; Konrad, Wilfried; Lowenstein, Tim K.; Malinverno, Alberto; Guillermic, Maxence; Mejia, Luz Maria; Milligan, Joseph N.; Morton, John J.; Nordt, Lee; Whiteford, Ross; Roth-Nebelsick, Anita; Rugenstein, Jeremy K. C.; Schaller, Morgan F.; Sheldon, Nathan D.; Sosdian, Sindia; Wilkes, Elise B.; Witkowski, Caitlyn R.; Zhang, Yi Ge; Anderson, Lloyd; Beerling, David J.; Bolton, Clara; Cerling, Thure E.; Cotton, Jennifer M.; Da, Jiawei; Ekart, Douglas D.; Foster, Gavin L.; Greenwood, David R.; Hyland, Ethan G.; Jagniecki, Elliot A.; Jasper, John P.; Kowalczyk, Jennifer B.; Kunzmann, Lutz; Kurschner, Wolfram M.; Lawrence, Charles E.; Lear, Caroline H.; Martinez-Boti, Miguel A.; Maxbauer, Daniel P.; Montagna, Paolo; Naafs, B. David A.; Rae, James W. B.; Raitzsch, Markus; Retallack, Gregory J.; Ring, Simon J.; Seki, Osamu; Sepulveda, Julio; Sinha, Ashish; Tesfamichael, Tekie F.; Tripati, Aradhna; Van der Burgh, Johan; Yu, Jimin; Zachos, James C.; Zhang, Laiming</t>
  </si>
  <si>
    <t>Cenozoic CO2 Proxy Integration Pro</t>
  </si>
  <si>
    <t>Toward a Cenozoic history of atmospheric CO2</t>
  </si>
  <si>
    <t>ANTARCTIC ICE-SHEET; CARBON-DIOXIDE; CONCENTRATING MECHANISMS; CLIMATE SENSITIVITY; C-4 PHOTOSYNTHESIS; EVOLUTION; VEGETATION; ORIGINS; RISE; ECOSYSTEMS</t>
  </si>
  <si>
    <t>The geological record encodes the relationship between climate and atmospheric carbon dioxide (CO2) over long and short timescales, as well as potential drivers of evolutionary transitions. However, reconstructing CO2 beyond direct measurements requires the use of paleoproxies and herein lies the challenge, as proxies differ in their assumptions, degree of understanding, and even reconstructed values. In this study, we critically evaluated, categorized, and integrated available proxies to create a high-fidelity and transparently constructed atmospheric CO2 record spanning the past 66 million years. This newly constructed record provides clearer evidence for higher Earth system sensitivity in the past and for the role of CO2 thresholds in biological and cryosphere evolution.</t>
  </si>
  <si>
    <t>[Honisch, Barbel; Austermann, Jacqueline; Anderson, Lloyd] Columbia Univ, Dept Earth &amp; Environm Sci, New York, NY 10027 USA; [Honisch, Barbel; Uno, Kevin T.; Ferrini, Vicki; Giulivi, Claudia F.; Malinverno, Alberto; Morton, John J.] Columbia Univ, Lamont Doherty Earth Observ, Palisades, NY 10027 USA; [Royer, Dana L.] Wesleyan Univ, Dept Earth &amp; Environm Sci, Middletown, CT 06459 USA; [Breecker, Daniel O.] Univ Texas Austin, Jackson Sch Geosci, Dept Earth &amp; Planetary Sci, Austin, TX 78712 USA; [Polissar, Pratigya J.] Univ Calif Santa Cruz, Dept Ocean Sci, Santa Cruz, CA 95064 USA; [Bowen, Gabriel J.; Cerling, Thure E.] Univ Utah, Dept Geol &amp; Geophys, Salt Lake City, UT USA; [Henehan, Michael J.; Harper, Dustin T.; Witkowski, Caitlyn R.] Univ Bristol, Sch Earth Sci, Bristol, Avon, England; [Cui, Ying] Montclair State Univ, Dept Earth &amp; Environm Studies, Montclair, NJ USA; [Steinthorsdottir, Margret] Swedish Museum Nat Hist, Stockholm, Sweden; [McElwain, Jennifer C.] Trinity Coll Dublin, Dept Bot, Dublin, Ireland; [Kohn, Matthew J.] Boise State Univ, Dept Geosci, Boise, ID 83725 USA; [Pearson, Ann] Harvard Univ, Dept Earth &amp; Planetary Sci, Cambridge, MA 02138 USA; [Phelps, Samuel R.] CIM Grp, New York, NY USA; [Ridgwell, Andy] Univ Calif Riverside, Earth &amp; Planetary Sci Dept, Riverside, CA 92521 USA; [Anagnostou, Eleni; Badger, Marcus P. S.] GEOMAR Helmholtz Ctr Ocean Res Kiel, Kiel, Germany; [Badger, Marcus P. S.] Open Univ, Sch Environm Earth &amp; Ecosyst Sci, Milton Keynes, Bucks, England; [Barclay, Richard S.; Milligan, Joseph N.] Smithsonian Inst, Dept Paleobiol, Washington, DC USA; [Bijl, Peter K.] Univ Utrecht, Dept Earth Sci, Utrecht, Netherlands; [Chalk, Thomas B.; Bolton, Clara] Aix Marseille Univ, CEREGE, INRAE, CNRS,IRD, Aix En Provence, France; [Scotese, Christopher R.] Northwestern Univ, Dept Earth &amp; Planetary Sci, Evanston, IL 60208 USA; [de la Vega, Elwyn] Univ Galway, Sch Geog Archaeol &amp; Irish Studies, Galway, Ireland; [DeConto, Robert M.] Univ Massachusetts, Dept Earth Geog &amp; Climate Sci, Amherst, MA USA; [Dyez, Kelsey A.; Sheldon, Nathan D.] Univ Michigan, Dept Earth &amp; Environm Sci, Ann Arbor, MI 48109 USA; [Franks, Peter J.] Univ Sydney, Sch Life &amp; Environm Sci, Sydney, NSW, Australia; [Haynes, Laura L.] Vassar Coll, Dept Earth Sci &amp; Geog, Poughkeepsie, NY 12601 USA; [Huber, Matthew] Purdue Univ, Dept Earth Atmospher &amp; Planetary Sci, W Lafayette, IN 47907 USA; [Snell, Kathryn E.] Univ Colorado, Dept Geol Sci, Boulder, CO USA; [Keisling, Benjamin A.] Univ Texas Austin, Inst Geophys, Austin, TX USA; [Konrad, Wilfried] Univ Tubingen, Dept Geosci, Tubingen, Germany; [Lowenstein, Tim K.] Binghamton Univ, Dept Earth Sci, Binghamton, NY USA; [Guillermic, Maxence] Univ Calif Los Angeles, Dept Earth Planetary &amp; Space Sci, Los Angeles, CA USA; [Mejia, Luz Maria] Univ Bremen, MARUM, Bremen, Germany; [Nordt, Lee] Baylor Univ, Dept Geosci, Waco, TX USA; [Whiteford, Ross] Univ St Andrews, Sch Earth &amp; Environm Sci, St Andrews, Fife, Scotland; [Roth-Nebelsick, Anita] State Museum Nat Hist, Stuttgart, Germany; [Rugenstein, Jeremy K. C.] Colorado State Univ, Dept Geosci, Ft Collins, CO 80523 USA; [Schaller, Morgan F.] Rensselaer Polytech Inst, Dept Earth &amp; Environm Sci, Troy, NY USA; [Sosdian, Sindia; Lear, Caroline H.] Cardiff Univ, Sch Earth &amp; Environm Sci, Cardiff, Wales; [Wilkes, Elise B.; Lear, Caroline H.] Ginkgo Bioworks, Boston, MA USA; [Zhang, Yi Ge] Texas A&amp;M Univ, Dept Oceanog, Coll Stn, TX USA; [Beerling, David J.] Univ Sheffield, Sch Biosci, Sheffield, S Yorkshire, England; [Cotton, Jennifer M.] Calif State Univ, Dept Geol Sci, Northridge, CA USA; [Ekart, Douglas D.] Utah Valley Univ, Dept Earth Sci, Orem, UT USA; [Foster, Gavin L.; Martinez-Boti, Miguel A.] Univ Southampton, Natl Oceanog Ctr, Sch Ocean &amp; Earth Sci, Southampton, Hants, England; [Greenwood, David R.] Brandon Univ, Dept Biol, Brandon, MB, Canada; [Hyland, Ethan G.] North Carolina State Univ, Dept Marine Earth &amp; Atmospher Sci, Raleigh, NC USA; [Jagniecki, Elliot A.] Utah Geol Survey, Salt Lake City, UT USA; [Jasper, John P.] Nat Fingerprint Authenticat Mol Isotope Technol L, Niantic, CT USA; [Kowalczyk, Jennifer B.] Brown Univ, Dept Earth Environm &amp; Planetary Sci, Providence, RI USA; [Kunzmann, Lutz] Senckenberg Nat Hist Collect, Dresden, Germany; [Kurschner, Wolfram M.] Univ Oslo, Dept Geosci, Oslo, Norway; [Lawrence, Charles E.] Brown Univ, Dept Appl Math, Providence, RI USA; [Martinez-Boti, Miguel A.] EIT Urban Mobil, Barcelona, Spain; [Maxbauer, Daniel P.] Carleton Coll, Dept Geol, Northfield, MN 55057 USA; [Montagna, Paolo] CNR, Inst Polar Sci, Bologna, Italy; [Naafs, B. David A.] Univ Bristol, Sch Chem, Bristol, Avon, England; [Raitzsch, Markus] Dettmer Grp KG, Bremen, Germany; [Retallack, Gregory J.] Univ Oregon, Dept Earth Sci, Eugene, OR USA; [Ring, Simon J.] Deutsches GeoForschungsZentrum GFZ, Potsdam, Germany; [Seki, Osamu] Hokkaido Univ, Inst Low Temp Sci, Sapporo, Hokkaido, Japan; [Sepulveda, Julio] Univ Colorado Boulder, Dept Geol Sci, Boulder, CO USA; [Sepulveda, Julio] Univ Colorado Boulder, Inst Arctic &amp; Alpine Res, Boulder, CO USA; [Sinha, Ashish] Calif State Univ Dominguez Hills, Dept Earth Sci, Carson, CA USA; [Tesfamichael, Tekie F.] Addis Ababa Univ, Sch Earth Sci, Addis Ababa, Ethiopia; [Yu, Jimin] Laoshan Lab, Qingdao, Peoples R China; [Zachos, James C.] Univ Calif Santa Cruz, Dept Earth &amp; Planetary Sci, Santa Cruz, CA 95064 USA; [Zhang, Laiming] China Univ Geosci Beijing, Sch Earth Sci &amp; Resources, Frontiers Sci Ctr Deeptime Digital Earth, Beijing, Peoples R China</t>
  </si>
  <si>
    <t>Columbia University; Columbia University; Wesleyan University; University of Texas System; University of Texas Austin; University of California System; University of California Santa Cruz; Utah System of Higher Education; University of Utah; University of Bristol; Montclair State University; Swedish Museum of Natural History; Trinity College Dublin; Idaho; Boise State University; Harvard University; University of California System; University of California Riverside; Helmholtz Association; GEOMAR Helmholtz Center for Ocean Research Kiel; Open University - UK; Smithsonian Institution; Smithsonian National Museum of Natural History; Utrecht University; INRAE; Centre National de la Recherche Scientifique (CNRS); Aix-Marseille Universite; Institut de Recherche pour le Developpement (IRD); Northwestern University; Ollscoil na Gaillimhe-University of Galway; University of Massachusetts System; University of Massachusetts Amherst; University of Michigan System; University of Michigan; University of Sydney; Vassar College; Purdue University System; Purdue University; University of Colorado System; University of Colorado Boulder; University of Texas System; University of Texas Austin; Eberhard Karls University of Tubingen; State University of New York (SUNY) System; State University of New York (SUNY) Binghamton; University of California System; University of California Los Angeles; University of Bremen; Baylor University; University of St Andrews; Colorado State University; Rensselaer Polytechnic Institute; Cardiff University; Texas A&amp;M University System; Texas A&amp;M University College Station; University of Sheffield; California State University System; California State University Northridge; Utah System of Higher Education; Utah Valley University; NERC National Oceanography Centre; University of Southampton; Brandon University; North Carolina State University; Brown University; Senckenberg Gesellschaft fur Naturforschung (SGN); University of Oslo; Brown University; Carleton College; Consiglio Nazionale delle Ricerche (CNR); Istituto di Scienze Polari (ISP-CNR); University of Bristol; University of Oregon; Helmholtz Association; Helmholtz-Center Potsdam GFZ German Research Center for Geosciences; Hokkaido University; University of Colorado System; University of Colorado Boulder; University of Colorado System; University of Colorado Boulder; California State University System; California State University Dominguez Hills; Addis Ababa University; Laoshan Laboratory; University of California System; University of California Santa Cruz; China University of Geosciences</t>
  </si>
  <si>
    <t>Hönisch, B (corresponding author), Columbia Univ, Dept Earth &amp; Environm Sci, New York, NY 10027 USA.;Hönisch, B (corresponding author), Columbia Univ, Lamont Doherty Earth Observ, Palisades, NY 10027 USA.;Royer, DL (corresponding author), Wesleyan Univ, Dept Earth &amp; Environm Sci, Middletown, CT 06459 USA.;Breecker, DO (corresponding author), Univ Texas Austin, Jackson Sch Geosci, Dept Earth &amp; Planetary Sci, Austin, TX 78712 USA.;Polissar, PJ (corresponding author), Univ Calif Santa Cruz, Dept Ocean Sci, Santa Cruz, CA 95064 USA.;Bowen, GJ (corresponding author), Univ Utah, Dept Geol &amp; Geophys, Salt Lake City, UT USA.;Ridgwell, A (corresponding author), Univ Calif Riverside, Earth &amp; Planetary Sci Dept, Riverside, CA 92521 USA.</t>
  </si>
  <si>
    <t>hoenisch@ldeo.columbia.edu; droyer@wesleyan.edu; breecker@jsg.utexas.edu; polissar@ucsc.edu; gabe.bowen@utah.edu; andy@seao2.org</t>
  </si>
  <si>
    <t>Li, Xintong/KHD-6915-2024; Zachos, James C/A-7674-2008; Zhang, Yige/R-6330-2018; Kürschner, Wolfram Michael/B-4724-2009; Gutjahr, Marcus/L-9158-2013; Foster, Gavin/CAF-4654-2022; Greenwood, David R./C-2758-2008; Huber, Matthew/A-7677-2008; wang, jin/KHD-7243-2024; McElwain, Jennifer/B-1735-2009; Rae, James/R-3812-2017; Beerling, David/C-2840-2009; Hoenisch, Baerbel/C-7530-2013</t>
  </si>
  <si>
    <t>Kürschner, Wolfram Michael/0000-0001-6883-6486; Gutjahr, Marcus/0000-0003-2556-2619; Foster, Gavin/0000-0003-3688-9668; Greenwood, David R./0000-0002-8569-9695; Huber, Matthew/0000-0002-2771-9977; Kohn, Matthew/0000-0002-7202-4525; Whiteford, Ross/0000-0002-2178-3476; Kowalczyk, Jennifer/0000-0003-2978-1237; Royer, Dana/0000-0003-0976-953X; Witkowski, Caitlyn R/0000-0001-7855-4271; McElwain, Jennifer/0000-0002-1729-6755; Bowen, Gabriel/0000-0002-6928-3104; Rae, James/0000-0003-3904-2526; Raitzsch, Markus/0000-0003-4214-358X; Beerling, David/0000-0003-1869-4314; Hoenisch, Baerbel/0000-0001-5844-3398</t>
  </si>
  <si>
    <t>DEC 8</t>
  </si>
  <si>
    <t>+</t>
  </si>
  <si>
    <t>10.1126/science.adi5177</t>
  </si>
  <si>
    <t>GX9M8</t>
  </si>
  <si>
    <t>Green Accepted, Green Submitted</t>
  </si>
  <si>
    <t>WOS:001156091000001</t>
  </si>
  <si>
    <t>Morioka, Y; Zhang, LP; Delworth, TL; Yang, XS; Zeng, FR; Nonaka, M; Behera, SK</t>
  </si>
  <si>
    <t>Morioka, Yushi; Zhang, Liping; Delworth, Thomas L.; Yang, Xiaosong; Zeng, Fanrong; Nonaka, Masami; Behera, Swadhin K.</t>
  </si>
  <si>
    <t>Multidecadal variability and predictability of Antarctic sea ice in the GFDL SPEAR_LO model</t>
  </si>
  <si>
    <t>OCEAN DEEP CONVECTION; SOUTHERN-OCEAN; WEDDELL POLYNYA; NATURAL VARIABILITY; GLOBAL ATMOSPHERE; EXTENT; TRENDS; IMPACT; TEMPERATURE; CIRCULATION</t>
  </si>
  <si>
    <t>Using a state-of-the-art coupled general circulation model, physical processes underlying Antarctic sea ice multidecadal variability and predictability are investigated. Our model simulations constrained by atmospheric reanalysis and observed sea surface temperature broadly capture a multidecadal variability in the observed sea ice extent (SIE) with a low sea ice state (late 1970s-1990s) and a high sea ice state (2000s-early 2010s), although the model overestimates the SIE decrease in the Weddell Sea around the 1980s. The low sea ice state is largely due to the deepening of the mixed layer and the associated deep convection that brings subsurface warm water to the surface. During the high sea ice period (post-2000s), the deep convection substantially weakens, so surface wind variability plays a greater role in the SIE variability. Decadal retrospective forecasts started from the above model simulations demonstrate that the Antarctic sea ice multidecadal variability can be skillfully predicted 6-10 years in advance, showing a moderate correlation with the observation. Ensemble members with a deeper mixed layer and stronger deep convection tend to predict a larger sea ice decrease in the 1980s, whereas members with a larger surface wind variability tend to predict a larger sea ice increase after the 2000s. Therefore, skillful simulation and prediction of the Antarctic sea ice multidecadal variability require accurate simulation and prediction of the mixed layer, deep convection, and surface wind variability in the model.</t>
  </si>
  <si>
    <t>[Morioka, Yushi; Nonaka, Masami; Behera, Swadhin K.] JAMSTEC, Applicat Lab, VAiG, Yokohama, Kanagawa, Japan; [Morioka, Yushi; Zhang, Liping; Delworth, Thomas L.; Yang, Xiaosong; Zeng, Fanrong] NOAA, Geophys Fluid Dynam Lab, Princeton, NJ 08540 USA; [Morioka, Yushi] Princeton Univ, Atmospher &amp; Ocean Sci Program, Princeton, NJ 08540 USA; [Zhang, Liping] Univ Corp Atmospher Res, Cooperat Programs Advancement Earth Syst Sci, Boulder, CO USA</t>
  </si>
  <si>
    <t>Japan Agency for Marine-Earth Science &amp; Technology (JAMSTEC); National Oceanic Atmospheric Admin (NOAA) - USA; National Oceanic Atmospheric Admin (NOAA) - USA; Princeton University; National Center Atmospheric Research (NCAR) - USA</t>
  </si>
  <si>
    <t>Morioka, Y (corresponding author), JAMSTEC, Applicat Lab, VAiG, Yokohama, Kanagawa, Japan.;Morioka, Y (corresponding author), NOAA, Geophys Fluid Dynam Lab, Princeton, NJ 08540 USA.;Morioka, Y (corresponding author), Princeton Univ, Atmospher &amp; Ocean Sci Program, Princeton, NJ 08540 USA.</t>
  </si>
  <si>
    <t>morioka@jamstec.go.jp</t>
  </si>
  <si>
    <t>Zhang, Liping/L-6480-2015</t>
  </si>
  <si>
    <t>Zhang, Liping/0000-0003-1122-8927</t>
  </si>
  <si>
    <t>Japan Society for the Promotion of Science; Princeton University-NOAA GFDL Visiting Research Scientists program; NOAA Office of Oceanic and Atmospheric Research (OAR); JAMSTEC Overseas Research Visit Program [19K14800, 22K03727]; JSPS KAKENHI</t>
  </si>
  <si>
    <t>Japan Society for the Promotion of Science(Ministry of Education, Culture, Sports, Science and Technology, Japan (MEXT)Japan Society for the Promotion of Science); Princeton University-NOAA GFDL Visiting Research Scientists program; NOAA Office of Oceanic and Atmospheric Research (OAR)(National Oceanic Atmospheric Admin (NOAA) - USA); JAMSTEC Overseas Research Visit Program; JSPS KAKENHI(Ministry of Education, Culture, Sports, Science and Technology, Japan (MEXT)Japan Society for the Promotion of ScienceGrants-in-Aid for Scientific Research (KAKENHI))</t>
  </si>
  <si>
    <t>We performed all of the SPEAR model experiments on the Gaea supercomputer at NOAA. We thank Rong Zhang, Mitch Bushuk, Yongfei Zhang, and William Gregory for providing constructive comments on the original manuscript. We are also grateful to two anonymous reviewers who provided valuable comments to improve the original manuscript. The present research is supported by Princeton University-NOAA GFDL Visiting Research Scientists program and base support of GFDL from NOAA Office of Oceanic and Atmospheric Research (OAR), JAMSTEC Overseas Research Visit Program, and JSPS KAKENHI grant numbers 19K14800 and 22K03727.</t>
  </si>
  <si>
    <t>10.5194/tc-17-5219-2023</t>
  </si>
  <si>
    <t>IU4B2</t>
  </si>
  <si>
    <t>WOS:001168826100001</t>
  </si>
  <si>
    <t>Gallmeier, K; Prochaska, JX; Cornillon, P; Menemenlis, D; Kelm, M</t>
  </si>
  <si>
    <t>Gallmeier, Katharina; Prochaska, J. Xavier; Cornillon, Peter; Menemenlis, Dimitris; Kelm, Madolyn</t>
  </si>
  <si>
    <t>An evaluation of the LLC4320 global-ocean simulation based on the submesoscale structure of modeled sea surface temperature fields</t>
  </si>
  <si>
    <t>RESOLUTION; FRAMEWORK</t>
  </si>
  <si>
    <t>We have assembled 2 851 702 nearly cloud-free cutout images (sized 144 km x 144 km) of sea surface temperature (SST) data from the entire 2012-2020 Level-2 Visible Infrared Imaging Radiometer Suite (VIIRS) dataset to perform a quantitative comparison to the ocean model output from the MIT General Circulation Model (MITgcm). Specifically, we evaluate outputs from the LLC4320 (LLC, latitude-longitude-polar cap) 1 48 circle global-ocean simulation for a 1-year period starting on 17 November 2011 but otherwise matched in geography and the day of the year to the VIIRS observations. In lieu of simple (e.g., mean, standard deviation) or complex (e.g., power spectrum) statistics, we analyze the cutouts of SST anomalies with an unsupervised probabilistic autoencoder (PAE) trained to learn the distribution of structures in SST anomaly (SSTa) on similar to 10- 80 km scales (i.e., submesoscale to mesoscale). A principal finding is that the LLC4320 simulation reproduces, over a large fraction of the ocean, the observed distribution of SSTa patterns well, both globally and regionally. Globally, the medians of the structure distributions match to within 2 sigma for 65 % of the ocean, despite a modest, latitude-dependent offset. Regionally, the model outputs reproduce mesoscale variations in SSTa patterns revealed by the PAE in the VIIRS data, including subtle features imprinted by variations in bathymetry. We also identify significant differences in the distribution of SSTa patterns in several regions: (1) in an equatorial band equatorward of 15 circle ; (2) in the Antarctic Circumpolar Current (ACC), especially in the eastern half of the Indian Ocean; and (3) in the vicinity of the point at which western boundary currents separate from the continental margin. It is clear that region 3 is a result of premature separation in the simulated western boundary currents. The model output in region 2, the southern Indian Ocean, tends to predict more structure than observed, perhaps arising from a misrepresentation of the mixed layer or of energy dissipation and stirring in the simulation. The differences in region 1, the equatorial band, are also likely due to model errors, perhaps arising from the shortness of the simulation or from the lack of high-frequency and/or wavenumber atmospheric forcing. Although we do not yet know the exact causes for these model-data SSTa differences, we expect that this type of comparison will help guide future developments of high-resolution global-ocean simulations.</t>
  </si>
  <si>
    <t>[Gallmeier, Katharina] Inst Def Anal, Alexandria, VA 22305 USA; [Prochaska, J. Xavier] Univ Calif Santa Cruz, Dept Ocean Sci, Santa Cruz, CA 95064 USA; [Prochaska, J. Xavier] Univ Calif Santa Cruz, Dept Astron &amp; Astrophys, Santa Cruz, CA 95064 USA; [Prochaska, J. Xavier] Kavli Inst Phys &amp; Math Universe Kavli IPMU, 5-1-5 Kashiwanoha, Kashiwa 2778583, Japan; [Cornillon, Peter] Univ Rhode Isl, Grad Sch Oceanog, Narragansett, RI 02882 USA; [Menemenlis, Dimitris] CALTECH, Jet Prop Lab, Pasadena, CA 91109 USA; [Kelm, Madolyn] Univ Calif Irvine, Dept Earth Syst Sci, Irvine, CA 92697 USA</t>
  </si>
  <si>
    <t>University of California System; University of California Santa Cruz; University of California System; University of California Santa Cruz; University of Tokyo; University of Rhode Island; California Institute of Technology; National Aeronautics &amp; Space Administration (NASA); NASA Jet Propulsion Laboratory (JPL); University of California System; University of California Irvine</t>
  </si>
  <si>
    <t>Prochaska, JX (corresponding author), Univ Calif Santa Cruz, Dept Ocean Sci, Santa Cruz, CA 95064 USA.;Prochaska, JX (corresponding author), Univ Calif Santa Cruz, Dept Astron &amp; Astrophys, Santa Cruz, CA 95064 USA.;Prochaska, JX (corresponding author), Kavli Inst Phys &amp; Math Universe Kavli IPMU, 5-1-5 Kashiwanoha, Kashiwa 2778583, Japan.</t>
  </si>
  <si>
    <t>jxp@ucsc.edu</t>
  </si>
  <si>
    <t>Menemenlis, Dimitris/G-8091-2017</t>
  </si>
  <si>
    <t>Menemenlis, Dimitris/0000-0001-9940-8409</t>
  </si>
  <si>
    <t>Simons Foundation; University of California, Santa Cruz; NASA; Physical Oceanography (PO) program; Modeling, Analysis, and Prediction (MAP) program; University of Rhode Island (NSF); Office of Naval Research (ONR); State of Rhode Island</t>
  </si>
  <si>
    <t>Simons Foundation; University of California, Santa Cruz(University of California System); NASA(National Aeronautics &amp; Space Administration (NASA)); Physical Oceanography (PO) program; Modeling, Analysis, and Prediction (MAP) program; University of Rhode Island (NSF); Office of Naval Research (ONR)(Office of Naval Research); State of Rhode Island</t>
  </si>
  <si>
    <t>J. Xavier Prochaska acknowledges future support from the Simons Foundation and the University of California, Santa Cruz. DM carried out research at the Jet Propulsion Laboratory, California Institute of Technology, under a contract with NASA, with support from the Physical Oceanography (PO) and Modeling, Analysis, and Prediction (MAP) programs. Katharina Gallmeier was supported during the summer of 2021 through the Summer Undergraduate Research Fellowships in Oceanography program of the University of Rhode Island (funded by the NSF). Support for Peter Cornillon was provided by the Office of Naval Research (ONR), NASA, and the state of Rhode Island.</t>
  </si>
  <si>
    <t>10.5194/gmd-16-7143-2023</t>
  </si>
  <si>
    <t>IU3X1</t>
  </si>
  <si>
    <t>WOS:001168821800001</t>
  </si>
  <si>
    <t>Silvano, A; Purkey, S; Gordon, AL; Castagno, P; Stewart, AL; Rintoul, SR; Foppert, A; Gunn, KL; Herraiz-Borreguero, L; Aoki, S; Nakayama, Y; Garabato, ACN; Spingys, C; Akhoudas, CH; Sallée, JB; de Lavergne, C; Abrahamsen, EP; Meijers, AJS; Meredith, MP; Zhou, SJ; Tamura, T; Yamazaki, K; Ohshima, KI; Falco, P; Budillon, G; Hattermann, T; Janout, MA; Llanillo, P; Bowen, MM; Darelius, E; Osterhus, S; Nicholls, KW; Stevens, C; Fernandez, D; Cimoli, L; Jacobs, SS; Morrison, AK; Hogg, AM; Haumann, FA; Mashayek, A; Wang, ZM; Kerr, R; Williams, GD; Lee, WS</t>
  </si>
  <si>
    <t>Silvano, Alessandro; Purkey, Sarah; Gordon, Arnold L.; Castagno, Pasquale; Stewart, Andrew L.; Rintoul, Stephen R.; Foppert, Annie; Gunn, Kathryn L.; Herraiz-Borreguero, Laura; Aoki, Shigeru; Nakayama, Yoshihiro; Naveira Garabato, Alberto C.; Spingys, Carl; Akhoudas, Camille Hayatte; Sallee, Jean-Baptiste; de Lavergne, Casimir; Abrahamsen, E. Povl; Meijers, Andrew J. S.; Meredith, Michael P.; Zhou, Shenjie; Tamura, Takeshi; Yamazaki, Kaihe; Ohshima, Kay I.; Falco, Pierpaolo; Budillon, Giorgio; Hattermann, Tore; Janout, Markus A.; Llanillo, Pedro; Bowen, Melissa M.; Darelius, Elin; Osterhus, Svein; Nicholls, Keith W.; Stevens, Craig; Fernandez, Denise; Cimoli, Laura; Jacobs, Stanley S.; Morrison, Adele K.; Hogg, Andrew McC.; Haumann, F. Alexander; Mashayek, Ali; Wang, Zhaomin; Kerr, Rodrigo; Williams, Guy D.; Lee, Won Sang</t>
  </si>
  <si>
    <t>Observing Antarctic Bottom Water in the Southern Ocean</t>
  </si>
  <si>
    <t>Antarctic Bottom Water (AABW); Southern Ocean; ice shelves; ocean warming; ocean freshening; Antarctic sea ice; observations</t>
  </si>
  <si>
    <t>ROSS ICE SHELF; CIRCUMPOLAR DEEP-WATER; TOTAL GEOSTROPHIC CIRCULATION; NOVA BAY POLYNYA; SEA-LEVEL RISE; WEDDELL SEA; OVERTURNING CIRCULATION; ATLANTIC-OCEAN; DENSE WATER; PRYDZ BAY</t>
  </si>
  <si>
    <t>Dense, cold waters formed on Antarctic continental shelves descend along the Antarctic continental margin, where they mix with other Southern Ocean waters to form Antarctic Bottom Water (AABW). AABW then spreads into the deepest parts of all major ocean basins, isolating heat and carbon from the atmosphere for centuries. Despite AABW's key role in regulating Earth's climate on long time scales and in recording Southern Ocean conditions, AABW remains poorly observed. This lack of observational data is mostly due to two factors. First, AABW originates on the Antarctic continental shelf and slope where in situ measurements are limited and ocean observations by satellites are hampered by persistent sea ice cover and long periods of darkness in winter. Second, north of the Antarctic continental slope, AABW is found below approximately 2 km depth, where in situ observations are also scarce and satellites cannot provide direct measurements. Here, we review progress made during the past decades in observing AABW. We describe 1) long-term monitoring obtained by moorings, by ship-based surveys, and beneath ice shelves through bore holes; 2) the recent development of autonomous observing tools in coastal Antarctic and deep ocean systems; and 3) alternative approaches including data assimilation models and satellite-derived proxies. The variety of approaches is beginning to transform our understanding of AABW, including its formation processes, temporal variability, and contribution to the lower limb of the global ocean meridional overturning circulation. In particular, these observations highlight the key role played by winds, sea ice, and the Antarctic Ice Sheet in AABW-related processes. We conclude by discussing future avenues for observing and understanding AABW, impressing the need for a sustained and coordinated observing system.</t>
  </si>
  <si>
    <t>[Silvano, Alessandro; Gunn, Kathryn L.; Naveira Garabato, Alberto C.] Univ Southampton, Natl Oceanog Ctr, Ocean &amp; Earth Sci, Southampton, Hants, England; [Purkey, Sarah; Cimoli, Laura] Univ Calif San Diego, Scripps Inst Oceanog, La Jolla, CA USA; [Gordon, Arnold L.; Jacobs, Stanley S.] Columbia Univ, Lamont Doherty Earth Observ, Palisades, NY USA; [Castagno, Pasquale] Univ Messina, Dept Math Comp Sci Phys &amp; Earth Sci, Messina, Italy; [Stewart, Andrew L.] Univ Calif Los Angeles, Dept Atmospher &amp; Ocean Sci, Los Angeles, CA USA; [Rintoul, Stephen R.; Herraiz-Borreguero, Laura] Commonwealth Sci &amp; Ind Res Org CSIRO, Dept Environm, Hobart, Tas, Australia; [Rintoul, Stephen R.; Herraiz-Borreguero, Laura] Ctr Southern Hemisphere Oceans Res, Hobart, Tas, Australia; [Rintoul, Stephen R.; Foppert, Annie] Univ Tasmania, Australian Antarctic Program Partnership, Hobart, Tas, Australia; [Foppert, Annie] Univ Tasmania, Inst Marine &amp; Antarctic Studies, Hobart, Tas, Australia; [Aoki, Shigeru; Nakayama, Yoshihiro; Ohshima, Kay I.] Hokkaido Univ, Inst Low Temp Sci, Sapporo, Hokkaido, Japan; [Spingys, Carl] Natl Oceanog Ctr, Southampton, Hants, England; [Akhoudas, Camille Hayatte] Stockholm Univ, Dept Geol Sci, Stockholm, Sweden; [Akhoudas, Camille Hayatte; Sallee, Jean-Baptiste; de Lavergne, Casimir] Sorbonne Univ, LOCEAN Lab, CNRS, IRD,MNHN, Paris, France; [Abrahamsen, E. Povl; Meijers, Andrew J. S.; Meredith, Michael P.; Zhou, Shenjie; Nicholls, Keith W.] British Antarctic Survey, Cambridge, England; [Tamura, Takeshi; Yamazaki, Kaihe] Natl Inst Polar Res, Tachikawa, Tokyo, Japan; [Tamura, Takeshi] Grad Univ Adv Studies, SOKENDAI, Tachikawa, Tokyo, Japan; [Yamazaki, Kaihe] Univ Tasmania, Australian Ctr Excellence Antarctic Sci ACEAS, Inst Marine &amp; Antarctic Studies, Hobart, Tas, Australia; [Falco, Pierpaolo] Marche Polytech Univ Ancona, Dept Life &amp; Environm Sci, Ancona, Italy; [Budillon, Giorgio] Parthenope Univ, Dept Sci &amp; Technol, Naples, Italy; [Hattermann, Tore; Janout, Markus A.; Llanillo, Pedro; Haumann, F. Alexander] Helmholtz Ctr Polar &amp; Marine Res, Alfred Wegener Inst, Bremerhaven, Germany; [Hattermann, Tore] Akvaplan Niva AS, Tromso, Norway; [Hattermann, Tore] Norwegian Polar Res Inst, Tromso, Norway; [Bowen, Melissa M.] Univ Auckland, Sch Environm, Auckland, New Zealand; [Darelius, Elin] Univ Bergen, Geophys Inst, Bergen, Norway; [Darelius, Elin; Osterhus, Svein] Bjerknes Ctr Climate Res, Bergen, Norway; [Osterhus, Svein] Norwegian Res Ctr, Bergen, Norway; [Stevens, Craig; Fernandez, Denise] New Zealand Natl Inst Water &amp; Atmospher Res, Ocean Dynam Grp, Wellington, New Zealand; [Stevens, Craig] Univ Auckland, Dept Phys, Auckland, New Zealand; [Cimoli, Laura] Univ Cambridge, Dept Appl Math &amp; Theoret Phys, Cambridge, England; [Morrison, Adele K.; Hogg, Andrew McC.] Australian Natl Univ, Res Sch Earth Sci, Canberra, ACT, Australia; [Morrison, Adele K.] Australian Natl Univ, Australian Ctr Excellence Antarctic Sci, Canberra, ACT, Australia; [Hogg, Andrew McC.] Australian Natl Univ, Australian Res Council ARC Ctr Excellence Climate, Canberra, ACT, Australia; [Haumann, F. Alexander] Ludwig Maximilian Univ Munich, Munich, Germany; [Haumann, F. Alexander] Princeton Univ, Atmospher &amp; Ocean Sci, Princeton, NJ 08544 USA; [Mashayek, Ali] Univ Cambridge, Dept Earth Sci, Cambridge, England; [Wang, Zhaomin] Southern Marine Sci &amp; Engn Guangdong Lab Zhuhai, Zhuhai, Peoples R China; [Kerr, Rodrigo] Univ Fed Rio Grande FURG, Lab Estudos Oceanos &amp; Clima, Inst Oceanog, Rio Grande, RS, Brazil; [Williams, Guy D.] First Inst Oceanog, Qingdao, Peoples R China; [Lee, Won Sang] Korea Polar Res Inst, Div Glacial Environm Res, Incheon, South Korea</t>
  </si>
  <si>
    <t>University of Southampton; NERC National Oceanography Centre; University of California System; University of California San Diego; Scripps Institution of Oceanography; Columbia University; University of Messina; University of California System; University of California Los Angeles; Commonwealth Scientific &amp; Industrial Research Organisation (CSIRO); University of Tasmania; University of Tasmania; Hokkaido University; NERC National Oceanography Centre; Stockholm University; Sorbonne Universite; Institut de Recherche pour le Developpement (IRD); Centre National de la Recherche Scientifique (CNRS); Museum National d'Histoire Naturelle (MNHN); UK Research &amp; Innovation (UKRI); Natural Environment Research Council (NERC); NERC British Antarctic Survey; Research Organization of Information &amp; Systems (ROIS); National Institute of Polar Research (NIPR) - Japan; Graduate University for Advanced Studies - Japan; University of Tasmania; Marche Polytechnic University; Parthenope University Naples; Helmholtz Association; Alfred Wegener Institute, Helmholtz Centre for Polar &amp; Marine Research; Akvaplan-niva; Norwegian Polar Institute; University of Auckland; University of Bergen; Bjerknes Centre for Climate Research; Norwegian Research Centre (NORCE); National Institute of Water &amp; Atmospheric Research (NIWA) - New Zealand; University of Auckland; University of Cambridge; Australian National University; Australian National University; Australian National University; University of Munich; Princeton University; University of Cambridge; Southern Marine Science &amp; Engineering Guangdong Laboratory; Southern Marine Science &amp; Engineering Guangdong Laboratory (Zhuhai); Universidade Federal do Rio Grande; First Institute of Oceanography, Ministry of Natural Resources; Korea Polar Research Institute (KOPRI)</t>
  </si>
  <si>
    <t>Silvano, A (corresponding author), Univ Southampton, Natl Oceanog Ctr, Ocean &amp; Earth Sci, Southampton, Hants, England.</t>
  </si>
  <si>
    <t>A.Silvano@soton.ac.uk</t>
  </si>
  <si>
    <t>Abrahamsen, Povl/B-2140-2008; Haumann, Alexander/J-6679-2014; Darelius, Elin/O-4096-2015; Yamazaki, Kaihe/HRC-7878-2023; SALLEE, Jean baptiste/HDO-5355-2022; Gordon, Arnold/H-1049-2011; Kerr, Rodrigo/I-2494-2012</t>
  </si>
  <si>
    <t>Abrahamsen, Povl/0000-0001-5924-5350; Haumann, Alexander/0000-0002-8218-977X; Yamazaki, Kaihe/0000-0003-3631-5365; Kerr, Rodrigo/0000-0002-2632-3137; Castagno, Pasquale/0000-0002-5705-1066; Stewart, Andrew/0000-0001-5861-4070; Silvano, Alessandro/0000-0002-6441-1496; Spingys, Carl/0000-0001-6220-3047</t>
  </si>
  <si>
    <t>NERC [NE/N018095/1, NE/V013254/1, NE/W004933/1]; New Zealand Strategic Science Investment Fund: Antarctic Science Platform [ANTA1801]; Australian Antarctic Program Partnership (AAPP); Australian Government as part of the Antarctic Science Collaboration Initiative program; Australian Research Council (ARC) Australian Centre for Excellence in Antarctic Science [SR200100008]; ARC Discovery Project [DP190100494]; European Union [821001]; OCEAN:ICE - European Union; Horizon Europe Funding Programme for research and innovation [101060452]; UK Research and Innovation; European Union (ERC) [101041743]; Initiative and Networking Fund of the Helmholtz Association [VH-NG-19-33]; Korea Institute of Marine Science AMP; Technology Promotion (KIMST) - Ministry of Oceans and Fisheries [RS-2023-00256677]; Horizon Europe - Pillar II [101060452] Funding Source: Horizon Europe - Pillar II; European Research Council (ERC) [101041743] Funding Source: European Research Council (ERC)</t>
  </si>
  <si>
    <t>NERC(UK Research &amp; Innovation (UKRI)Natural Environment Research Council (NERC)); New Zealand Strategic Science Investment Fund: Antarctic Science Platform; Australian Antarctic Program Partnership (AAPP); Australian Government as part of the Antarctic Science Collaboration Initiative program(Australian Government); Australian Research Council (ARC) Australian Centre for Excellence in Antarctic Science(Australian Research Council); ARC Discovery Project(Australian Research Council); European Union(European Union (EU)); OCEAN:ICE - European Union; Horizon Europe Funding Programme for research and innovation; UK Research and Innovation(UK Research &amp; Innovation (UKRI)); European Union (ERC)(European Union (EU)European Research Council (ERC)); Initiative and Networking Fund of the Helmholtz Association; Korea Institute of Marine Science AMP; Technology Promotion (KIMST) - Ministry of Oceans and Fisheries; Horizon Europe - Pillar II(European Union (EU)Horizon Europe - Pillar II); European Research Council (ERC)(European Research Council (ERC)Spanish Government)</t>
  </si>
  <si>
    <t>We thank the constructive comments from the reviewers that helped improve the manuscript. We also thank the key support of the SCAR-SCOR initiative Southern Ocean Observing System (SOOS; https://www.soos.aq) over the years, which provided an excellent platform for data sharing, expertise exchange, international coordination of Southern Ocean measurements, and organization of meetings (both online and in person; https://soos.aq/soos-symposium-2023). This review has also been informed by the SCAR program INSTANT (Instabilities and thresholds in Antarctica, https://www.scar-instant.org). C. Ofelio designed the schematics in Figures 1, 13B.r The author(s) declare financial support was received for the research, authorship, and/or publication of this article. ASi acknowledges funding from NERC (NE/V014285/1). MB, CSt, and DF acknowledge funding from the New Zealand Strategic Science Investment Fund: Antarctic Science Platform Contract ANTA1801. SR and AF were supported by the Australian Antarctic Program Partnership (AAPP) through grant funding from the Australian Government as part of the Antarctic Science Collaboration Initiative program. AKM was supported by the Australian Research Council (ARC) Australian Centre for Excellence in Antarctic Science (SR200100008) and by the ARC Discovery Project DP190100494. EA, AJSM, MM acknowledge NERC grants NE/N018095/1 (ORCHESTRA), NE/V013254/1 (ENCORE), and NE/W004933/1 (BIOPOLE). This project has received funding from the European Union's Horizon 2020 research and innovation program under grant agreement no. 821001. This research was supported by OCEAN:ICE, which is co-funded by the European Union, Horizon Europe Funding Programme for research and innovation under grant agreement no. 101060452 and by UK Research and Innovation. O:I Contribution number 1. FH was supported by the European Union (ERC, VERTEXSO, 101041743) and the Initiative and Networking Fund of the Helmholtz Association (Grant Number: VH-NG-19-33). WL was supported by the Korea Institute of Marine Science &amp; Technology Promotion (KIMST) funded by the Ministry of Oceans and Fisheries (RS-2023-00256677; PM23020).</t>
  </si>
  <si>
    <t>10.3389/fmars.2023.1221701</t>
  </si>
  <si>
    <t>DA8G2</t>
  </si>
  <si>
    <t>Green Published, Green Accepted, gold</t>
  </si>
  <si>
    <t>WOS:001129397500001</t>
  </si>
  <si>
    <t>Wolfgring, E; Kaminski, MA; Waskowska, A</t>
  </si>
  <si>
    <t>Wolfgring, Erik; Kaminski, Michael A.; Waskowska, Anna</t>
  </si>
  <si>
    <t>Upper Cretaceous (Turonian-Santonian) Haplophragmoides from IODP site U1512, Great Australian Bight</t>
  </si>
  <si>
    <t>REVUE DE MICROPALEONTOLOGIE</t>
  </si>
  <si>
    <t>Foraminifera; Taxonomy; Cretaceous; Gondwana</t>
  </si>
  <si>
    <t>WATER AGGLUTINATED FORAMINIFERA; BENTHIC FORAMINIFERA; BASIN; EVOLUTION; SEQUENCE; STRATIGRAPHY; ASSEMBLAGES; RECORD; SHALE; SEA</t>
  </si>
  <si>
    <t>Results from the International Ocean Discovery Program (IODP) Site U1512 in the Great Australian Bight offer insights into climate immediately after the peak of the Cretaceous hothouse. Lower Turonian to Santonian deposits yield a unique high-resolution micropaleontological record of the Australo-Antarctic Gulf that is dominated by agglutinated foraminifera. The complex paleoenvironment at Site U1512 illustrates a constantly changing marine setting characterized by the interplay of runoff from the vast Ceduna River system to the north and varying degrees of influence of the Indian Ocean. A common element in the agglutinated foraminiferal assemblage is the genus Haplophragmoides, which rep-resents between 20 and 40% of the total benthic foraminiferal assemblage, and its occurrence seems particularly common in intervals with higher terrestrial influx. Like many agglutinated foraminiferal assemblages, the agglutinated taxa at Site U1512 suffer from preservational issues. In addition to effects during early diagenesis, like the degradation of organic cement, the delicate planispiral taxa especially experienced extensive deformation, which can affect the correct identification of taxonomically relevant features. Among the six species of Haplophragmoides that represent most of this genus at Site U1512, we identify and describe three new species: H. petaliformis n.sp., H. tenellulus n.sp., and H. antarcticus n.sp.</t>
  </si>
  <si>
    <t>[Wolfgring, Erik] Univ Milan, Dipartimento Sci Terra, Via Mangiagalli 34, I-20133 Milan, Italy; [Wolfgring, Erik] Univ Vienna, Dept Palaeontol, Josef Holaubek Pl 2, A-1090 Vienna, Austria; [Kaminski, Michael A.] King Fahd Univ Petr &amp; Minerals, Geosci Dept, POB 5070, Dhahran 31261, Saudi Arabia; [Waskowska, Anna] AGH Univ Sci &amp; Technol, Fac Geol Geophys &amp; Environm Protect, Al Mickiewicza 30, PL-30059 Krakow, Poland</t>
  </si>
  <si>
    <t>University of Milan; University of Vienna; King Fahd University of Petroleum &amp; Minerals; AGH University of Krakow</t>
  </si>
  <si>
    <t>Kaminski, MA (corresponding author), King Fahd Univ Petr &amp; Minerals, Geosci Dept, POB 5070, Dhahran 31261, Saudi Arabia.</t>
  </si>
  <si>
    <t>kaminski@kfupm.edu.sa</t>
  </si>
  <si>
    <t>Waśkowska, Anna/T-3557-2018</t>
  </si>
  <si>
    <t>Waśkowska, Anna/0000-0003-4090-8534; wolfgring, erik/0000-0003-3457-2026</t>
  </si>
  <si>
    <t>Austrian Science Fund (FWF) [J-4444B]; Brian J. O'Neill scholarship of the Grzybowski Foundation; College of Petroleum &amp; Geoscience (KFUPM)</t>
  </si>
  <si>
    <t>Austrian Science Fund (FWF)(Austrian Science Fund (FWF)); Brian J. O'Neill scholarship of the Grzybowski Foundation; College of Petroleum &amp; Geoscience (KFUPM)</t>
  </si>
  <si>
    <t>We are indebted to the editor Marie-Beatrice Forel and the reviewers David Haig and Richard M. Besen for their time and constructive review of this work, their comments greatly helped to improve this manuscript. The authors thank the International Ocean Discovery Program for providing samples. EW thanks the Austrian Science Fund (FWF, Grant J-4444B) and the Brian J. O'Neill scholarship of the Grzybowski Foundation for supporting this research. MAK gratefully acknowledges support from the College of Petroleum &amp; Geoscience (KFUPM) .</t>
  </si>
  <si>
    <t>ELSEVIER FRANCE-EDITIONS SCIENTIFIQUES MEDICALES ELSEVIER</t>
  </si>
  <si>
    <t>ISSY-LES-MOULINEAUX</t>
  </si>
  <si>
    <t>65 RUE CAMILLE DESMOULINS, CS50083, 92442 ISSY-LES-MOULINEAUX, FRANCE</t>
  </si>
  <si>
    <t>0035-1598</t>
  </si>
  <si>
    <t>R MICROPALEONTOL</t>
  </si>
  <si>
    <t>Rev. Micropaleontol.</t>
  </si>
  <si>
    <t>10.1016/j.revmic.2023.100739</t>
  </si>
  <si>
    <t>DS3Y3</t>
  </si>
  <si>
    <t>WOS:001134033000001</t>
  </si>
  <si>
    <t>Wells, MR; Coggan, TL; Stevenson, G; Singh, N; Askeland, M; Lea, MA; Philips, A; Carver, S</t>
  </si>
  <si>
    <t>Wells, Melanie R.; Coggan, Timothy L.; Stevenson, Gavin; Singh, Navneet; Askeland, Matthew; Lea, Mary-Anne; Philips, Annie; Carver, Scott</t>
  </si>
  <si>
    <t>Per- and polyfluoroalkyl substances (PFAS) in little penguins and associations with urbanisation and health parameters</t>
  </si>
  <si>
    <t>Genotoxicity; Seabird sentinels; Ecotoxicology; Wildlife health; Human impacts</t>
  </si>
  <si>
    <t>EUDYPTULA-MINOR; PERFLUOROALKYL SUBSTANCES; FORAGING BEHAVIOR; BODY CONDITION; BASS STRAIT; BLOOD; STRESS; BIOACCUMULATION; GENOTOXICITY; CYTOTOXICITY</t>
  </si>
  <si>
    <t>Per-and Polyfluoroalkyl substances (PFAS) are increasingly detected in wildlife and present concerning and unknown health risks. While there is a growing body of literature describing PFAS in seabird species, knowledge from temperate Southern Hemisphere regions is lacking. Little penguins (Eudyptula minor) can nest and forage within heavily urbanised coastal environments and hence may be at risk of exposure to pollutants. We analysed scat contaminated nesting soils (n = 50) from 17 colonies in lutruwita/Tasmania for 16 PFAS, plasma samples (n = 45) from nine colonies, and three eggs for 49 PFAS. We detected 14 PFAS across the sample types, with perfluorooctanesulfonic acid (PFOS) and perfluorohexanesulfonic acid (PFHxS) most commonly detected. Mean concentration of PFOS in plasma was 2.56 +/- 4.3 ng/mL (22.3), soil was 2.92 +/- 5.39 mu g/kg (29.8) and eggs were 11.89 +/- 11.30 mu g/kg (0.27-22.84). Mean concentration of PFHxS in plasma was 0.9 +/- 0.84 ng/ mL (5.6), soil was 11.4 +/- 39.18 mu g/kg (213.3) and eggs were 0.27 +/- 0.11 mu g/kg (0.38). Urbanisation of breeding sites was positively associated with PFOS and PFHxS concentrations in soils and blood. Phenology appeared to be an important predictor of PFHxS load, with moulting birds having lower levels compared to non-moulting birds. We investigated PFAS associations with health parameters and found that haematocrit and total plasma proteins in females were negatively associated with PFOS and positively associated in males. The number of erythrocytic nuclear abnormalities in males was positively associated with PFOS. Findings are the first to document the presence of PFAS in this resident seabird nesting and foraging close to anthropogenically modified habitats. We demonstrate that even in low concentrations, PFAS may have detect-able relationships with penguin health. Ongoing research is needed to investigate foraging ecology and trophic bioaccumulation pathways, as well as understand sublethal consequences from exposure.</t>
  </si>
  <si>
    <t>[Wells, Melanie R.; Carver, Scott] Univ Tasmania, Sch Nat Sci, Dept Biol Sci, Hobart, Tas 7001, Australia; [Wells, Melanie R.; Lea, Mary-Anne] Inst Marine &amp; Antarctic Studies, Battery Point, Tas 7004, Australia; [Coggan, Timothy L.] Environm Protect Author Victoria, 200 Victoria St, Carlton, Vic 3053, Australia; [Stevenson, Gavin] Natl Measurement Inst, Australian Ultra Trace Lab, N Ryde, NSW 2113, Australia; [Coggan, Timothy L.; Singh, Navneet; Askeland, Matthew] ADE Consulting Grp, U 4-95 Salmon St, Port Melbourne, Vic 3207, Australia; [Philips, Annie] Wildlife Vet Consultant, Hobart, Tas 7000, Australia; [Lea, Mary-Anne] Univ Tasmania, Ctr Marine Socioecol, Hobart, Tas 7001, Australia; [Carver, Scott] Univ Georgia, Odum Sch Ecol, Athens, GA 30602 USA; [Carver, Scott] Univ Georgia, Ctr Ecol Infect Dis, Athens, GA 30602 USA</t>
  </si>
  <si>
    <t>University of Tasmania; University of Tasmania; National Measurement Institute Australia - NMI; University of Tasmania; University System of Georgia; University of Georgia; University System of Georgia; University of Georgia</t>
  </si>
  <si>
    <t>Wells, MR (corresponding author), Univ Tasmania, Sch Nat Sci, Dept Biol Sci, Hobart, Tas 7001, Australia.</t>
  </si>
  <si>
    <t>mel.wells@utas.edu.au</t>
  </si>
  <si>
    <t>Lea, Mary-Anne/E-9054-2013</t>
  </si>
  <si>
    <t>Ecological Society of Australia through the Holsworth Wildlife Endowment; Australian Academy of Science through the Margaret Middleton Fund for Endangered Australian Native Vertebrate Wildlife Disease Association of Australasia (WDA-A); Australasian Seabird Group</t>
  </si>
  <si>
    <t>This research took place on the lands of the palawa/pakana, bunurong and wallumedegal people. The authors wish to acknowledge these traditional owners as the ongoing custodians of Country and waterways. This research was supported by the Ecological Society of Australia through the Holsworth Wildlife Endowment, the Australian Academy of Science through the Margaret Middleton Fund for Endangered Australian Native Vertebrate and student support grants from the Wildlife Disease Association of Australasia (WDA-A) and the Australasian Seabird Group. We wish to thank the many field volunteers and gratefully acknowledge the logistical support from the Cordwell family, Brenda Jolliffe, Robert McKay, Evie Jones, David Green and contributions from Phoebe Lewis. We thank Jane Hall and Karrie Rose from the Australian Registry for Wildlife Health and Ralph Vanstreels for their training in blood smear interpretation and gratefully acknowledge the contributions from three anonymous reviewers.</t>
  </si>
  <si>
    <t>10.1016/j.scitotenv.2023.169084</t>
  </si>
  <si>
    <t>DR9J7</t>
  </si>
  <si>
    <t>WOS:001133911100001</t>
  </si>
  <si>
    <t>Brooks, ST; Jabour, J; Hughes, KA; Morgan, F; Convey, P; Polymeropoulos, ET; Bergstrom, DM</t>
  </si>
  <si>
    <t>Brooks, Shaun T.; Jabour, Julia; Hughes, Kevin A.; Morgan, Fraser; Convey, Peter; Polymeropoulos, Elias T.; Bergstrom, Dana M.</t>
  </si>
  <si>
    <t>Systematic conservation planning for Antarctic research stations</t>
  </si>
  <si>
    <t>JOURNAL OF ENVIRONMENTAL MANAGEMENT</t>
  </si>
  <si>
    <t>Footprint; Values; Pressures; Human impacts; Biodiversity; Management plan; Natural capital</t>
  </si>
  <si>
    <t>ENVIRONMENTAL-MANAGEMENT; BIOLOGICAL INVASIONS; WINDMILL ISLANDS; MCMURDO STATION; EAST ANTARCTICA; DAVIS STATION; WASTE-WATER; WILKES-LAND; SEA; CONTAMINATION</t>
  </si>
  <si>
    <t>The small ice-free areas of Antarctica are essential locations for both biodiversity and scientific research but are subject to considerable and expanding human impacts, resulting primarily from station-based research and support activities, and local tourism. Awareness by operators of the need to conserve natural values in and around station and visitor site footprints exists, but the cumulative nature of impacts often results in reactive rather than proactive management. With human activity spread across many isolated pockets of ice-free ground, the pathway to the greatest reduction of human impacts within this natural reserve is through better management of these areas, which are impacted the most. Using a case study of Australia's Casey Station, we found significant natural values persist within the immediate proximity (&lt;10 m) of long-term station infrastructure, but encroachment by physical disturbance results in ongoing pressures. Active planning to better conserve such values would provide a direct opportunity to enhance protection of Antarctica's environment. Here we introduce an approach to systematic conservation planning, tailored to Antarctic research stations, to help managers improve the conservation of values surrounding their activity locations. Use of this approach provides a potential mechanism to balance the need for scientific access to the continent with international obligations to protect its environment. It may also facilitate the development of subordinate conservation tools, including management plans and natural capital accounting. By proactively minimising and containing their station footprints, national programs can also independently demonstrate their commitment to protecting Antarctica's environment.</t>
  </si>
  <si>
    <t>[Brooks, Shaun T.] CSIRO Environm, Hobart, Tas, Australia; [Brooks, Shaun T.; Jabour, Julia; Polymeropoulos, Elias T.] Univ Tasmania, Inst Marine &amp; Antarctic Studies, Hobart, Tas, Australia; [Morgan, Fraser] Manaaki Whenua Landcare Res, Auckland, New Zealand; [Morgan, Fraser] Univ Auckland, Te Punaha Matatini, Auckland, New Zealand; [Hughes, Kevin A.; Convey, Peter] British Antarctic Survey, Nat Environm Res Council, High Cross Madingley Rd, Cambridge CB3 0ET, England; [Convey, Peter] Univ Johannesburg, Dept Zool, Auckland Pk, South Africa; [Convey, Peter] Cape Horn Int Ctr CHIC, Puerto Williams, Chile; [Convey, Peter] Millennium Inst Biodivers Antarctic &amp; Subantarct E, Santiago, Chile; [Bergstrom, Dana M.] Univ Wollongong, Global Challenges Program, Wollongong, NSW, Australia; [Bergstrom, Dana M.] Univ Johannesburg, Johannesburg, South Africa; [Bergstrom, Dana M.] Australian Antarctic Div, Dept Climate Change Energy Environm &amp; Water, Kingston, Australia; [Brooks, Shaun T.] CSIRO Environm, 15 Coll Rd, Sandy Bay, Tas 7005, Australia</t>
  </si>
  <si>
    <t>University of Tasmania; Landcare Research - New Zealand; University of Auckland; UK Research &amp; Innovation (UKRI); Natural Environment Research Council (NERC); NERC British Antarctic Survey; University of Johannesburg; University of Wollongong; University of Johannesburg; Australian Antarctic Division; Commonwealth Scientific &amp; Industrial Research Organisation (CSIRO)</t>
  </si>
  <si>
    <t>Brooks, ST (corresponding author), CSIRO Environm, 15 Coll Rd, Sandy Bay, Tas 7005, Australia.</t>
  </si>
  <si>
    <t>shaun.brooks@csiro.au</t>
  </si>
  <si>
    <t>Jabour, Julia A/J-7882-2014</t>
  </si>
  <si>
    <t>Brooks, Shaun/0000-0002-0516-7841</t>
  </si>
  <si>
    <t>Australian Government Research Training Program Scholarship; Australian Antarctic Division, Australian Antarctic Science project [4565]; NERC; Te Punaha Matatini, a New Zealand Centre of Research Excellence</t>
  </si>
  <si>
    <t>Australian Government Research Training Program Scholarship(Australian GovernmentDepartment of Industry, Innovation and Science); Australian Antarctic Division, Australian Antarctic Science project; NERC(UK Research &amp; Innovation (UKRI)Natural Environment Research Council (NERC)); Te Punaha Matatini, a New Zealand Centre of Research Excellence</t>
  </si>
  <si>
    <t>S.T.B. was supported by an Australian Government Research Training Program Scholarship. This work was funded and supported by the Australian Antarctic Division, Australian Antarctic Science project 4565. P.C. and K.A.H. are supported by NERC core funding to the BAS 'Biodiversity, Evolution and Adaptation' Team and Environment Office, respectively. F.J.M is supported by Te Punaha Matatini, a New Zealand Centre of Research Excellence. This article contributes to the 'Integrated Science to Inform Antarctic and Southern Ocean Conservation' (Ant-ICON) research programme of the Scientific Committee on Antarctic Research (SCAR) . We thank Anthony O'Grady, Ewan McIvor, Tessa Bird, James Fleming and Andy Sharman for their comments on an earlier version of this manuscript, and the 12 AAD staff that participated in the stakeholder workshops supporting this project.</t>
  </si>
  <si>
    <t>0301-4797</t>
  </si>
  <si>
    <t>1095-8630</t>
  </si>
  <si>
    <t>J ENVIRON MANAGE</t>
  </si>
  <si>
    <t>J. Environ. Manage.</t>
  </si>
  <si>
    <t>10.1016/j.jenvman.2023.119711</t>
  </si>
  <si>
    <t>DS2I5</t>
  </si>
  <si>
    <t>WOS:001133990000001</t>
  </si>
  <si>
    <t>Baker, GB; Komyakova, V; Wellbelove, A; Beynon, N; Haward, M</t>
  </si>
  <si>
    <t>Baker, G. Barry; Komyakova, Valeriya; Wellbelove, Alexia; Beynon, Nicola; Haward, Marcus</t>
  </si>
  <si>
    <t>The implementation of ACAP Best Practice Advice to mitigate seabird bycatch in fisheries: Issues and options</t>
  </si>
  <si>
    <t>MARINE POLICY</t>
  </si>
  <si>
    <t>Agreement on the Conservation of Albatrosses and Petrels; Seabird bycatch mitigation; Best practice; Fisheries management</t>
  </si>
  <si>
    <t>CONSERVATION; ALBATROSSES; PETRELS</t>
  </si>
  <si>
    <t>The Agreement on the Conservation of Albatrosses and Petrels (ACAP) is a multilateral agreement which strives to conserve albatrosses and petrels by coordinating international activities to mitigate threats to their populations. One of the major threats that seabirds face is fisheries-induced mortality, or bycatch. In recognition of the serious nature of this problem, ACAP established a Seabird Bycatch Working Group (SBWG) to advise on actions that will assist in the mitigation and reduction of seabird interactions with fisheries. The SBWG regularly examines the range of measures available that can minimise bycatch and has developed best practice advice (BPA), a suite of tools and methods for trawl and longline fisheries. This BPA has been widely promoted by ACAP Parties and others within jurisdictions and at Regional Fisheries Management Organisations (RFMOs) and CCAMLR other over the last 10 years. To assess the levels of implementation of ACAP's BPA for industrial fisheries we employed both a qualitative and semi-quantitative multiple method research design that comprised content analysis of documents and meeting reports from ACAP meetings, a review of current seabird conser-vation measures of all tRFMOs that had members which were also ACAP parties, and by conducting a survey that asked 13 questions in relation to the uptake and adoption of ACAP BPA. We confined our analysis to pelagic longline and trawl fisheries within the jurisdictions of both ACAP parties and non-parties. Our research identified a number of key gaps in the uptake of the BPA guidelines in these fisheries. Complete uptake of BPA was poor by ACAP Parties both within their jurisdictions, and in high seas fisheries managed through RFMOs. For Parties, the level of uptake was difficult to assess accurately because reporting to the Agreement has thus far been inadequate for this purpose. Uptake of BPA in high seas fisheries by non-parties and RFMos was also poor and unlikely to improve while ACAP Parties are unable to demonstrate commitment to their use in all national fisheries. The study findings provided advice and recommendations on addressing impediments to uptake that could lead to improved management of seabird bycatch in commercial fisheries.</t>
  </si>
  <si>
    <t>[Baker, G. Barry; Komyakova, Valeriya; Haward, Marcus] Univ Tasmania, Inst Marine &amp; Antarctic Studies, Hobart 7001, Australia; [Baker, G. Barry] Latitude 42 Environm Consultants Pty Ltd, 114 Watsons Rd, Kettering 7155, Australia; [Komyakova, Valeriya; Haward, Marcus] Univ Tasmania, Ctr Marine Socioecol, Hobart 7001, Australia; [Wellbelove, Alexia; Beynon, Nicola] Humane Soc Int Australia, POB 439, Avalon 2107, Australia; [Wellbelove, Alexia] Australian Marine Conservat Soc, POB 5815, West End, QLD 4101, Australia</t>
  </si>
  <si>
    <t>Baker, GB (corresponding author), Latitude 42 Environm Consultants Pty Ltd, 114 Watsons Rd, Kettering 7155, Australia.</t>
  </si>
  <si>
    <t>barry.baker@latitude42.au</t>
  </si>
  <si>
    <t>Komyakova, Valeriya/H-4632-2013</t>
  </si>
  <si>
    <t>0308-597X</t>
  </si>
  <si>
    <t>1872-9460</t>
  </si>
  <si>
    <t>MAR POLICY</t>
  </si>
  <si>
    <t>Mar. Pol.</t>
  </si>
  <si>
    <t>10.1016/j.marpol.2023.105879</t>
  </si>
  <si>
    <t>Environmental Studies; International Relations</t>
  </si>
  <si>
    <t>Environmental Sciences &amp; Ecology; International Relations</t>
  </si>
  <si>
    <t>DX5T0</t>
  </si>
  <si>
    <t>WOS:001135403600001</t>
  </si>
  <si>
    <t>Jourdan, F; Kennedy, T; Forman, L; Mayers, C; Eroglu, E; Yamaguchi, A</t>
  </si>
  <si>
    <t>Jourdan, F.; Kennedy, T.; Forman, L.; Mayers, C.; Eroglu, E.; Yamaguchi, A.</t>
  </si>
  <si>
    <t>A slowly cooled deep crust on asteroid 4 Vesta and the recent impact history of rubble pile vestoids recorded by diogenites</t>
  </si>
  <si>
    <t>GEOCHIMICA ET COSMOCHIMICA ACTA</t>
  </si>
  <si>
    <t>Diogenites; Asteroid 4 Vesta</t>
  </si>
  <si>
    <t>MAGMA OCEAN CRYSTALLIZATION; METEORITICAL BULLETIN; ARGON DIFFUSION; 40AR/39AR GEOCHRONOLOGY; BOMBARDMENT HISTORY; PB-PB; EUCRITES; GEOCHEMISTRY; CONSTRAINTS; STANDARD</t>
  </si>
  <si>
    <t>In this study, we investigate the Ar-40/Ar-39 systematics of nineteen diogenites thought to come from deep crustal levels of asteroid 4 Vesta. We applied both Electron Backscattered Diffraction (EBSD) and Ar-40/Ar-39 and methods to the unbrecciated diogenite LAP 031381. We obtained three plateau ages resulting in a combined weighted mean age of 4441 +/- 15 Ma (P = 0.16). The EBSD analyses suggest that LAP 031381 displays minimal evidence of shock and, when combined with petrography observations, diffusion modelling and Ar-40/Ar-39 data, these results suggest that the crustal volume that initially contained this diogenite, reached a temperature of ca. 630 degrees C at similar to 4.44 Ga. This corresponds to a linear cooling rate of similar to 5 degrees C / Ma for a crystallization age of 4550 Ma. Independent thermal models suggest that these conditions were present at a depth of 60 to 65 km at 4.44 Ga.The other eighteen diogenites yielded Ar-40/Ar-39 results that indicate that they have been variously shocked by impact events and seven of them yielded plateau ages ranging from 2413 +/- 189 Ma to 84 +/- 162 Ma. We combined these results with Ar-40/Ar-39 ages from eucrites and howardites and propose that the HED (Howardite, Eucrite, Diogenite) meteorites recorded impact events at the surface of Vesta until similar to 3.4 Ga when they were then ejected during a large collision. The eucrites, diogenites and howardites were then recombined into small rubble pile asteroids which probably make up a large part of the Vestoid family. After ejection, the K/Ar system in plagioclase crystals ceased in most cases to be fully reset by impact events as the temperature spikes reached during small impacts lack enough energy to trigger significant Ar-40* diffusion. On the other hand, ultra-transient and high-temperature - sensitive pyroxene crystals kept a more systematic record of small impacts until recent time. (38)Arc cosmochron cosmogenic exposure ages on diogenites mostly range from 51 +/- 7 Ma to 0 +/- 1 Ma and when combined with other HED cosmochron ages, suggest that almost all the HED meteorites were continuously ejected from secondary rubble pile asteroids mostly between 50 Ma and present.</t>
  </si>
  <si>
    <t>[Jourdan, F.; Kennedy, T.; Mayers, C.] Curtin Univ, John de Laeter Ctr, Western Australian Argon Isotope Facil, TIGeR, Perth, Australia; [Jourdan, F.; Kennedy, T.; Forman, L.] Curtin Univ, Space Sci &amp; Technol Ctr, Sch Earth &amp; Planetary Sci, Perth, Australia; [Eroglu, E.] Curtin Univ, Sch Mol &amp; Life Sci, Perth, Australia; [Yamaguchi, A.] Natl Inst Polar Res, Tachikawa, Tokyo 1908518, Japan; [Yamaguchi, A.] SOKENDAI, Sch Multidisciplinary Sci, Dept Polar Sci, Tokyo 1908518, Japan</t>
  </si>
  <si>
    <t>Curtin University; Curtin University; Curtin University; Research Organization of Information &amp; Systems (ROIS); National Institute of Polar Research (NIPR) - Japan; Graduate University for Advanced Studies - Japan</t>
  </si>
  <si>
    <t>Jourdan, F (corresponding author), Curtin Univ, John de Laeter Ctr, Western Australian Argon Isotope Facil, TIGeR, Perth, Australia.;Jourdan, F (corresponding author), Curtin Univ, Space Sci &amp; Technol Ctr, Sch Earth &amp; Planetary Sci, Perth, Australia.</t>
  </si>
  <si>
    <t>f.jourdan@curtin.edu.au</t>
  </si>
  <si>
    <t>Eroglu, Ela/B-3323-2013</t>
  </si>
  <si>
    <t>Eroglu, Ela/0000-0002-6080-2879</t>
  </si>
  <si>
    <t>NSF; NASA; AuScope</t>
  </si>
  <si>
    <t>NSF(National Science Foundation (NSF)); NASA(National Aeronautics &amp; Space Administration (NASA)); AuScope</t>
  </si>
  <si>
    <t>Dr Kevin Righter, Lunar and Planetary Institute, is thanked for eight samples from the NASA Antarctic Meteorite Collection. US Antarctic meteorite samples are recovered by the Antarctic Search for Meteorites (ANSMET) program which has been funded by NSF and NASA, and characterised and curated by the Department of Mineral Services of the Smithsonian Institution and Astromaterials Acquisition and Curation Office at NASA Johnson Space Centre. Nine samples from Antarctic meteorites have been obtained from the collection of the National Institute of Polar Research, Japan by A. Yamaguchi. AuScope is thanked for financial support toward the Western Australian Argon Isotope Facility. J.A. Barrat and J. Cartwright are thanked for their constructive reviews which greatly helped to improve this manuscript.</t>
  </si>
  <si>
    <t>0016-7037</t>
  </si>
  <si>
    <t>1872-9533</t>
  </si>
  <si>
    <t>GEOCHIM COSMOCHIM AC</t>
  </si>
  <si>
    <t>Geochim. Cosmochim. Acta</t>
  </si>
  <si>
    <t>JAN 15</t>
  </si>
  <si>
    <t>10.1016/j.gca.2023.11.027</t>
  </si>
  <si>
    <t>Geochemistry &amp; Geophysics</t>
  </si>
  <si>
    <t>DX7N4</t>
  </si>
  <si>
    <t>WOS:001135451700001</t>
  </si>
  <si>
    <t>Husman, SD; Lhermitte, S; Bolibar, J; Izeboud, M; Hu, ZY; Shukla, S; van der Meer, M; Long, D; Wouters, B</t>
  </si>
  <si>
    <t>Husman, Sophie de Roda; Lhermitte, Stef; Bolibar, Jordi; Izeboud, Maaike; Hu, Zhongyang; Shukla, Shashwat; van der Meer, Marijn; Long, David; Wouters, Bert</t>
  </si>
  <si>
    <t>A high-resolution record of surface melt on Antarctic ice shelves using multi-source remote sensing data and deep learning</t>
  </si>
  <si>
    <t>REMOTE SENSING OF ENVIRONMENT</t>
  </si>
  <si>
    <t>Antarctica; U-Net; Machine learning; Microwave remote sensing; Enhanced resolution; Google Earth Engine; Surface melt</t>
  </si>
  <si>
    <t>PASSIVE-MICROWAVE; MASS-BALANCE; CLIMATE; RADIOMETERS; EVOLUTION; DURATION; TRENDS; MODEL</t>
  </si>
  <si>
    <t>While the influence of surface melt on Antarctic ice shelf stability can be large, the duration and affected area of melt events are often small. Therefore, melt events are difficult to capture with remote sensing, as satellite sensors always face the trade-off between spatial and temporal resolution. To overcome this limitation, we developed UMelt: a surface melt record for all Antarctic ice shelves with a high spatial (500 m) and high temporal (12 h) resolution for the period 2016-2021. Our approach is based on a deep learning model, specifically a U-Net, which was developed in Google Earth Engine. The U-Net combines microwave remote sensing observations from three sources: Sentinel-1, Special Sensor Microwave Imager/Sounder (SSMIS), and Advanced Scatterometer (ASCAT). The U-Net was trained on the Shackleton Ice Shelf for melt seasons 2017- 2021, using the fine-scale melt patterns of Sentinel-1 as reference data and SSMIS, ASCAT, a digital elevation model, and multi-year Sentinel-1 melt fraction as predictors. The trained U-Net performed well on the Shackelton Ice Shelf for test melt season 2016-2017 (accuracy: 91.3%; F1-score: 86.9%), and the Larsen C Ice Shelf, which was not considered during training (accuracy: 91.0%; F1-score: 89.3%). Using the trained U-Net model, we have successfully developed the UMelt record. UMelt allows Antarctic-wide surface melt to be detected at a small scale while preserving a high temporal resolution, which could lead to new insights into the response of ice shelves to a changing atmospheric forcing.</t>
  </si>
  <si>
    <t>[Husman, Sophie de Roda; Lhermitte, Stef; Bolibar, Jordi; Izeboud, Maaike; Shukla, Shashwat; Wouters, Bert] Delft Univ Technol, Dept Geosci &amp; Remote Sensing, Delft, Netherlands; [Hu, Zhongyang] Univ Utrecht, Inst Marine &amp; Atmospher Res Utrecht, Utrecht, Netherlands; [Lhermitte, Stef] Katholieke Univ Leuven, Dept Earth &amp; Environm Sci, Leuven, Belgium; [van der Meer, Marijn] Swiss Fed Inst Technol, Lab Hydraul Hydrol &amp; Glaciol VAW, Zurich, Switzerland; [Long, David] Brigham Young Univ, Dept Elect &amp; Comp Engn, Provo, UT USA</t>
  </si>
  <si>
    <t>Delft University of Technology; Utrecht University; KU Leuven; Swiss Federal Institutes of Technology Domain; ETH Zurich; Brigham Young University</t>
  </si>
  <si>
    <t>Husman, SD (corresponding author), Delft Univ Technol, Dept Geosci &amp; Remote Sensing, Delft, Netherlands.</t>
  </si>
  <si>
    <t>S.deRodaHusman@tudelft.nl</t>
  </si>
  <si>
    <t>Lhermitte, Stef (Stefaan)/A-3385-2013; Wouters, Bert/A-5301-2017</t>
  </si>
  <si>
    <t>Lhermitte, Stef (Stefaan)/0000-0002-1622-0177; Izeboud, Maaike/0000-0002-8915-7252; Wouters, Bert/0000-0002-1086-2435; de Roda Husman, Sophie/0000-0001-8830-9894</t>
  </si>
  <si>
    <t>Nederlandse Organisatie voor Wetenschappelijk Onderzoek (NWO) [OCENW.GROOT.2019.091]; NWO and the Netherlands Space Office (NSO) - NWO and NSO grant [ALWGO.2018.043]; NWO; Netherlands Space Office (NSO) [ALWGO.2018.043, ALWGO.2018.039]; NASA [80NSSC19K0057]</t>
  </si>
  <si>
    <t>Nederlandse Organisatie voor Wetenschappelijk Onderzoek (NWO)(Netherlands Organization for Scientific Research (NWO)); NWO and the Netherlands Space Office (NSO) - NWO and NSO grant; NWO(Netherlands Organization for Scientific Research (NWO)); Netherlands Space Office (NSO); NASA(National Aeronautics &amp; Space Administration (NASA))</t>
  </si>
  <si>
    <t>S.R.H., S.L., S.S., and B.W. received support from the Nederlandse Organisatie voor Wetenschappelijk Onderzoek (NWO) under grant no. OCENW.GROOT.2019.091. M.I. was funded by the NWO and the Netherlands Space Office (NSO) under grant no. ALWGO.2018.043. Z.H. was funded by the NWO and NSO grant ALWGO.2018.039. D.L. was funded under NASA grant 80NSSC19K0057.</t>
  </si>
  <si>
    <t>ELSEVIER SCIENCE INC</t>
  </si>
  <si>
    <t>STE 800, 230 PARK AVE, NEW YORK, NY 10169 USA</t>
  </si>
  <si>
    <t>0034-4257</t>
  </si>
  <si>
    <t>1879-0704</t>
  </si>
  <si>
    <t>REMOTE SENS ENVIRON</t>
  </si>
  <si>
    <t>Remote Sens. Environ.</t>
  </si>
  <si>
    <t>10.1016/j.rse.2023.113950</t>
  </si>
  <si>
    <t>Environmental Sciences; Remote Sensing; Imaging Science &amp; Photographic Technology</t>
  </si>
  <si>
    <t>Environmental Sciences &amp; Ecology; Remote Sensing; Imaging Science &amp; Photographic Technology</t>
  </si>
  <si>
    <t>DS2X1</t>
  </si>
  <si>
    <t>WOS:001134005200001</t>
  </si>
  <si>
    <t>Yang, BJ; Liang, S; Guo, HD; Li, XW; Lv, MY; Marinsek, S; Li, ZY</t>
  </si>
  <si>
    <t>Yang, Bojin; Liang, Shuang; Guo, Huadong; Li, Xinwu; Lv, Mingyang; Marinsek, Sebastian; Li, Zeyuan</t>
  </si>
  <si>
    <t>Suitability analysis of human activities over Antarctic ice shelves: an integrated assessment of natural conditions based on machine learning algorithms</t>
  </si>
  <si>
    <t>Human activity suitability; Antarctic ice shelf; machine learning; remote sensing</t>
  </si>
  <si>
    <t>GLACIER</t>
  </si>
  <si>
    <t>Human activities increase significantly over Antarctic ice shelves. However, they are constantly faced with danger posed by the harsh environment. For decision-making, it is a prerequisite to have the macro-scale suitability information about human activity site selection. Here, we define a new index, the human activity suitability (HAS) index, to quantitatively analyze the locational suitability of human activity sites over Antarctic ice shelves. Two multi-criteria decision analysis methods (AHP + Entropy, TOPSIS) and three machine learning methods (support vector machine, random forest and logistic regression) are tested to develop HAS maps. Nine conditioning factors about ice surface features, ice shelf stability, meteorology and topography are generated as input parameters. The accuracy of the proposed models is evaluated using metrics such as the area under curve (AUC-ROC), root mean square error, overall accuracy and kappa index. The results indicate that the Random Forest performs best. The HAS map exhibits great heterogeneity driven by the synergistic influence of multiple factors. Areas in low HAS classes are concentrated at Crosson, Brunt, Thwaites and the edge of some ice shelves, implying the complex environment in these regions. The findings can provide a new insight for forecasting the potential human footprint and support sustainability research in Antarctica.</t>
  </si>
  <si>
    <t>[Yang, Bojin; Liang, Shuang; Guo, Huadong; Li, Xinwu; Lv, Mingyang; Li, Zeyuan] Chinese Acad Sci, Aerosp Informat Res Inst, Key Lab Digital Earth Sci, Beijing, Peoples R China; [Yang, Bojin; Liang, Shuang; Guo, Huadong; Li, Xinwu; Lv, Mingyang; Li, Zeyuan] Int Res Ctr Big Data Sustainable Dev Goals, Beijing, Peoples R China; [Yang, Bojin; Li, Zeyuan] Univ Chinese Acad Sci, Beijing, Peoples R China; [Marinsek, Sebastian] Inst Antartico Argentino, Buenos Aires, DF, Argentina; [Liang, Shuang] Chinese Acad Sci, Aerosp Informat Res Inst, Key Lab Digital Earth Sci, Beijing 100094, Peoples R China; [Liang, Shuang] Int Res Ctr Big Data Sustainable Dev Goals, Beijing 100094, Peoples R China</t>
  </si>
  <si>
    <t>Chinese Academy of Sciences; Aerospace Information Research Institute, CAS; Chinese Academy of Sciences; University of Chinese Academy of Sciences, CAS; Instituto Antartico Argentino; Chinese Academy of Sciences; Aerospace Information Research Institute, CAS</t>
  </si>
  <si>
    <t>Liang, S (corresponding author), Chinese Acad Sci, Aerosp Informat Res Inst, Key Lab Digital Earth Sci, Beijing 100094, Peoples R China.;Liang, S (corresponding author), Int Res Ctr Big Data Sustainable Dev Goals, Beijing 100094, Peoples R China.</t>
  </si>
  <si>
    <t>liangpr@radi.ac.cn</t>
  </si>
  <si>
    <t>Wang, Jin/KAM-5595-2024; Lv, Mingyang/AAZ-7579-2021</t>
  </si>
  <si>
    <t>National Natural Science Foundation of China</t>
  </si>
  <si>
    <t>10.1080/17538947.2023.2283490</t>
  </si>
  <si>
    <t>CH6O1</t>
  </si>
  <si>
    <t>WOS:001124403600001</t>
  </si>
  <si>
    <t>Schwaha, T; Cometti, V; Saadi, AJ; Cecchetto, M; Schiaparelli, S</t>
  </si>
  <si>
    <t>Schwaha, Thomas; Cometti, Valentina; Saadi, Ahmed J.; Cecchetto, Matteo; Schiaparelli, Stefano</t>
  </si>
  <si>
    <t>Alcyonidium kuklinskii sp. nov., a new species of Antarctic ctenostome bryozoan with a key to all Antarctic species of the genus</t>
  </si>
  <si>
    <t>ORGANISMS DIVERSITY &amp; EVOLUTION</t>
  </si>
  <si>
    <t>Alcyonidioidea; Polar bryozoans; Identification key; Distribution</t>
  </si>
  <si>
    <t>DNA; IDENTITY</t>
  </si>
  <si>
    <t>Recent surveys of Antarctic waters in the Terra Nova Bay (Ross Sea) revealed numerous bryozoan species including ctenostome bryozoans. Whereas cheilostome bryozoans are well-studied in these latitudes, ctenostomes remain highly neglected. Large ctenostomes are easily recognized by their lack of calcified skeletons, but this lack also renders them difficult and tedious to identify. As a result, histology and reconstructions of internal soft tissues are required to classify this group of bryozoans. Thanks to the availability of new specimens from Terra Nova Bay, a detailed analysis of growth form, gut morphology and tentacle number of two colonies, initially ascribed to the ctenostome bryozoan genus Alcyonidum Lamouroux, 1813, turned out to be a new species, Alcyonidium kuklinskii sp. nov., which we described in this study. These specimens were also barcoded (COI) and sequences compared to available ones. Together with the new species described here, a total of ten species of Alcyonidium is now known for the Southern Ocean, accounting for one eighth of the entire genus diversity. All Southern Ocean species appear to be endemic. In order to speed the identification of the Antarctic Alcyonidium species, we provide an identification key and a distribution map of all type species. In brief, colony morphology, zooidal size and, in particular tentacle number represent the most suitable characters for identifying species within this genus.</t>
  </si>
  <si>
    <t>[Schwaha, Thomas; Saadi, Ahmed J.] Univ Vienna, Dept Evolutionary Biol, Schlachthausgasse 43, A-1030 Vienna, Austria; [Cometti, Valentina; Cecchetto, Matteo; Schiaparelli, Stefano] Italian Natl Antarctic Museum MNA, Sect Genoa, Genoa, Italy; [Cometti, Valentina; Cecchetto, Matteo; Schiaparelli, Stefano] Univ Genoa, Dept Earth Environm &amp; Life Sci DISTAV, Genoa, Italy</t>
  </si>
  <si>
    <t>University of Vienna; University of Genoa</t>
  </si>
  <si>
    <t>Schwaha, T (corresponding author), Univ Vienna, Dept Evolutionary Biol, Schlachthausgasse 43, A-1030 Vienna, Austria.</t>
  </si>
  <si>
    <t>thomas.schwaha@univie.ac.at</t>
  </si>
  <si>
    <t>Cecchetto, Matteo/KGL-8310-2024</t>
  </si>
  <si>
    <t>Cecchetto, Matteo/0000-0002-4505-4104; Saadi, Ahmed J./0000-0002-5113-0441; Cometti, Valentina/0000-0002-1410-3567</t>
  </si>
  <si>
    <t>PNRA</t>
  </si>
  <si>
    <t>Special thanks also to Station Biologique de Roscoff (Sorbonne University) for proving lab space and dredges for collecting A. gelatinosum. Special thanks also to Sebastian H. Decker (University of Vienna) for providing the COI sequence for A. gelatinosum.</t>
  </si>
  <si>
    <t>1439-6092</t>
  </si>
  <si>
    <t>1618-1077</t>
  </si>
  <si>
    <t>ORG DIVERS EVOL</t>
  </si>
  <si>
    <t>Org. Divers. Evol.</t>
  </si>
  <si>
    <t>10.1007/s13127-023-00629-4</t>
  </si>
  <si>
    <t>Evolutionary Biology; Zoology</t>
  </si>
  <si>
    <t>KK7W6</t>
  </si>
  <si>
    <t>WOS:001117710700001</t>
  </si>
  <si>
    <t>Hollis, JR; Henderson, G; Lavers, JL; Rea, E; Komyakova, V; Bond, AL</t>
  </si>
  <si>
    <t>Hollis, Joseph Razzell; Henderson, Gabrielle; Lavers, Jennifer L.; Rea, Edward; Komyakova, Valeriya; Bond, Alexander L.</t>
  </si>
  <si>
    <t>Quantitative photography for rapid, reliable measurement of marine macro-plastic pollution</t>
  </si>
  <si>
    <t>METHODS IN ECOLOGY AND EVOLUTION</t>
  </si>
  <si>
    <t>automated image analysis; plastic colour; plastic pollution; plastic size; quantitative photography</t>
  </si>
  <si>
    <t>FLESH-FOOTED SHEARWATERS; MICROPLASTICS; DEBRIS; ACCUMULATION; INGESTION</t>
  </si>
  <si>
    <t>Plastics are now ubiquitous in the environment and have been studied in wildlife and in ecosystems for more than 50 years. Measurement of size, shape and colour data for individual fragments of plastic is labour-intensive, unreliable and prone to observer bias, particularly when it comes to assessment of colour, which relies on arbitrary and inconsistently defined colour categorisations. There is a clear need for a standard method for data collection on plastic pollution, particularly one that can be readily automated given the number of samples involved.This study describes a new method for standardised photography of marine plastics in the 1-100 mm size range (meso- and macro-plastics), including colour correction to account for any image-to-image variation in lighting that may impact colour reproduction or apparent brightness. Automated image analysis is then applied to detect individual fragments of plastic for quantitative measurement of size, shape, and colour.The method was tested on 3793 fragments of debris ingested by Flesh-footed Shearwaters (Ardenna carneipes) on Lord Howe Island, Australia, and compare results from photos taken in two separate locations using different equipment. Photos were acquired of up to 250 fragments at a time with a spatial resolution of 70 mu m/pixel and were colour-corrected using a reference chart to ensure accurate reproduction of colour. The automated image analysis pipeline was found to have a 98% success rate at detecting fragments, and the different size and shape parameters that can be outputted by the pipeline were compared in terms of usefulness.The evidence shown in this study should strongly encourage the uptake of this method for cataloguing macro-scale plastic pollution, as it provides substantially higher quality data with accurate, reliable measurements of size, shape and colour for individual plastics that can be readily compared between disparate datasets.</t>
  </si>
  <si>
    <t>[Hollis, Joseph Razzell; Lavers, Jennifer L.; Bond, Alexander L.] Nat Hist Museum, Bird Grp, Tring, England; [Henderson, Gabrielle; Komyakova, Valeriya; Bond, Alexander L.] Univ Tasmania, Inst Marine &amp; Antarctic Studies, Battery Point, Tas, Australia; [Lavers, Jennifer L.] Esperance Tjaltjraak Native Title Aboriginal Corp, Esperance, WA, Australia; [Rea, Edward] Oxford Brookes Univ, Fac Hlth &amp; Life Sci, Ctr Bioimaging, Oxford, England; [Komyakova, Valeriya] Univ Tasmania, Ctr Marine Socioecol, Hobart, Tas, Australia</t>
  </si>
  <si>
    <t>Natural History Museum London; University of Tasmania; Oxford Brookes University; University of Tasmania</t>
  </si>
  <si>
    <t>Hollis, JR (corresponding author), Nat Hist Museum, Bird Grp, Tring, England.</t>
  </si>
  <si>
    <t>j.razzellhollis@gmail.com</t>
  </si>
  <si>
    <t>; Lavers, Jennifer/O-4831-2017; Komyakova, Valeriya/H-4632-2013</t>
  </si>
  <si>
    <t>Razzell Hollis, Joseph/0000-0002-6239-694X; Lavers, Jennifer/0000-0001-7596-6588; Bond, Alexander/0000-0003-2125-7238; Komyakova, Valeriya/0000-0003-3755-1546; Rea, Edward/0000-0001-9826-3981</t>
  </si>
  <si>
    <t>H2020 Marie Sklstrok;odowska-Curie Actions [101030480, A22382]; European Union's Horizon 2020 research and innovation programme under Marie Sklstrok;odowska-Curie [SL100169, LHIB 07/18, H0028598]; New South Wales Office of Environment and Heritage; Marie Curie Actions (MSCA) [101030480] Funding Source: Marie Curie Actions (MSCA)</t>
  </si>
  <si>
    <t>H2020 Marie Sklstrok;odowska-Curie Actions(European Union (EU)); European Union's Horizon 2020 research and innovation programme under Marie Sklstrok;odowska-Curie; New South Wales Office of Environment and Heritage; Marie Curie Actions (MSCA)(Marie Curie Actions)</t>
  </si>
  <si>
    <t>We acknowledge the Tasmanian Aboriginal people as the traditional owners and first scientists of the land where this research was conducted. J.R.H. was funded by the European Union's Horizon 2020 research and innovation programme under Marie Sk &amp; lstrok;odowska-Curie grant agreement no. 101030480. We thank Dr Natalie Cooper at the NHM for helpful discussion of statistical methods and Dr Arianna Salili-James at the NHM for helpful discussion of shape analysis methods. This research was approved by the Charles Sturt University Animal Ethics Committee (A22382), New South Wales Office of Environment and Heritage (SL100169), Lord Howe Island Board (LHIB 07/18) and the University of Tasmania Human Ethics Panel (H0028598).</t>
  </si>
  <si>
    <t>2041-210X</t>
  </si>
  <si>
    <t>2041-2096</t>
  </si>
  <si>
    <t>METHODS ECOL EVOL</t>
  </si>
  <si>
    <t>Methods Ecol. Evol.</t>
  </si>
  <si>
    <t>10.1111/2041-210X.14267</t>
  </si>
  <si>
    <t>EG4V5</t>
  </si>
  <si>
    <t>WOS:001115728500001</t>
  </si>
  <si>
    <t>Dunn, M; McGowan-Yallop, C; Pedersen, G; Falk-Petersen, S; Daase, M; Last, K; Langbehn, TJ; Fielding, S; Brierley, AS; Cottier, F; Basedow, SL; Camus, L; Geoffroy, M</t>
  </si>
  <si>
    <t>Dunn, Muriel; McGowan-Yallop, Chelsey; Pedersen, Geir; Falk-Petersen, Stig; Daase, Malin; Last, Kim; Langbehn, Tom J.; Fielding, Sophie; Brierley, Andrew S.; Cottier, Finlo; Basedow, Suennje L.; Camus, Lionel; Geoffroy, Maxime</t>
  </si>
  <si>
    <t>Model-informed classification of broadband acoustic backscatter from zooplankton in an in situ mesocosm</t>
  </si>
  <si>
    <t>ICES JOURNAL OF MARINE SCIENCE</t>
  </si>
  <si>
    <t>machine learning; zooplankton; classification; broadband acoustics; cage experiment</t>
  </si>
  <si>
    <t>KRILL EUPHAUSIA-SUPERBA; ANTARCTIC KRILL; TARGET STRENGTH; SOUND-SCATTERING; SPECIES IDENTIFICATION; FISH; APPROXIMATION; PERFORMANCE; CONTRASTS; INFERENCE</t>
  </si>
  <si>
    <t>Classification of zooplankton to species with broadband echosounder data could increase the taxonomic resolution of acoustic surveys and reduce the dependence on net and trawl samples for 'ground truthing'. Supervised classification with broadband echosounder data is limited by the acquisition of validated data required to train machine learning algorithms ('classifiers'). We tested the hypothesis that acoustic scattering models could be used to train classifiers for remote classification of zooplankton. Three classifiers were trained with data from scattering models of four Arctic zooplankton groups (copepods, euphausiids, chaetognaths, and hydrozoans). We evaluated classifier predictions against observations of a mixed zooplankton community in a submerged purpose-built mesocosm (12 m3) insonified with broadband transmissions (185-255 kHz). The mesocosm was deployed from a wharf in Ny-angstrom lesund, Svalbard, during the Arctic polar night in January 2022. We detected 7722 tracked single targets, which were used to evaluate the classifier predictions of measured zooplankton targets. The classifiers could differentiate copepods from the other groups reasonably well, but they could not differentiate euphausiids, chaetognaths, and hydrozoans reliably due to the similarities in their modelled target spectra. We recommend that model-informed classification of zooplankton from broadband acoustic signals be used with caution until a better understanding of in situ target spectra variability is gained.</t>
  </si>
  <si>
    <t>[Dunn, Muriel; Camus, Lionel] Akvaplan Niva AS, Fram Ctr, Postbox 6606, N-9296 Tromso, Norway; [Dunn, Muriel; Geoffroy, Maxime] Mem Univ Newfoundland, Ctr Fisheries Ecosyst Res, Fisheries &amp; Marine Inst, St John, NF A1C 5R3, Canada; [McGowan-Yallop, Chelsey; Last, Kim; Cottier, Finlo] Scottish Assoc Marine Sci, Oban PA37 1QA, Argyll, Scotland; [Pedersen, Geir] Inst Marine Res, N-5005 Bergen, Norway; [Daase, Malin; Cottier, Finlo; Basedow, Suennje L.; Geoffroy, Maxime] UiT Arctic Univ Norway, Dept Arctic &amp; Marine Biol, N-9036 Tromso, Norway; [Langbehn, Tom J.] Univ Bergen, Dept Biol Sci, N-5020 Bergen, Norway; [Fielding, Sophie] NERC, British Antarctic Survey, Cambridge CB30ET, England; [Brierley, Andrew S.] Univ St Andrews, Scottish Oceans Inst, Gatty Marine Lab, Pelag Ecol Res Grp,Sch Biol, St Andrews KY16 8LB, Scotland</t>
  </si>
  <si>
    <t>Akvaplan-niva; Memorial University Newfoundland; UHI Millennium Institute; Institute of Marine Research - Norway; UiT The Arctic University of Tromso; University of Bergen; UK Research &amp; Innovation (UKRI); Natural Environment Research Council (NERC); NERC British Antarctic Survey; University of St Andrews</t>
  </si>
  <si>
    <t>Dunn, M (corresponding author), Akvaplan Niva AS, Fram Ctr, Postbox 6606, N-9296 Tromso, Norway.;Dunn, M (corresponding author), Mem Univ Newfoundland, Ctr Fisheries Ecosyst Res, Fisheries &amp; Marine Inst, St John, NF A1C 5R3, Canada.</t>
  </si>
  <si>
    <t>muriel.dunn@sintef.no</t>
  </si>
  <si>
    <t>Langbehn, Tom/S-8987-2019; Pedersen, Geir/AAB-4748-2022; Pedersen, Geir/H-9193-2016; Brierley, Andrew/G-8019-2011</t>
  </si>
  <si>
    <t>Langbehn, Tom/0000-0003-1208-4793; Dunn, Muriel/0000-0002-4206-7460; Pedersen, Geir/0000-0002-6202-2745; Brierley, Andrew/0000-0002-6438-6892</t>
  </si>
  <si>
    <t>Norges Forskningsrd; Kings Bay AS</t>
  </si>
  <si>
    <t>The authors would like to acknowledge Marine Ilg and Erlend Havenstr &amp; oslash;m from Kings Bay AS and Emily Venables and Tomasz Kopec from UiT for their expertise and help during the field campaign. We would also like to acknowledge the AZKABAN construction work from Atle Skutvik, Kenneth Nilsen, and colleagues at Havbruksstasjonen i Troms &amp; oslash;. The authors would like to acknowledge the contributions from Paul Fernandes and the reviewers who provided feedback and suggestions to improve the manuscript.</t>
  </si>
  <si>
    <t>1054-3139</t>
  </si>
  <si>
    <t>1095-9289</t>
  </si>
  <si>
    <t>ICES J MAR SCI</t>
  </si>
  <si>
    <t>ICES J. Mar. Sci.</t>
  </si>
  <si>
    <t>2023 DEC 7</t>
  </si>
  <si>
    <t>10.1093/icesjms/fsad192</t>
  </si>
  <si>
    <t>Fisheries; Marine &amp; Freshwater Biology; Oceanography</t>
  </si>
  <si>
    <t>Z8TP0</t>
  </si>
  <si>
    <t>gold, Green Accepted, Green Published</t>
  </si>
  <si>
    <t>WOS:001114747300001</t>
  </si>
  <si>
    <t>Ziveri, P; Gray, WR; Anglada-Ortiz, G; Manno, C; Grelaud, M; Incarbona, A; Rae, JWB; Subhas, A; Pallacks, S; White, A; Adkins, JF; Berelson, W</t>
  </si>
  <si>
    <t>Ziveri, Patrizia; Gray, William Robert; Anglada-Ortiz, Griselda; Manno, Clara; Grelaud, Michael; Incarbona, Alessandro; Rae, James William Buchanan; Subhas, Adam, V; Pallacks, Sven; White, Angelicque; Adkins, Jess F.; Berelson, William</t>
  </si>
  <si>
    <t>Pelagic calcium carbonate production and shallow dissolution in the North Pacific Ocean</t>
  </si>
  <si>
    <t>PLANKTONIC-FORAMINIFERA; PARTICULATE MATTER; EMILIANIA-HUXLEYI; LIMACINA-HELICINA; ORGANIC-CARBON; ARAGONITE PRODUCTION; POPULATION-DYNAMICS; LUNAR PERIODICITY; TIME-SERIES; LATE SUMMER</t>
  </si>
  <si>
    <t>Planktonic calcifying organisms play a key role in regulating ocean carbonate chemistry and atmospheric CO2. Surprisingly, references to the absolute and relative contribution of these organisms to calcium carbonate production are lacking. Here we report quantification of pelagic calcium carbonate production in the North Pacific, providing new insights on the contribution of the three main planktonic calcifying groups. Our results show that coccolithophores dominate the living calcium carbonate (CaCO3) standing stock, with coccolithophore calcite comprising similar to 90% of total CaCO3 production, and pteropods and foraminifera playing a secondary role. We show that pelagic CaCO3 production is higher than the sinking flux of CaCO3 at 150 and 200mat ocean stations ALOHA and PAPA, implying that a large portion of pelagic calcium carbonate is remineralised within the photic zone; this extensive shallow dissolution explains the apparent discrepancy between previous estimates of CaCO3 production derived from satellite observations/biogeochemical modeling versus estimates from shallow sediment traps. We suggest future changes in the CaCO3 cycle and its impact on atmospheric CO2 will largely depend on how the poorly-understood processes that determine whether CaCO3 is remineralised in the photic zone or exported to depth respond to anthropogenic warming and acidification.</t>
  </si>
  <si>
    <t>[Ziveri, Patrizia; Anglada-Ortiz, Griselda; Grelaud, Michael; Pallacks, Sven] Univ Autonoma Barcelona, Inst Environm Sci &amp; Technol, Barcelona, Spain; [Ziveri, Patrizia] Catalan Inst Res &amp; Adv Studies ICREA, Barcelona, Spain; [Ziveri, Patrizia] Univ Autonoma Barcelona, BABVE Dept, Barcelona, Spain; [Gray, William Robert] Univ Paris Saclay, Lab Sci Climat &amp; Environm LSCE IPSL, Gif Sur Yvette, France; [Gray, William Robert; Rae, James William Buchanan] Univ St Andrews, Sch Earth &amp; Environm Sci, St Andrews, Fife, Scotland; [Anglada-Ortiz, Griselda] UiT Arctic Univ Norway, Ctr Arctic Gas Hydrate Environm &amp; Climate CAGE, Dept Geosci, Tromso, Norway; [Manno, Clara] NERC, British Antarctic Survey, Cambridge, England; [Incarbona, Alessandro] Univ Palermo, Dipartimento Sci Terra &amp; Mare, Palermo, Italy; [Subhas, Adam, V] Woods Hole Oceanog Inst, Dept Marine Chem &amp; Geochem, Woods Hole, MA 02543 USA; [White, Angelicque] Univ Hawaii Manoa, Sch Ocean &amp; Earth Sci &amp; Technol, Dept Oceanog, Honolulu, HI USA; [Adkins, Jess F.] CALTECH, Dept Geol &amp; Planetary Sci, Linde Ctr Global Environm Sci, Pasadena, CA 91125 USA; [Berelson, William] Univ Southern Calif, Dept Earth Sci, Los Angeles, CA 90007 USA</t>
  </si>
  <si>
    <t>Autonomous University of Barcelona; ICREA; Autonomous University of Barcelona; CEA; Centre National de la Recherche Scientifique (CNRS); Universite Paris Saclay; Universite Paris Cite; University of St Andrews; UiT The Arctic University of Tromso; UK Research &amp; Innovation (UKRI); Natural Environment Research Council (NERC); NERC British Antarctic Survey; University of Palermo; Woods Hole Oceanographic Institution; University of Hawaii System; University of Hawaii Manoa; California Institute of Technology; University of Southern California</t>
  </si>
  <si>
    <t>Ziveri, P (corresponding author), Univ Autonoma Barcelona, Inst Environm Sci &amp; Technol, Barcelona, Spain.;Ziveri, P (corresponding author), Catalan Inst Res &amp; Adv Studies ICREA, Barcelona, Spain.;Ziveri, P (corresponding author), Univ Autonoma Barcelona, BABVE Dept, Barcelona, Spain.;Gray, WR (corresponding author), Univ Paris Saclay, Lab Sci Climat &amp; Environm LSCE IPSL, Gif Sur Yvette, France.;Gray, WR (corresponding author), Univ St Andrews, Sch Earth &amp; Environm Sci, St Andrews, Fife, Scotland.</t>
  </si>
  <si>
    <t>Patrizia.Ziveri@uab.cat; william.gray@lsce.ipsl.fr</t>
  </si>
  <si>
    <t>Ziveri, Patrizia/I-3856-2015; Rae, James/R-3812-2017</t>
  </si>
  <si>
    <t>Ziveri, Patrizia/0000-0002-5576-0301; INCARBONA, Alessandro/0000-0003-3563-7143; White, angelicque/0000-0002-0938-7948; Gray, William/0000-0001-5608-7836; Rae, James/0000-0003-3904-2526; Grelaud, Michael/0000-0001-8649-9743; Pallacks, Sven/0000-0002-8215-0007</t>
  </si>
  <si>
    <t>NSF [OCE1220600, OCE1220302]; MINECO [PID2020-113526RB-I00]; NERC [NE/N011716/1]; Generalitat de Catalunya MERS [2017 SGR-1588]; NERC [NE/N011716/1] Funding Source: UKRI</t>
  </si>
  <si>
    <t>NSF(National Science Foundation (NSF)); MINECO(Spanish Government); NERC(UK Research &amp; Innovation (UKRI)Natural Environment Research Council (NERC)); Generalitat de Catalunya MERS; NERC(UK Research &amp; Innovation (UKRI)Natural Environment Research Council (NERC))</t>
  </si>
  <si>
    <t>We thank the captain and crew of cruise KM1712 on R/V Kilo Moana.-Funding was provided by NSF Grants OCE1220600 and OCE1220302 awarded to JA and WB, respectively, MINECO PID2020-113526RB-I00, the Generalitat de CatalunyaMERS (#2017 SGR-1588) awarded to PZ and NERC grant NE/N011716/1 awarded to JR. This work is contributing to the ICTA-UAB Unit of Excellence (MINECO (CEX2019-000940-M)). We thank Heidi Block, Alasdair Murphy, Rory Abernathy, Joshua Cook, Jurema Domingos and Laura Simon for assistance generating the foraminiferal standing stock data. We acknowledge the Hawaii Ocean Time-series and Ocean Station PAPA programs for data collected at their respective time-series stations.</t>
  </si>
  <si>
    <t>DEC 7</t>
  </si>
  <si>
    <t>10.1038/s41467-023-36177-w</t>
  </si>
  <si>
    <t>IF1W2</t>
  </si>
  <si>
    <t>WOS:001164830900007</t>
  </si>
  <si>
    <t>Seroussi, H; Verjans, V; Nowicki, S; Payne, AJ; Goelzer, H; Lipscomb, WH; Abe-Ouchi, A; Agosta, C; Albrecht, T; Asay-Davis, X; Barthel, A; Calov, R; Cullather, R; Dumas, C; Galton-Fenzi, BK; Gladstone, R; Golledge, NR; Gregory, JM; Greve, R; Hattermann, T; Hoffman, MJ; Humbert, A; Huybrechts, P; Jourdain, NC; Kleiner, T; Larour, E; Leguy, GR; Lowry, DP; Little, CM; Morlighem, M; Pattyn, F; Pelle, T; Price, SF; Quiquet, A; Reese, R; Schlegel, NJ; Shepherd, A; Simon, E; Smith, RS; Straneo, F; Sun, SA; Trusel, LD; Van Breedam, J; Van Katwyk, P; van de Wal, RSW; Winkelmann, R; Zhao, C; Zhang, T; Zwinger, T</t>
  </si>
  <si>
    <t>Seroussi, Helene; Verjans, Vincent; Nowicki, Sophie; Payne, Antony J.; Goelzer, Heiko; Lipscomb, William H.; Abe-Ouchi, Ayako; Agosta, Cecile; Albrecht, Torsten; Asay-Davis, Xylar; Barthel, Alice; Calov, Reinhard; Cullather, Richard; Dumas, Christophe; Galton-Fenzi, Benjamin K.; Gladstone, Rupert; Golledge, Nicholas R.; Gregory, Jonathan M.; Greve, Ralf; Hattermann, Tore; Hoffman, Matthew J.; Humbert, Angelika; Huybrechts, Philippe; Jourdain, Nicolas C.; Kleiner, Thomas; Larour, Eric; Leguy, Gunter R.; Lowry, Daniel P.; Little, Chistopher M.; Morlighem, Mathieu; Pattyn, Frank; Pelle, Tyler; Price, Stephen F.; Quiquet, Aurelien; Reese, Ronja; Schlegel, Nicole-Jeanne; Shepherd, Andrew; Simon, Erika; Smith, Robin S.; Straneo, Fiammetta; Sun, Sainan; Trusel, Luke D.; Van Breedam, Jonas; Van Katwyk, Peter; van de Wal, Roderik S. W.; Winkelmann, Ricarda; Zhao, Chen; Zhang, Tong; Zwinger, Thomas</t>
  </si>
  <si>
    <t>Insights into the vulnerability of Antarctic glaciers from the ISMIP6 ice sheet model ensemble and associated uncertainty</t>
  </si>
  <si>
    <t>FUTURE SEA-LEVEL; INTERCOMPARISON PROJECT; SPATIAL SENSITIVITIES; ENVIRONMENTAL-CHANGE; MASS RESPONSE; MELT RATES; RETREAT; RISE</t>
  </si>
  <si>
    <t>The Antarctic Ice Sheet represents the largest source of uncertainty in future sea level rise projections, with a contribution to sea level by 2100 ranging from - 5 to 43 cm of sea level equivalent under high carbon emission scenarios estimated by the recent Ice Sheet Model Intercomparison for CMIP6 (ISMIP6). ISMIP6 highlighted the different behaviors of the East and West Antarctic ice sheets, as well as the possible role of increased surface mass balance in offsetting the dynamic ice loss in response to changing oceanic conditions in ice shelf cavities. However, the detailed contribution of individual glaciers, as well as the partitioning of uncertainty associated with this ensemble, have not yet been investigated. Here, we analyze the ISMIP6 results for high carbon emission scenarios, focusing on key glaciers around the Antarctic Ice Sheet, and we quantify their projected dynamic mass loss, defined here as mass loss through increased ice discharge into the ocean in response to changing oceanic conditions. We highlight glaciers contributing the most to sea level rise, as well as their vulnerability to changes in oceanic conditions. We then investigate the different sources of uncertainty and their relative role in projections, for the entire continent and for key individual glaciers. We show that, in addition to Thwaites and Pine Island glaciers in West Antarctica, Totten and Moscow University glaciers in East Antarctica present comparable future dynamic mass loss and high sensitivity to ice shelf basal melt. The overall uncertainty in additional dynamic mass loss in response to changing oceanic conditions, compared to a scenario with constant oceanic conditions, is dominated by the choice of ice sheet model, accounting for 52 % of the total uncertainty of the Antarctic dynamic mass loss in 2100. Its relative role for the most dynamic glaciers varies between 14 % for MacAyeal and Whillans ice streams and 56 % for Pine Island Glacier at the end of the century. The uncertainty associated with the choice of climate model increases over time and reaches 13 % of the uncertainty by 2100 for the Antarctic Ice Sheet but varies between 4 % for Thwaites Glacier and 53 % for Whillans Ice Stream. The uncertainty associated with the ice-climate interaction, which captures different treatments of oceanic forcings such as the choice of melt parameterization, its calibration, and simulated ice shelf geometries, accounts for 22 % of the uncertainty at the ice sheet scale but reaches 36 % and 39 % for Institute Ice Stream and Thwaites Glacier, respectively, by 2100. Overall, this study helps inform future research by highlighting the sectors of the ice sheet most vulnerable to oceanic warming over the 21st century and by quantifying the main sources of uncertainty.</t>
  </si>
  <si>
    <t>[Seroussi, Helene] Dartmouth Coll, Thayer Sch Engn, Hanover, NH 03755 USA; [Verjans, Vincent] Inst Basic Sci, Ctr Climate Phys, Busan, South Korea; [Nowicki, Sophie] SUNY Buffalo, Geol Dept, Buffalo, NY USA; [Nowicki, Sophie] SUNY Buffalo, RENEW Inst, Buffalo, NY USA; [Payne, Antony J.] Univ Bristol, Ctr Polar Observat &amp; Modelling, Bristol, England; [Goelzer, Heiko] NORCE Norwegian Res Ctr, Bjerknes Ctr Climate Res, Bergen, Norway; [Lipscomb, William H.; Leguy, Gunter R.] Natl Ctr Atmospher Res, Climate &amp; Global Dynam Lab, Boulder, CO USA; [Abe-Ouchi, Ayako] Univ Tokyo, Atmosphere &amp; Ocean Res Inst, Kashiwa, Japan; [Agosta, Cecile; Dumas, Christophe; Quiquet, Aurelien] Univ Paris Saclay, Lab Sci Climat &amp; Environm, LSCE IPSL, CEA,CNRS,UVSQ, Gif Sur Yvette, France; [Albrecht, Torsten; Calov, Reinhard; Reese, Ronja; Winkelmann, Ricarda] Leibniz Assoc, Potsdam Inst Climate Impact Res PIK, POB 60 12 03, D-14412 Potsdam, Germany; [Asay-Davis, Xylar; Barthel, Alice; Hoffman, Matthew J.; Price, Stephen F.] Los Alamos Natl Lab, Fluid Dynam &amp; Solid Mech Grp, Los Alamos, NM USA; [Cullather, Richard; Simon, Erika] NASA, Goddard Space Flight Ctr, Greenbelt, MD USA; [Galton-Fenzi, Benjamin K.] Australian Antarctic Div, Kingston, Tas, Australia; [Galton-Fenzi, Benjamin K.] Univ Tasmania, Australian Ctr Excellence Antarctic Sci, Hobart, Australia; [Galton-Fenzi, Benjamin K.; Zhao, Chen] Univ Tasmania, Inst Marine &amp; Antarctic Studies, Australian Antarctic Program Partnership, Hobart, Tas, Australia; [Gladstone, Rupert] Univ Lapland, Arctic Ctr, Rovaniemi, Finland; [Golledge, Nicholas R.] Victoria Univ Wellington, Antarctic Res Ctr, Wellington, New Zealand; [Gregory, Jonathan M.; Smith, Robin S.] Univ Reading, Natl Ctr Atmospher Sci, Reading, England; [Gregory, Jonathan M.] Met Off Hadley Ctr, Exeter, Devon, England; [Greve, Ralf] Hokkaido Univ, Inst Low Temp Sci, Sapporo, Hokkaido, Japan; [Greve, Ralf] Hokkaido Univ, Arctic Res Ctr, Sapporo, Japan; [Hattermann, Tore] Norwegian Polar Res Inst, iC3 Ctr Ice Cryosphere Carbon &amp; Climate, Tromso, Norway; [Humbert, Angelika; Kleiner, Thomas] Alfred Wegener Inst Polar &amp; Marine Res, Handelshafen 12, D-27570 Bremerhaven, Germany; [Humbert, Angelika] Univ Bremen, Dept Geosci, Bremen, Germany; [Huybrechts, Philippe] Vrije Univ Brussel, Earth Syst Sci, Brussels, Belgium; [Huybrechts, Philippe] Vrije Univ Brussel, Dept Geog, Brussels, Belgium; [Jourdain, Nicolas C.; Quiquet, Aurelien] Univ Grenoble Alpes, CNRS, Inst Geosci &amp; Environm, IRD,G INP, Grenoble, France; [Larour, Eric; Schlegel, Nicole-Jeanne] CALTECH, Jet Prop Lab, Pasadena, CA USA; [Lowry, Daniel P.] GNS Sci, Lower Hutt, New Zealand; [Little, Chistopher M.] Atmospher &amp; Environm Res Inc, Lexington, MA USA; [Morlighem, Mathieu] Dartmouth Coll, Dept Earth Sci, Hanover, NH USA; [Pattyn, Frank] Univ Libre Bruxelles, Lab Glaciol, Brussels, Belgium; [Pelle, Tyler; Straneo, Fiammetta] Univ Calif San Diego, Scripps Inst Oceanog, La Jolla, CA USA; [Reese, Ronja; Shepherd, Andrew; Sun, Sainan] Northumbria Univ, Dept Geog &amp; Environm Sci, Newcastle Upon Tyne, England; [Schlegel, Nicole-Jeanne] NOAA, Geophys Fluid Dynam Lab, Princeton, NJ USA; [Trusel, Luke D.] Penn State Univ, Dept Geog, University Pk, PA USA; [Van Katwyk, Peter] Brown Univ, Dept Earth Environm &amp; Planetary Sci, Providence, RI USA; [van de Wal, Roderik S. W.] Univ Utrecht, Inst Marine &amp; Atmospher Res Utrecht, Utrecht, Netherlands; [van de Wal, Roderik S. W.] Univ Utrecht, Dept Phys Geog, Utrecht, Netherlands; [Winkelmann, Ricarda] Univ Potsdam, Inst Phys &amp; Astron, Karl Liebknecht Str 24-25, D-14476 Potsdam, Germany; [Zhang, Tong] Beijing Normal Univ, State Key Lab Earth Surface Proc &amp; Resource Ecol, Beijing, Peoples R China; [Zwinger, Thomas] CSC IT Ctr Sci, Espoo, Finland</t>
  </si>
  <si>
    <t>Dartmouth College; Institute for Basic Science - Korea (IBS); State University of New York (SUNY) System; State University of New York (SUNY) Buffalo; State University of New York (SUNY) System; State University of New York (SUNY) Buffalo; University of Bristol; Bjerknes Centre for Climate Research; Norwegian Research Centre (NORCE); National Center Atmospheric Research (NCAR) - USA; University of Tokyo; Universite Paris Saclay; CEA; Centre National de la Recherche Scientifique (CNRS); Universite Paris Cite; Potsdam Institut fur Klimafolgenforschung; United States Department of Energy (DOE); Los Alamos National Laboratory; National Aeronautics &amp; Space Administration (NASA); NASA Goddard Space Flight Center; Australian Antarctic Division; University of Tasmania; University of Tasmania; University of Lapland; Victoria University Wellington; University of Reading; UK Research &amp; Innovation (UKRI); Natural Environment Research Council (NERC); NERC National Centre for Atmospheric Science; Met Office - UK; Hadley Centre; Hokkaido University; Hokkaido University; Norwegian Polar Institute; Helmholtz Association; Alfred Wegener Institute, Helmholtz Centre for Polar &amp; Marine Research; University of Bremen; Vrije Universiteit Brussel; Vrije Universiteit Brussel; Institut de Recherche pour le Developpement (IRD); Communaute Universite Grenoble Alpes; Universite Grenoble Alpes (UGA); Centre National de la Recherche Scientifique (CNRS); National Aeronautics &amp; Space Administration (NASA); NASA Jet Propulsion Laboratory (JPL); California Institute of Technology; GNS Science - New Zealand; Atmospheric &amp; Environmental Research; Dartmouth College; Universite Libre de Bruxelles; University of California System; University of California San Diego; Scripps Institution of Oceanography; Northumbria University; National Oceanic Atmospheric Admin (NOAA) - USA; Pennsylvania Commonwealth System of Higher Education (PCSHE); Pennsylvania State University; Pennsylvania State University - University Park; Brown University; Utrecht University; Utrecht University; University of Potsdam; Beijing Normal University</t>
  </si>
  <si>
    <t>Seroussi, H (corresponding author), Dartmouth Coll, Thayer Sch Engn, Hanover, NH 03755 USA.</t>
  </si>
  <si>
    <t>helene.l.seroussi@dartmouth.edu</t>
  </si>
  <si>
    <t>Jourdain, Nicolas C/B-6899-2015; Morlighem, Mathieu/O-9942-2014; Goelzer, Heiko/M-2367-2016; albrecht, torsten/J-8259-2019; Pattyn, Frank/AAA-9640-2019; Abe-Ouchi, Ayako/M-6359-2013; payne, antony/A-8916-2008; Price, Stephen/E-1568-2013; Huybrechts, Philippe/J-5278-2013</t>
  </si>
  <si>
    <t>Morlighem, Mathieu/0000-0001-5219-1310; Goelzer, Heiko/0000-0002-5878-9599; albrecht, torsten/0000-0001-7459-2860; Pattyn, Frank/0000-0003-4805-5636; Abe-Ouchi, Ayako/0000-0003-1745-5952; Van Breedam, Jonas/0000-0003-1504-9520; Golledge, Nicholas/0000-0001-7676-8970; Asay-Davis, Xylar/0000-0002-1990-892X; payne, antony/0000-0001-8825-8425; Price, Stephen/0000-0001-6878-2553; Huybrechts, Philippe/0000-0003-1406-0525</t>
  </si>
  <si>
    <t>National Aeronautics and Space Administration; Earth System Grid Federation</t>
  </si>
  <si>
    <t>National Aeronautics and Space Administration(National Aeronautics &amp; Space Administration (NASA)); Earth System Grid Federation</t>
  </si>
  <si>
    <t>We thank Mira Berdahl and Nathan Urban for discussions on emulation and variance analysis. We thank the Climate and Cryosphere (CliC) effort, which provided support for ISMIP6 through sponsoring of workshops, hosting the ISMIP6 website and wiki, and promoted ISMIP6. We acknowledge the World Climate Research Programme, which, through its Working Group on Coupled Modelling, coordinated and promoted CMIP5 and CMIP6. We thank the climate modeling groups for producing and making available their model output, the Earth System Grid Federation (ESGF) for archiving the CMIP data and providing access, the University at Buffalo for ISMIP6 data distribution and upload, and the multiple funding agencies that support CMIP5, CMIP6, and ESGF. We thank the ISMIP6 steering committee, the ISMIP6 model selection group, and ISMIP6 dataset preparation group for their continuous engagement in defining ISMIP6. This is ISMIP6 contribution No 31. We thank Samuel Cook, Felicity McCormack, and an anonymous reviewer for their suggestions that helped to improve the manuscript.</t>
  </si>
  <si>
    <t>10.5194/tc-17-5197-2023</t>
  </si>
  <si>
    <t>IU5H1</t>
  </si>
  <si>
    <t>WOS:001168858200001</t>
  </si>
  <si>
    <t>Kirkham, JD; Hogan, KA; Larter, RD; Arnold, NS; Ely, JC; Clark, CD; Self, E; Games, K; Huuse, M; Stewart, MA; Ottesen, D; Dowdeswell, JA</t>
  </si>
  <si>
    <t>Kirkham, James D.; Hogan, Kelly A.; Larter, Robert D.; Arnold, Neil S.; Ely, Jeremy C.; Clark, Chris D.; Self, Ed; Games, Ken; Huuse, Mads; Stewart, Margaret A.; Ottesen, Dag; Dowdeswell, Julian A.</t>
  </si>
  <si>
    <t>Tunnel valley formation beneath deglaciating mid-latitude ice sheets: Observations and modelling</t>
  </si>
  <si>
    <t>Tunnel valley; Meltwater; Deglaciation; 3D seismic-reflection data; Ice sheets; North sea</t>
  </si>
  <si>
    <t>NORTH-SEA BASIN; PINE ISLAND BAY; GLACIAL CURVILINEATIONS; SUBGLACIAL DRAINAGE; BASAL MECHANICS; SOUTHERN SECTOR; HIGH-RESOLUTION; SURFACE MELT; STREAM B; MELTWATER</t>
  </si>
  <si>
    <t>The geological record of landforms and sediments produced beneath deglaciating ice sheets offers insights into inaccessible glacial processes. Large subglacial valleys formed by meltwater erosion of sediments (tunnel valleys) are widespread in formerly glaciated regions such as the North Sea. Obtaining a better understanding of these features may help with the parameterisation of basal melt rates and the interplay between basal hydrology and ice dynamics in numerical models of past, present, and future ices-heet configurations. However, the mechanisms and timescales over which tunnel valleys form remain poorly constrained. Here, we present a series of numerical modelling experiments, informed by new observations from high-resolution 3D seismic data (6.25 m bin size, similar to 4 m vertical resolution), which test different hypotheses of tunnel valley formation and calculate subglacial water routing, seasonal water discharges, and the rates at which tunnel valleys are eroded beneath deglaciating ice sheets. Networks of smaller or abandoned channels, pervasive slump deposits, and subglacial landforms are imaged inside and at the base of larger tunnel valleys, indicating that these tunnel valleys were carved through the action of migrating smaller channels within tens of kilometres of the ice margin and were later widened by ice-contact erosion. Our model results imply that the drainage of extensive surface meltwater to the ice-sheet bed is the dominant mechanism responsible for tunnel valley formation; this process can drive rapid incision of networks of regularly spaced subglacial tunnel valleys beneath the fringes of retreating ice sheets within hundreds to thousands of years during deglaciation. Combined, our observations and modelling results identify how tunnel valleys form beneath deglaciating mid-latitude ice sheets and have implications for how the subglacial hydrological systems of contemporary ice sheets may respond to sustained climate warming. Crown Copyright (c) 2022 Published by Elsevier Ltd. This is an open access article under the CC BY license (http://creativecommons.org/licenses/by/4.0/).</t>
  </si>
  <si>
    <t>[Kirkham, James D.; Hogan, Kelly A.; Larter, Robert D.] British Antarctic Survey, Madingley Rd, Cambridge CB3 0ET, England; [Kirkham, James D.; Arnold, Neil S.; Dowdeswell, Julian A.] Univ Cambridge, Scott Polar Res Inst, Cambridge CB2 1ER, England; [Ely, Jeremy C.; Clark, Chris D.] Univ Shef field, Dept Geog, Sheffield, England; [Self, Ed; Games, Ken] Gardline Ltd, Hewett Rd, Great Yarmouth NR31 0NN, England; [Huuse, Mads] Univ Manchester, Sch Earth &amp; Environm Sci, Manchester M13 9PL, England; [Stewart, Margaret A.] British Geol Survey, Lyell Ctr, Res Ave South, Edinburgh EH14 4AP, Scotland; [Ottesen, Dag] Geol Survey Norway, POB 6315 Torgarden, N-7491 Trondheim, Norway</t>
  </si>
  <si>
    <t>UK Research &amp; Innovation (UKRI); Natural Environment Research Council (NERC); NERC British Antarctic Survey; University of Cambridge; University of Manchester; UK Research &amp; Innovation (UKRI); Natural Environment Research Council (NERC); NERC British Geological Survey; Geological Survey of Norway</t>
  </si>
  <si>
    <t>jk675@cam.ac.uk</t>
  </si>
  <si>
    <t>Arnold, Neil/0000-0001-7538-3999; Ely, Jeremy/0000-0003-4007-1500; Larter, Robert/0000-0002-8414-7389</t>
  </si>
  <si>
    <t>Natural Environment Research Council [NE/L002507/1]; Natural Environment Research Council-British Antarctic Survey Polar Science for Planet Earth programme; Natural Environmental Research Council [NE/R014574/1]; European Research Council (ERC) under the European Union [787263]</t>
  </si>
  <si>
    <t>Natural Environment Research Council(UK Research &amp; Innovation (UKRI)Natural Environment Research Council (NERC)); Natural Environment Research Council-British Antarctic Survey Polar Science for Planet Earth programme; Natural Environmental Research Council(UK Research &amp; Innovation (UKRI)Natural Environment Research Council (NERC)); European Research Council (ERC) under the European Union(European Research Council (ERC))</t>
  </si>
  <si>
    <t>We thank bp, Harbour Energy, Equinor Energy AS, Lundin Energy Norway AS, Petoro AS, Aker BP ASA, TotalEnergies EP Norge AS for access and permission to publish images extracted from the HR3D seismic data. S &amp;P Global and Schlumberger are thanked for providing academic seismic interpretation software licenses. James D. Kirkham is supported by the Natural Environment Research Council (grant NE/L002507/1) . Kelly A. Hogan and Robert D. Larter were supported by the Natural Environment Research Council-British Antarctic Survey Polar Science for Planet Earth programme. Jeremy C. Ely acknowledges support from a Natural Environmental Research Council independent fellowship (NE/R014574/1) . Chris Clark is supported by the European Research Council (ERC) under the European Union's Horizon 2020 research and innovation programme (Grant agreement No. 787263; PalGlac) . We thank Calvin Shackleton and an anonymous reviewer for helpful reviews that improved the paper. The interpretations made in this paper are the views of the authors and not necessarily those of the license owners.</t>
  </si>
  <si>
    <t>10.1016/j.quascirev.2022.107680</t>
  </si>
  <si>
    <t>EK5X5</t>
  </si>
  <si>
    <t>WOS:001138844400001</t>
  </si>
  <si>
    <t>Putnam, AE; Denton, GH; Schaefer, JM</t>
  </si>
  <si>
    <t>Putnam, Aaron E.; Denton, George H.; Schaefer, Joerg M.</t>
  </si>
  <si>
    <t>Reply to comment by J. Mangerud et al. on A 10Be chronology of the Esmark Moraine and Lysefjorden region, southwestern Norway: Evidence for coeval glacier resurgence in both polar hemispheres during the Antarctic Cold Reversal (A. Putnam et al.)</t>
  </si>
  <si>
    <t>PRODUCTION-RATE CALIBRATION; ALPS</t>
  </si>
  <si>
    <t>[Putnam, Aaron E.; Denton, George H.] Univ Maine, Sch Earth &amp; Climate Sci, Orono, ME 04469 USA; [Putnam, Aaron E.; Denton, George H.] Univ Maine, Climate Change Inst, Orono, ME 04469 USA; [Schaefer, Joerg M.] Columbia Univ, Lamont Doherty Earth Observ, Palisades, NY USA; [Schaefer, Joerg M.] Columbia Univ, Dept Earth &amp; Environm Sci, New York, NY USA</t>
  </si>
  <si>
    <t>University of Maine System; University of Maine Orono; University of Maine System; University of Maine Orono; Columbia University; Columbia University</t>
  </si>
  <si>
    <t>Putnam, AE (corresponding author), Univ Maine, Sch Earth &amp; Climate Sci, Orono, ME 04469 USA.;Putnam, AE (corresponding author), Univ Maine, Climate Change Inst, Orono, ME 04469 USA.</t>
  </si>
  <si>
    <t>aaron.putnam@maine.edu</t>
  </si>
  <si>
    <t>10.1016/j.quascirev.2023.108435</t>
  </si>
  <si>
    <t>EK5U7</t>
  </si>
  <si>
    <t>WOS:001138841400001</t>
  </si>
  <si>
    <t>Mangerud, J; Svendsen, JI; Briner, JP</t>
  </si>
  <si>
    <t>Mangerud, Jan; Svendsen, John Inge; Briner, Jason P.</t>
  </si>
  <si>
    <t>Comments to the paper A 10Be chronology of the Esmark Moraine and Lysefjorden region, southwestern Norway: Evidence for coeval glacier resurgence in both polar hemispheres during the Antarctic Cold Reversal by Aron E. Putnam, George H. Denton and Joerg M. Schaefer</t>
  </si>
  <si>
    <t>SCANDINAVIAN ICE-SHEET; WESTERN NORWAY; AGE; HARDANGERFJORDEN; FLUCTUATIONS; MAXIMUM</t>
  </si>
  <si>
    <t>[Mangerud, Jan; Svendsen, John Inge; Briner, Jason P.] Univ Bergen, Dept Earth Sci, Bergen, Norway; [Mangerud, Jan; Svendsen, John Inge; Briner, Jason P.] Bjerknes Ctr Climate Res, Bergen, Norway</t>
  </si>
  <si>
    <t>University of Bergen; Bjerknes Centre for Climate Research</t>
  </si>
  <si>
    <t>Mangerud, J (corresponding author), Univ Bergen, Dept Earth Sci, Bergen, Norway.;Mangerud, J (corresponding author), Bjerknes Ctr Climate Res, Bergen, Norway.</t>
  </si>
  <si>
    <t>jan.mangerud@uib.no</t>
  </si>
  <si>
    <t>10.1016/j.quascirev.2023.108348</t>
  </si>
  <si>
    <t>EK2A8</t>
  </si>
  <si>
    <t>WOS:001138742200001</t>
  </si>
  <si>
    <t>Effendi, DB; Suzuki, I; Murata, N; Awai, K</t>
  </si>
  <si>
    <t>Effendi, Devi B.; Suzuki, Iwane; Murata, Norio; Awai, Koichiro</t>
  </si>
  <si>
    <t>DesC1 and DesC2, Δ9 Fatty Acid Desaturases of Filamentous Cyanobacteria: Essentiality and Complementarity</t>
  </si>
  <si>
    <t>PLANT AND CELL PHYSIOLOGY</t>
  </si>
  <si>
    <t>Anabaena; Cyanobacteria; Desaturase; Fatty acids; Membrane lipids; Synechocystis</t>
  </si>
  <si>
    <t>ACYL-LIPID DESATURASES; BLUE-GREEN-ALGAE; GENE; TRANSFORMATION; SYNTHASE; GROWTH; MODES</t>
  </si>
  <si>
    <t>DesC1 and DesC2, which are fatty acid desaturases found in cyanobacteria, are responsible for introducing a double bond at the Delta 9 position of fatty-acyl chains, which are subsequently esterified to the sn-1 and sn-2 positions of the glycerol moiety, respectively. However, since the discovery of these two desaturases in the Antarctic cyanobacterium Nostoc sp. SO-36, no further research has been reported. This study presents a comprehensive characterization of DesC1 and DesC2 through targeted mutagenesis and transformation using two cyanobacteria strains: Anabaena sp. PCC 7120, comprising both desaturases, and Synechocystis sp. PCC 6803, containing a single Delta 9 desaturase (hereafter referred to as DesCs) sharing similarity with DesC1 in amino acid sequence. The results suggested that both DesC1 and DesC2 were essential in Anabaena sp. PCC 7120 and that DesC1, but not DesC2, complemented DesCs in Synechocystis sp. PCC 6803. In addition, DesC2 from Anabaena sp. PCC 7120 desaturated fatty acids esterified to the sn-2 position of the glycerol moiety in Synechocystis sp. PCC 6803.</t>
  </si>
  <si>
    <t>[Effendi, Devi B.; Awai, Koichiro] Shizuoka Univ, Grad Sch Sci &amp; Technol, 422 8529 Japan, 836 Ohya,Suruga Ku, Shizuoka 4228529, Japan; [Suzuki, Iwane] Univ Tsukuba, Inst Life &amp; Environm Sci, 1-1-1 Tennodai, Tsukuba, Ibaraki 3058572, Japan; [Murata, Norio] Natl Inst Basic Biol, 38 Nishigonaka, Okazaki, Aichi 4448585, Japan; [Awai, Koichiro] Shizuoka Univ, Fac Sci, Dept Biol Sci, 836 Ohya,Suruga Ku, Shizuoka, Shizuoka 4228529, Japan; [Awai, Koichiro] Shizuoka Univ, Res Inst Elect, 3-5-1 Johoku,Chuo Ku, Hamamatsu, Shizuoka 4328561, Japan</t>
  </si>
  <si>
    <t>Shizuoka University; University of Tsukuba; National Institutes of Natural Sciences (NINS) - Japan; National Institute for Basic Biology (NIBB); Shizuoka University; Shizuoka University</t>
  </si>
  <si>
    <t>Awai, K (corresponding author), Shizuoka Univ, Grad Sch Sci &amp; Technol, 422 8529 Japan, 836 Ohya,Suruga Ku, Shizuoka 4228529, Japan.;Awai, K (corresponding author), Shizuoka Univ, Fac Sci, Dept Biol Sci, 836 Ohya,Suruga Ku, Shizuoka, Shizuoka 4228529, Japan.;Awai, K (corresponding author), Shizuoka Univ, Res Inst Elect, 3-5-1 Johoku,Chuo Ku, Hamamatsu, Shizuoka 4328561, Japan.</t>
  </si>
  <si>
    <t>awai.koichiro@shizuoka.ac.jp</t>
  </si>
  <si>
    <t>Murata, Norio/E-6569-2010</t>
  </si>
  <si>
    <t>Effendi, Devi Bentia/0000-0002-9589-6801</t>
  </si>
  <si>
    <t>MEXT/JSPS KAKENHI [18H03941, 20K06683]</t>
  </si>
  <si>
    <t>MEXT/JSPS KAKENHI(Ministry of Education, Culture, Sports, Science and Technology, Japan (MEXT)Japan Society for the Promotion of ScienceGrants-in-Aid for Scientific Research (KAKENHI))</t>
  </si>
  <si>
    <t>MEXT/JSPS KAKENHI Grant Number 18H03941 and 20K06683 to K.A.</t>
  </si>
  <si>
    <t>0032-0781</t>
  </si>
  <si>
    <t>1471-9053</t>
  </si>
  <si>
    <t>PLANT CELL PHYSIOL</t>
  </si>
  <si>
    <t>Plant Cell Physiol.</t>
  </si>
  <si>
    <t>10.1093/pcp/pcad153</t>
  </si>
  <si>
    <t>Plant Sciences; Cell Biology</t>
  </si>
  <si>
    <t>DX0S3</t>
  </si>
  <si>
    <t>WOS:001135269300001</t>
  </si>
  <si>
    <t>Pries, A; Netburn, AN; Batchelor, H; Hermanson, VR</t>
  </si>
  <si>
    <t>Pries, Ashley; Netburn, Amanda N.; Batchelor, Heidi; Hermanson, Victoria R.</t>
  </si>
  <si>
    <t>A little bit of Sargassum goes a long way: seafloor observations of Sargassum fluitans and Sargassum natans in the Western Atlantic Ocean</t>
  </si>
  <si>
    <t>Sargassum; macroalgae; ocean exploration; carbon sequestration; algae blooms; Okeanos Explorer; deep seafloor</t>
  </si>
  <si>
    <t>PELAGIC SARGASSUM; CARBON</t>
  </si>
  <si>
    <t>The North Atlantic Ocean features high seasonal productivity of the brown seaweed Sargassum, which floats on the ocean surface and accumulates in large numbers in the Sargasso Sea. Sargassum blooms can stretch from the west coast of Africa to the Gulf of Mexico, and have created the largest seaweed blooms ever observed. Sargassum blooms have increased in intensity in recent years, and can negatively impact coastal communities when they wash up onshore in large quantities and decay. While seaweed sinking from surface waters to the seafloor may be an important carbon sink by removing carbon from the atmosphere, the magnitude of carbon sequestration by Sargassum and other macroalgae remains poorly understood. Given the magnitude of Sargassum blooms in the North Atlantic, they may pose a significant mechanism for carbon sequestration in the deep sea, though direct observations are rare. In this study, we documented the presence and distribution of Sargassum seaweed on the seafloor using video from ten remotely operated vehicle dives conducted on NOAA Ship Okeanos Explorer. Locations included sites in the Gulf of Mexico, in the Caribbean Sea, and off the Southeastern United States. Sargassum was observed in numbers ranging from 0 to over 112 per dive, and a frequency of between 0-11.23 observations for every 100 meters of horizontal distance. These observations suggest that Sargassum does make its way to the deep sea in potentially significant amounts. Natural systems like Sargassum sinking could serve as natural laboratories for understanding and managing seaweed burial as a climate mitigation strategy. Long-term monitoring of the fate of sunken Sargassum on the seabed is needed in order to determine how much is ultimately sequestered rather than recycled back into the system. Such observations would inform the feasibility of Sargassum farming and/or facilitated sinking as potential carbon dioxide removal strategies.</t>
  </si>
  <si>
    <t>[Pries, Ashley] Univ Calif San Diego UCSD, Scripps Inst Oceanog, Ctr Marine Biodivers &amp; Conservat, La Jolla, CA 92093 USA; [Netburn, Amanda N.] Natl Ocean &amp; Atmospher Adm NOAA, Off Ocean Explorat &amp; Res, Silver Spring, MD USA; [Batchelor, Heidi] Univ Calif San Diego UCSD, Scripps Inst Oceanog, Coastal Observing Res &amp; Dev Ctr, La Jolla, CA USA; [Hermanson, Victoria R.] Natl Ocean &amp; Atmospher Adm NOAA, Southwest Fisheries Sci Ctr, Antarctic Ecosyst Res Div, La Jolla, CA USA</t>
  </si>
  <si>
    <t>University of California System; University of California San Diego; Scripps Institution of Oceanography; National Oceanic Atmospheric Admin (NOAA) - USA; University of California System; University of California San Diego; Scripps Institution of Oceanography; National Oceanic Atmospheric Admin (NOAA) - USA</t>
  </si>
  <si>
    <t>Pries, A (corresponding author), Univ Calif San Diego UCSD, Scripps Inst Oceanog, Ctr Marine Biodivers &amp; Conservat, La Jolla, CA 92093 USA.</t>
  </si>
  <si>
    <t>apries@ucsd.edu</t>
  </si>
  <si>
    <t>NOAA Office of Ocean Exploration and Research</t>
  </si>
  <si>
    <t>NOAA Office of Ocean Exploration and Research(National Oceanic Atmospheric Admin (NOAA) - USA)</t>
  </si>
  <si>
    <t>This study used publicly-available data provided through NOAA Ocean Exploration and Research operations on NOAA Ship Okeanos Explorer. We thank the expedition coordinators, onboard science leads, ship crew, Global Foundation for Ocean Exploration ROV pilots, and other personnel who supported the expeditions considered in this study. We additionally thank Dr. Christopher Kelley for advising on the processing of CTD data. An early version of this study, Capstone paper A Little Bit of Sargassum Goes A Long Way: Observations and Mapping of Sargassum fluitans and Sargassum natans from NOAA Ship Okeanos Explorer's ROV Deep Discoverer was published online in 2020 through escholarship.org as part of a Master of Advanced Studies Capstone project at Scripps Institution of Oceanography (Pries, 2020). This study updates and expands upon the Capstone paper by reviewing and characterizing four additional dives.r Funding for field work was provided by NOAA Office of Ocean Exploration and Research.</t>
  </si>
  <si>
    <t>10.3389/fmars.2023.1250150</t>
  </si>
  <si>
    <t>CZ7N7</t>
  </si>
  <si>
    <t>WOS:001129118900001</t>
  </si>
  <si>
    <t>Letamendia, U; Navarro, F; Benjumea, B</t>
  </si>
  <si>
    <t>Letamendia, Unai; Navarro, Francisco; Benjumea, Beatriz</t>
  </si>
  <si>
    <t>Ground-penetrating radar as a tool for determining the interface between temperate and cold ice, and snow depth: a case study for Hurd-Johnsons glaciers, Livingston Island, Antarctica</t>
  </si>
  <si>
    <t>ANNALS OF GLACIOLOGY</t>
  </si>
  <si>
    <t>Ground-penetrating radar; ice thickness measurements; snow</t>
  </si>
  <si>
    <t>KING-GEORGE ISLAND; PENINSULA GLACIERS; THERMAL STRUCTURE; SURFACE-LAYER; HANSBREEN; CAP; STORGLACIAREN; VARIABILITY; SENSITIVITY; FORMULATION</t>
  </si>
  <si>
    <t>We analyze the internal structure of two polythermal glaciers, Hurd and Johnsons, located on Livingston Island, Antarctica, using 200 and 750 MHz GPR data collected in 2003/04, 2008/09 and 2016/17 field campaigns. Based on the different permittivities of snow and ice, we determined the thickness distribution of the end-of winter snow cover and of the cold ice layer. Their knowledge is fundamental for mass balance and glacier dynamics studies due to the different densities and rheological properties of such media. The average measured thicknesses for the snow and cold ice layers (the latter including the snow layer) were of 1.44 +/- 0.09 and 29.1 +/- 1.5 m, and their corresponding maxima were of 2.45 +/- 0.21 and 80.8 +/- 2.5 m. GPR snow profiling allowed for extension of the coverage of the snow thickness survey, but added little information to that supplied by snow pits, stake readings and manual snow probing, because of the multiplicity of reflections within the seasonal snowpack caused by internal ice layers and lenses. The polythermal structure determined for Hurd Glacier fits into the so-called Scandinavian type, seldom reported for the Antarctic region.</t>
  </si>
  <si>
    <t>[Letamendia, Unai; Navarro, Francisco] Univ Politecn Madrid, Dept Matemat Aplicada TIC, ETSI Telecomunicac, Madrid, Spain; [Benjumea, Beatriz] CSIC, Inst Gel &amp; Minero Espana, Madrid, Spain</t>
  </si>
  <si>
    <t>Universidad Politecnica de Madrid; Consejo Superior de Investigaciones Cientificas (CSIC)</t>
  </si>
  <si>
    <t>Letamendia, U (corresponding author), Univ Politecn Madrid, Dept Matemat Aplicada TIC, ETSI Telecomunicac, Madrid, Spain.</t>
  </si>
  <si>
    <t>unai.letamendia@upm.es</t>
  </si>
  <si>
    <t>Benjumea, Beatriz/L-5577-2014; Navarro, Francisco Jose/L-2941-2014</t>
  </si>
  <si>
    <t>Benjumea, Beatriz/0000-0002-0673-3411; Navarro, Francisco Jose/0000-0002-5147-0067; LETAMENDIA ANDRES, UNAI/0000-0002-7659-0006</t>
  </si>
  <si>
    <t>Agencia Estatal de Investigacion [PID2020-113051RB-C31]; MCIN/AEI [PRE2021-100049]; FSE+</t>
  </si>
  <si>
    <t>Agencia Estatal de Investigacion; MCIN/AEI; FSE+(European Social Fund (ESF))</t>
  </si>
  <si>
    <t>This research was funded by grant PID2020-113051RB-C31 from Agencia Estatal de Investigacion. UL was supported by grant PRE2021-100049 financed by MCIN/AEI/10.13039/501100011033 and by FSE+. We thank L. Copland (scientific editor) and two anonymous reviewers for their many suggestions, which greatly improved our manuscript.</t>
  </si>
  <si>
    <t>0260-3055</t>
  </si>
  <si>
    <t>1727-5644</t>
  </si>
  <si>
    <t>ANN GLACIOL</t>
  </si>
  <si>
    <t>Ann. Glaciol.</t>
  </si>
  <si>
    <t>10.1017/aog.2023.73</t>
  </si>
  <si>
    <t>Z8EQ4</t>
  </si>
  <si>
    <t>WOS:001114356100001</t>
  </si>
  <si>
    <t>Gwak, JH; Awala, SI; Kim, SJ; Lee, SH; Yang, EJ; Park, J; Jung, J; Rhee, SK</t>
  </si>
  <si>
    <t>Gwak, Joo-Han; Awala, Samuel Imisi; Kim, So-Jeong; Lee, Sang-Hoon; Yang, Eun-Jin; Park, Jisoo; Jung, Jinyoung; Rhee, Sung-Keun</t>
  </si>
  <si>
    <t>Transcriptomic Insights into Archaeal Nitrification in the Amundsen Sea Polynya, Antarctica</t>
  </si>
  <si>
    <t>JOURNAL OF MICROBIOLOGY</t>
  </si>
  <si>
    <t>Ammonia-oxidizing archaea; Metatranscriptomics; Polynya; Phytoplankton bloom</t>
  </si>
  <si>
    <t>AMMONIA-OXIDIZING ARCHAEA; SUMMER BACTERIOPLANKTON; PLANKTONIC ARCHAEA; STRESS-RESPONSE; ARCTIC-OCEAN; PHYTOPLANKTON; FLAVODOXIN; BACTERIAL; SEQUENCE; GENOME</t>
  </si>
  <si>
    <t>Antarctic polynyas have the highest Southern Ocean summer primary productivity, and due to anthropogenic climate change, these areas have formed faster recently. Ammonia-oxidizing archaea (AOA) are among the most ubiquitous and abundant microorganisms in the ocean and play a primary role in the global nitrogen cycle. We utilized metagenomics and metatranscriptomics to gain insights into the physiology and metabolism of AOA in polar oceans, which are associated with ecosystem functioning. A polar-specific ecotype of AOA, from the Candidatus Nitrosomarinus-like group, was observed to be dominant in the Amundsen Sea Polynya (ASP), West Antarctica, during a succession of summer phytoplankton blooms. AOA had the highest transcriptional activity among prokaryotes during the bloom decline phase (DC). Metatranscriptomic analysis of key genes involved in ammonia oxidation, carbon fixation, transport, and cell division indicated that this polar AOA ecotype was actively involved in nitrification in the bloom DC in the ASP. This study revealed the physiological and metabolic traits of this key polar-type AOA in response to phytoplankton blooms in the ASP and provided insights into AOA functions in polar oceans.</t>
  </si>
  <si>
    <t>[Gwak, Joo-Han; Awala, Samuel Imisi; Rhee, Sung-Keun] Chungbuk Natl Univ, Dept Biol Sci &amp; Biotechnol, Cheongju 28644, South Korea; [Kim, So-Jeong] Korea Inst Geosci &amp; Mineral Resources, Geol Environm Div, Daejeon 34132, South Korea; [Lee, Sang-Hoon; Yang, Eun-Jin; Park, Jisoo; Jung, Jinyoung] Korea Polar Res Inst, Incheon 21990, South Korea</t>
  </si>
  <si>
    <t>Chungbuk National University; Korea Institute of Geoscience &amp; Mineral Resources (KIGAM); Korea Polar Research Institute (KOPRI)</t>
  </si>
  <si>
    <t>Rhee, SK (corresponding author), Chungbuk Natl Univ, Dept Biol Sci &amp; Biotechnol, Cheongju 28644, South Korea.</t>
  </si>
  <si>
    <t>rhees@chungbuk.ac.kr</t>
  </si>
  <si>
    <t>Ministry of Education [2020R1A6A1A06046235]; Basic Science Research Program through the National Research Foundation of Korea (NRF) - Korean government (Ministry of Education) [2021R1A2C3004015, RS-2023-00213601]; NRF - Korean government [PJ01700703, PE23110]; National Institute of Agricultural Science, Ministry of Rural Development Administration, Republic of Korea</t>
  </si>
  <si>
    <t>Ministry of Education; Basic Science Research Program through the National Research Foundation of Korea (NRF) - Korean government (Ministry of Education)(Ministry of Education (MOE), Republic of KoreaNational Research Foundation of Korea); NRF - Korean government(Korean Government); National Institute of Agricultural Science, Ministry of Rural Development Administration, Republic of Korea</t>
  </si>
  <si>
    <t>This work was supported by the Basic Science Research Program through the National Research Foundation of Korea (NRF) funded by the Korean government (Ministry of Education) (2020R1A6A1A06046235), the NRF grants funded by the Korean government (Ministry of Science and ICT) (2021R1A2C3004015 and RS-2023-00213601), the National Institute of Agricultural Science, Ministry of Rural Development Administration, Republic of Korea (PJ01700703), and the Korea Polar Research Institute (PE23110). We thank the captain and crew members of the Korean research icebreaker Araon, for their outstanding assistance during the cruises.</t>
  </si>
  <si>
    <t>MICROBIOLOGICAL SOCIETY KOREA</t>
  </si>
  <si>
    <t>SEOUL</t>
  </si>
  <si>
    <t>KOREA SCIENCE &amp; TECHNOLOGY CENTER 803, 635-4 YEOGSAM-DONG, KANGNAM-KU, SEOUL 135-703, SOUTH KOREA</t>
  </si>
  <si>
    <t>1225-8873</t>
  </si>
  <si>
    <t>1976-3794</t>
  </si>
  <si>
    <t>J MICROBIOL</t>
  </si>
  <si>
    <t>J. Microbiol.</t>
  </si>
  <si>
    <t>NOV</t>
  </si>
  <si>
    <t>10.1007/s12275-023-00090-0</t>
  </si>
  <si>
    <t>CE8P3</t>
  </si>
  <si>
    <t>WOS:001115571300001</t>
  </si>
  <si>
    <t>Schoombie, S; Wilson, RP; Ryan, PG</t>
  </si>
  <si>
    <t>Schoombie, Stefan; Wilson, R. P.; Ryan, P. G.</t>
  </si>
  <si>
    <t>A novel approach to seabird posture estimation: finding roll and yaw angles of dynamic soaring albatrosses using tri-axial magnetometers</t>
  </si>
  <si>
    <t>ROYAL SOCIETY OPEN SCIENCE</t>
  </si>
  <si>
    <t>accelerometer; video camera; body angles; directional cosine matrix; dynamic soaring; seabird behaviour</t>
  </si>
  <si>
    <t>FLIGHT BEHAVIOR; WIND; FRONTIERS; DIRECTION; SPEEDS; TRACKS; BIRDS</t>
  </si>
  <si>
    <t>With advances in bio-logging technology, the posture of animals is now commonly described by inertial measurement units, which include tri-axial accelerometers to estimate pitch and roll angles. Many large seabirds use dynamic soaring flight to travel long distances, but this low-cost flight mode results in high centripetal acceleration, which obscures posture derived from accelerometers. Tri-axial magnetometers are not influenced by acceleration and might provide a way to estimate the posture of animals that experience high centripetal acceleration. We propose a new method to estimate the posture of dynamic soaring seabirds using tri-axial magnetometer data, with the assumption that they do not have large pitch angles during routine flight. This method was field-tested by deploying a combination of bio-logging devices on three albatross species breeding on Marion Island, using bird-borne video loggers to validate the roll angles. Validated data showed that the method worked well in most instances, but accuracy decreased when the heading was close to magnetic north or south. Accurate, fine-scale posture estimates may provide insight into dynamic soaring flight and allow estimates of fine-scale tracks using dead-reckoning, not only for seabirds, but potentially for other species where centripetal acceleration limits the use of accelerometers to estimate posture.</t>
  </si>
  <si>
    <t>[Schoombie, Stefan; Ryan, P. G.] Univ Cape Town, FitzPatrick Inst African Ornithol, DST NRF Ctr Excellence, ZA-7701 Rondebosch, South Africa; [Wilson, R. P.] Swansea Univ, Dept Biosci, Swansea SA1 8PP, Wales; [Schoombie, Stefan] Univ Cape Town, Dept Stat Sci, Ctr Stat Ecol Environm &amp; Conservat SEEC, Cape Town, South Africa</t>
  </si>
  <si>
    <t>University of Cape Town; National Research Foundation - South Africa; Swansea University; University of Cape Town</t>
  </si>
  <si>
    <t>Schoombie, S (corresponding author), Univ Cape Town, FitzPatrick Inst African Ornithol, DST NRF Ctr Excellence, ZA-7701 Rondebosch, South Africa.;Schoombie, S (corresponding author), Univ Cape Town, Dept Stat Sci, Ctr Stat Ecol Environm &amp; Conservat SEEC, Cape Town, South Africa.</t>
  </si>
  <si>
    <t>schoombie@gmail.com</t>
  </si>
  <si>
    <t>Ryan, Peter/0000-0002-3356-2056; Wilson, Rory/0000-0003-3177-0107</t>
  </si>
  <si>
    <t>FitzPatrick Institute Centre of Excellence; South African National Antarctic Programme, through the National Research Foundation; Alexander von Humboldt Foundation; German Ministry of Education and Research; AGNES Junior Researcher Grant 2021</t>
  </si>
  <si>
    <t>FitzPatrick Institute Centre of Excellence; South African National Antarctic Programme, through the National Research Foundation; Alexander von Humboldt Foundation(Alexander von Humboldt Foundation); German Ministry of Education and Research(Federal Ministry of Education &amp; Research (BMBF)); AGNES Junior Researcher Grant 2021</t>
  </si>
  <si>
    <t>Funding was provided by the FitzPatrick Institute Centre of Excellence and the South African National Antarctic Programme, through the National Research Foundation. S.S. was supported by the AGNES Junior Researcher Grant 2021 in collaboration with the Alexander von Humboldt Foundation and the German Ministry of Education and Research.</t>
  </si>
  <si>
    <t>2054-5703</t>
  </si>
  <si>
    <t>ROY SOC OPEN SCI</t>
  </si>
  <si>
    <t>R. Soc. Open Sci.</t>
  </si>
  <si>
    <t>DEC 6</t>
  </si>
  <si>
    <t>10.1098/rsos.231363</t>
  </si>
  <si>
    <t>LA5K3</t>
  </si>
  <si>
    <t>WOS:001184065900001</t>
  </si>
  <si>
    <t>Zhang, LW; Vance, TR; Fraser, AD; Jong, LM; Thompson, SS; Criscitiello, AS; Abram, NJ</t>
  </si>
  <si>
    <t>Zhang, Lingwei; Vance, Tessa R.; Fraser, Alexander D.; Jong, Lenneke M.; Thompson, Sarah S.; Criscitiello, Alison S.; Abram, Nerilie J.</t>
  </si>
  <si>
    <t>Identifying atmospheric processes favouring the formation of bubble-free layers in the Law Dome ice core, East Antarctica</t>
  </si>
  <si>
    <t>LATE-HOLOCENE CLIMATE; WAIS DIVIDE SITE; ERA-INTERIM; WEST ANTARCTICA; MELT LAYERS; SURFACE; RECORD; IMPACT; FIRN; SNOW</t>
  </si>
  <si>
    <t>Physical features preserved in ice cores may provide unique records about past atmospheric variability. Linking the formation and preservation of these features and the atmospheric processes causing them is key to their interpretation as palaeoclimate proxies. We imaged ice cores from Law Dome, East Antarctica, using an intermediate layer core scanner (ILCS) and found that thin bubble-free layers (BFLs) occur multiple times per year at this site. The origin of these features is unknown. We used a previously developed age-depth scale in conjunction with regional accumulation estimated from atmospheric reanalysis data (ERA5) to estimate the year and month that the BFLs occurred, and then we performed seasonal and annual analysis to reduce the overall dating errors. We then investigated measurements of snow surface height from a co-located automatic weather station to determine snow surface features co-occurring with BFLs, as well as their estimated occurrence date. We also used ERA5 to investigate potentially relevant local/regional atmospheric processes (temperature inversions, wind scour, accumulation hiatuses and extreme precipitation) associated with BFL occurrence. Finally, we used a synoptic typing dataset of the southern Indian and southwest Pacific oceans to investigate the relationship between large-scale atmospheric patterns and BFL occurrence. Our results show that BFLs occur (1) primarily in autumn and winter, (2) in conjunction with accumulation hiatuses &gt; 4 d, and (3) during synoptic patterns characterised by meridional atmospheric flow related to the episodic blocking and channelling of maritime moisture to the ice core site. Thus, BFLs may act as a seasonal marker (autumn/winter) and may indicate episodic changes in accumulation (such as hiatuses) associated with large-scale circulation. This study provides a pathway to the development of a new proxy for past climate in the Law Dome ice cores, specifically past snowfall conditions relating to synoptic variability over the southern Indian Ocean.</t>
  </si>
  <si>
    <t>[Zhang, Lingwei] Univ Tasmania, Inst Marine &amp; Antarctic Studies, Battery Point, Tas 7004, Australia; [Zhang, Lingwei; Vance, Tessa R.; Fraser, Alexander D.; Jong, Lenneke M.; Thompson, Sarah S.] Univ Tasmania, Inst Marine &amp; Antarctic Studies, Australian Antarctic Program Partnership, Battery Point, Tas 7004, Australia; [Jong, Lenneke M.] Australian Antarctic Div, Kingston 7050, Australia; [Criscitiello, Alison S.] Univ Alberta, Dept Earth &amp; Atmospher Sci, Edmonton, AB T6G 2R3, Canada; [Abram, Nerilie J.] Australian Natl Univ, Res Sch Earth Sci, Canberra, ACT 2601, Australia; [Abram, Nerilie J.] Australian Natl Univ, ARC Ctr Excellence Climate Extremes, Canberra, ACT 2601, Australia</t>
  </si>
  <si>
    <t>University of Tasmania; University of Tasmania; Australian Antarctic Division; University of Alberta; Australian National University; Australian National University</t>
  </si>
  <si>
    <t>Zhang, LW (corresponding author), Univ Tasmania, Inst Marine &amp; Antarctic Studies, Battery Point, Tas 7004, Australia.;Zhang, LW (corresponding author), Univ Tasmania, Inst Marine &amp; Antarctic Studies, Australian Antarctic Program Partnership, Battery Point, Tas 7004, Australia.</t>
  </si>
  <si>
    <t>lingwei.zhang@utas.edu.au</t>
  </si>
  <si>
    <t>Jong, Lenneke M/AAT-3230-2020</t>
  </si>
  <si>
    <t>Jong, Lenneke M/0000-0001-6707-570X; Abram, Nerilie/0000-0003-1246-2344; Criscitiello, Alison/0000-0002-8741-709X; Vance, Tessa/0000-0001-6970-8646</t>
  </si>
  <si>
    <t>Australian government as part of the Antarctic Science Collaboration Initiative programme; Australian Research Training scholarship; Australian Antarctic Program Partnership top-up scholarship; Australian Research Council Discovery Project [DP220100606]; Australian Antarctic Science projects [4414, 4537, 4061, 4062]</t>
  </si>
  <si>
    <t>Australian government as part of the Antarctic Science Collaboration Initiative programme(Australian Government); Australian Research Training scholarship; Australian Antarctic Program Partnership top-up scholarship; Australian Research Council Discovery Project(Australian Research Council); Australian Antarctic Science projects</t>
  </si>
  <si>
    <t>This project received support from the Australian government as part of the Antarctic Science Collaboration Initiative programme. Lingwei Zhang is supported by an Australian Research Training scholarship and an Australian Antarctic Program Partnership top-up scholarship. This work contributes to an Australian Research Council Discovery Project (DP220100606) and Australian Antarctic Science projects 4414, 4537, 4061 and 4062.</t>
  </si>
  <si>
    <t>10.5194/tc-17-5155-2023</t>
  </si>
  <si>
    <t>JC6C8</t>
  </si>
  <si>
    <t>WOS:001170986900001</t>
  </si>
  <si>
    <t>Mahadi, WSW; Wong, CMVL; Rodrigues, KF; Teoh, CP; Lindang, HU; Budiman, C</t>
  </si>
  <si>
    <t>Mahadi, Wan Shuhaida Wan; Wong, Clemente Michael Vui Ling; Rodrigues, Kenneth Francis; Teoh, Chui Peng; Lindang, Herman Umbau; Budiman, Cahyo</t>
  </si>
  <si>
    <t>Complete genome sequence data of an Antarctic bacterium Arthrobacter sp. EM1 from the freshwater lake of the King George Island</t>
  </si>
  <si>
    <t>Antarctica; Arthrobacter; Whole genome sequence; Cold-adapted bacteria</t>
  </si>
  <si>
    <t>Arthrobacter sp. EM1 is a cold-adapted bacterium isolated from the Antarctic region, which was known to exhibit mannan-degrading activity. Accordingly, this strain not only promises a cell factory for mannan-degrading enzymes, widely used in industry but also serves as a model organism to decipher its cold adaptation mechanism. Accordingly, whole genome sequencing of the EM1 strain was performed via Single Molecule Real Time sequencing under the PacBio platform, followed by genome HGAP de novo assembly and genome annotation through Rapid Annotation System Technology (RAST) server. The chromosome of this strain is 3,885,750 bp in size with a GC content of 65.8. The annotation predicted a total of 3607 protein-coding genes and 65 RNA genes, which were classified under 398 subsystems. The subsystem with the highest number of genes is carbohydrate metabolism (397 genes), which includes two genes encoding mannan-degrading enzymes (endoglucanase and alpha-mannosidase). This confirmed that the EM1 strain is able to produce cold-adapted mannan degrading enzymes. The complete genome sequence data have been submitted to the National Center for Biotechnology Information (NCBI) and have been deposited at GenBank (Bioproject ID Accession Number: PRJNA963062; Biosample ID Accession Number: SAMN34434776; GenBank: CP124836.1; https://www. ncbi.nlm.nih.gov/nuccore/CP124836).(c) 2023 The Author(s). Published by Elsevier Inc. This is an open access article under the CC BY license (http://creativecommons.org/licenses/by/4.0/)</t>
  </si>
  <si>
    <t>[Mahadi, Wan Shuhaida Wan; Wong, Clemente Michael Vui Ling; Rodrigues, Kenneth Francis; Teoh, Chui Peng; Lindang, Herman Umbau; Budiman, Cahyo] Univ Malaysia Sabah, Biotechnol Res Inst, Jalan UMS, Kota Kinabalu 88400, Sabah, Malaysia; [Lindang, Herman Umbau] Sarawak Trop Peat Res Inst, Lot 6035,Kuching Kota Samarahan Expressway, Kota Samarahan 94300, Sarawak, Malaysia</t>
  </si>
  <si>
    <t>Universiti Malaysia Sabah</t>
  </si>
  <si>
    <t>Budiman, C (corresponding author), Univ Malaysia Sabah, Biotechnol Res Inst, Jalan UMS, Kota Kinabalu 88400, Sabah, Malaysia.</t>
  </si>
  <si>
    <t>cahyo@ums.edu.my</t>
  </si>
  <si>
    <t>Lindang, Herman Umbau/AAW-3433-2021; Teoh, Chui Peng/AAM-9640-2021</t>
  </si>
  <si>
    <t>Lindang, Herman Umbau/0000-0002-0953-0601; Teoh, Chui Peng/0000-0003-1261-4600</t>
  </si>
  <si>
    <t>Universiti Malaysia Sabah [GUG0105-1/2017]</t>
  </si>
  <si>
    <t>This study is under the Research Grant of GUG0105-1/2017 of Universiti Malaysia Sabah .</t>
  </si>
  <si>
    <t>10.1016/j.dib.2023.109841</t>
  </si>
  <si>
    <t>DV6X8</t>
  </si>
  <si>
    <t>WOS:001134907600001</t>
  </si>
  <si>
    <t>Kang, S; Kim, S; Park, KC; Petrasiunas, A; Shin, HC; Jo, E; Cho, SM; Kim, JH</t>
  </si>
  <si>
    <t>Kang, Seunghyun; Kim, Sanghee; Park, Kye Chung; Petrasiunas, Andrius; Shin, Hyung Chul; Jo, Euna; Cho, Sung Mi; Kim, Ji Hee</t>
  </si>
  <si>
    <t>Molecular evidence for multiple origins and high genetic differentiation of non-native winter crane fly, Trichocera maculipennis (Diptera: Trichoceridae), in the maritime Antarctic</t>
  </si>
  <si>
    <t>Antarctica; Biological invasion; Winter crane fly; King George Island; Microsatellite analysis; mtDNA COI</t>
  </si>
  <si>
    <t>POPULATION-GENETICS; EVOLUTIONARY GENETICS; BIOLOGICAL INVASIONS; SOFTWARE; PROGRAM; CONSEQUENCES; CONSERVATION; TERRESTRIAL; KOREA</t>
  </si>
  <si>
    <t>Native biodiversity and ecosystems of Antarctica safeguarded from biological invasion face recent threats from non-native species, accelerated by increasing human activities and climate changes. Over two decades ago, the winter crane fly, Trichocera maculipennis, was first detected on King George Island. It has now successfully colonized several research stations across King George Island. To understand the origin, genetic diversity, and population structure of this Holarctic species, we conducted mitochondrial DNA cytochrome c oxidase subunit I (COI) sequence analysis across both its native and invasive ranges. In parallel, we performed microsatellite loci analysis within the invasive ranges, utilizing 12 polymorphic microsatellite markers. Furthermore, we compared body sizes among adult males and females collected from three different locations of King George Island. Our COI sequence analysis exhibited two different lineages present on King George Island. Lineage I was linked to Arctic Svalbard and Polish cave populations and Lineage II was related to Canadian Terra Nova National Park populations, implying multiple origins. Microsatellite analysis further exhibited high levels of genetic diversity and significant levels of genetic differentiation among invasive populations. Body sizes of adult T. maculipennis were significantly different among invasive populations but were not attributed to genetics. This significant genetic diversity likely facilitated the rapid colonization and establishment of T. maculipennis on King George Island, contributing to their successful invasion. Molecular analysis results revealed a substantial amount of genetic variation within invasive populations, which can serve as management units for invasive species control. Furthermore, the genetic markers we developed in the study will be invaluable tools for tracking impending invasion events and the travel routes of new individuals. Taken together, these findings illustrate the highly invasive and adaptable characteristics of T. maculipennis. Therefore, immediate action is necessary to mitigate their ongoing invasion and facilitate their eradication.</t>
  </si>
  <si>
    <t>[Kang, Seunghyun; Kim, Sanghee; Shin, Hyung Chul; Jo, Euna; Cho, Sung Mi; Kim, Ji Hee] Korea Polar Res Inst, Incheon 21990, South Korea; [Park, Kye Chung] New Zealand Inst Plant, Food Res Ltd, Christchurch 8140, New Zealand; [Petrasiunas, Andrius] Vilnius Univ Life Sci Ctr, Inst Biosci, Dept Zool, LT-1022 Vilnius, Lithuania; [Kim, Ji Hee] Korea Polar Res Inst, 26 Songdomirae Ro, Incheon, South Korea</t>
  </si>
  <si>
    <t>Korea Polar Research Institute (KOPRI); Korea Polar Research Institute (KOPRI)</t>
  </si>
  <si>
    <t>Kim, JH (corresponding author), Korea Polar Res Inst, 26 Songdomirae Ro, Incheon, South Korea.</t>
  </si>
  <si>
    <t>jhalgae@kopri.re.kr</t>
  </si>
  <si>
    <t>Petrasiunas, Andrius/0000-0003-3270-3694; Jo, Euna/0000-0003-2666-6743; Park, Kye Chung/0000-0002-4932-2292; Cho, Sung Mi/0000-0001-5414-7727</t>
  </si>
  <si>
    <t>Korea Polar Research Institute (KOPRI) [PE23170, PE23140]</t>
  </si>
  <si>
    <t>Korea Polar Research Institute (KOPRI)(Korea Polar Research Institute of Marine Research Placement (KOPRI))</t>
  </si>
  <si>
    <t>We thank Frei Base, Escudero Base, Bellingshausen Station and Artigas Base for accommodating sampling of test insects. This research benefited from the joint monitoring program of non-native flies in King George Island and was supported by the Korea Polar Research Institute (KOPRI, PE23170 and PE23140).</t>
  </si>
  <si>
    <t>10.1016/j.envres.2023.117636</t>
  </si>
  <si>
    <t>DV9T7</t>
  </si>
  <si>
    <t>WOS:001134981800001</t>
  </si>
  <si>
    <t>Olgun, N; Tari, U; Balci, N; Altunkaynak, S; Gürarslan, I; Yakan, SD; Thalasso, F; Astorga-España, MS; Cabrol, L; Lavergne, C; Hoffmann, L</t>
  </si>
  <si>
    <t>Olgun, Nazli; Tari, Ufuk; Balci, Nurgul; Altunkaynak, Safak; Gurarslan, Isil; Yakan, Sevil Deniz; Thalasso, Frederic; Astorga-Espana, Maria Soledad; Cabrol, Lea; Lavergne, Celine; Hoffmann, Linn</t>
  </si>
  <si>
    <t>Lithological controls on lake water biogeochemistry in Maritime Antarctica</t>
  </si>
  <si>
    <t>Antarctica; King George Island; Phytoplankton; Lake; Lithology; Leaching; Nutrients</t>
  </si>
  <si>
    <t>SOUTH SHETLAND ISLANDS; KING GEORGE ISLAND; FRESH-WATER; FILDES PENINSULA; CLIMATE-CHANGE; GEOCHEMISTRY; PHOSPHORUS; GROWTH; ARC</t>
  </si>
  <si>
    <t>Although the Antarctic lakes are of great importance for the climate and the carbon cycle, the lithological influences on the input of elements that are necessary for phytoplankton in lakes have so far been insufficiently investigated. To address this issue, we analyzed phytoplankton cell concentrations and chemical compositions of water samples from lakes, ponds and a stream on Fildes and Ardley Islands of King George Island in the South Shetland Archipelago. Furthermore, lake sediments, as well as soil and rock samples collected from the littoral zone were analyzed for their mineralogical/petrographic composition and pollutant contents of polycyclic aromatic hydrocarbons (PAHs). In addition, leaching experiments were carried out to with the lithologic samples to investigate the possible changes in pH, alkalinity, macronutrients (N, P, Si), micronutrients (e.g. Fe, Zn, Cu, Mn), anions (S, F, Br), and other cations (e.g. Na, K, Mg, Ca, Al, Ti, V, Cr, Co, Ni, As, Se, Pb, Sb, Mo, Ag, Cd, Sn, Ba, Tl, B). Our results showed that phytoplankton levels varied between 15 and 206 cells/mL. Chlorophyll-a concentrations showed high correlations with NH4, NO3. The low levels of PO4 (&lt;0.001 mg/L) indicated a possible P-limitation in the studied lakes. The composition of rock samples ranged from basalt to trachybasalt with variable major oxide (e.g. SiO2, Na2O and K2O) contents and consist mainly quartz, albite, calcite, dolomite and zeolite minerals. The concentrations of total PAHs were below the toxic threshold levels (9.55-131.25 ng g(-1) dw). Leaching experiments with lithologic samples indicated major increase in pH (up to 9.77 +/- 0.02) and nutrients, especially PO4 (1.03 +/- 0.04 mg/L), indicating a strong P-fertilization impact in increased melting scenarios. Whereas, toxic elements such as Pb, Cu, Cd, Al and As were also released from the lithology, which may reduce the phytoplankton growth.</t>
  </si>
  <si>
    <t>[Olgun, Nazli] Istanbul Tech Univ, Eurasia Inst Earth Sci, TR-34469 Istanbul, Turkiye; [Tari, Ufuk; Altunkaynak, Safak; Gurarslan, Isil] Istanbul Tech Univ, Fac Mines, Dept Geol Engn, TR-34469 Istanbul, Turkiye; [Balci, Nurgul] Istanbul Tech Univ, Dept Geol Engn, Biogeochem Lab, Istanbul, Turkiye; [Yakan, Sevil Deniz] Istanbul Tech Univ, Fac Naval Architecture &amp; Ocean Engn, TR-34469 Istanbul, Turkiye; [Thalasso, Frederic] Cinvestav, Ctr Invest &amp; Estudios Avanzados, Dept Biotecnol &amp; Bioingn,IPN, Ave IPN 2508, Mexico City 07360, DF, Mexico; [Astorga-Espana, Maria Soledad] Univ Magallanes, Environm Biogeochem Lab, Punta Arenas, Chile; [Cabrol, Lea] Aix Marseille Univ, Mediterranean Inst Oceanog, UMR 110, CNRS,IRD, Marseille, France; [Lavergne, Celine] Univ Playa Ancha, HUB Ambiental UPLA, Subida Leopoldo Carvallo 207, Valparaiso 234000, Chile; [Lavergne, Celine] Univ Playa Ancha, Lab Aquat Environm Res LACER, Subida Leopoldo Carvallo 207, Valparaiso 234000, Chile; [Hoffmann, Linn] Univ Otago, Dept Bot, POB 56, Dunedin 9016, New Zealand; [Thalasso, Frederic] Univ Magallanes, Cape Horn Int Ctr, Punta Arenas, Chile; [Cabrol, Lea] Millennium Inst Biodivers Antarctic &amp; Subantarctic, Santiago, Chile</t>
  </si>
  <si>
    <t>Istanbul Technical University; Istanbul Technical University; Istanbul Technical University; Istanbul Technical University; CINVESTAV - Centro de Investigacion y de Estudios Avanzados del Instituto Politecnico Nacional; Instituto Politecnico Nacional - Mexico; Universidad de Magallanes; Centre National de la Recherche Scientifique (CNRS); Aix-Marseille Universite; Institut de Recherche pour le Developpement (IRD); Universidad de Playa Ancha; Universidad de Playa Ancha; University of Otago; Universidad de Magallanes</t>
  </si>
  <si>
    <t>Olgun, N (corresponding author), Istanbul Tech Univ, Eurasia Inst Earth Sci, TR-34469 Istanbul, Turkiye.</t>
  </si>
  <si>
    <t>nokiyak@itu.edu.tr</t>
  </si>
  <si>
    <t>Kıyak, Nazlı Olğun/L-1672-2018; Thalasso, Frederic/E-1403-2011; Altunkaynak, Şafak/O-2073-2013; Yakan, Sevil Deniz/ABA-7426-2020</t>
  </si>
  <si>
    <t>Kıyak, Nazlı Olğun/0000-0002-9863-812X; Thalasso, Frederic/0000-0003-2246-2372; Altunkaynak, Şafak/0000-0002-5652-4802; Yakan, Sevil Deniz/0000-0003-2493-680X; Guraslan, Isil Nur/0000-0003-4092-5115</t>
  </si>
  <si>
    <t>Scientific and Technological Research Council of Trkiye (TBIbull;TAK) [118Y372]; Scientific and Technological Research Council of Turkiye (TUEBITAK) [118Y372]; Istanbul Technical University (ITU-BAP-Link2-Project) [40265]; Instituto Antartico Chileno (INACH) [RT-14-15]; Chilean grant ANID FONDECYT [3180374]; INACH [FP_07-18]; Ministry of Industry and Technology</t>
  </si>
  <si>
    <t>Scientific and Technological Research Council of Trkiye (TBIbull;TAK); Scientific and Technological Research Council of Turkiye (TUEBITAK); Istanbul Technical University (ITU-BAP-Link2-Project); Instituto Antartico Chileno (INACH); Chilean grant ANID FONDECYT; INACH; Ministry of Industry and Technology</t>
  </si>
  <si>
    <t>This study was funded by the The Scientific and Technological Research Council of Turkiye (TUEBITAK) Project #118Y372. Field expenses of N. Olgun were supported by Istanbul Technical University (ITU-BAP-Link2-Project #40265). F. Thalasso, M. S. Astorga-Espana, L. Cabrol, and C. Lavergne were supported by the Instituto Antartico Chileno (INACH) Project RT-14-15. C. Lavergne was also funded by the Chilean grant ANID FONDECYT #3180374 and the INACH project FP_07-18. We thank M. A. Kurt for ICP-MS measurements, Ezgi Tok and Cansu Demirel for assistance in leaching experiments, Yagmur Guenes for her assistance in XRD measurements, and Nadjejda Espinel-Velasco for assistance in phytoplankton cell count. We further thank Prof. Dr. Jose Retamales, the INACH team in the Chilean Station Julio Escudero and Prof. Dr. Burcu Ozsoy, and the ITU-POLREC team for their logistic support. This study was carried out under the auspices of the Presidency of The Republic of Turkiye, supported by the Ministry of Industry and Technology, and coordinated by TUEBITAK MAM Polar Research Institute.</t>
  </si>
  <si>
    <t>10.1016/j.scitotenv.2023.168562</t>
  </si>
  <si>
    <t>DU8S5</t>
  </si>
  <si>
    <t>WOS:001134692200001</t>
  </si>
  <si>
    <t>Müller, SJ; Pakhomov, EA; Urso, I; Sales, G; De Pittà, C; Michael, K; Meyer, B</t>
  </si>
  <si>
    <t>Mueller, Svenja J.; Pakhomov, Evgeny A.; Urso, Ilenia; Sales, Gabriele; De Pitta, Cristiano; Michael, Katharina; Meyer, Bettina</t>
  </si>
  <si>
    <t>Gene expression patterns of Salpa thompsoni reveal remarkable differences in metabolism and reproduction near the Antarctic Polar Front</t>
  </si>
  <si>
    <t>BIOLOGY LETTERS</t>
  </si>
  <si>
    <t>Salpa thompsoni; salps; reproduction; metabolism; environmental conditions; differential gene expression analysis</t>
  </si>
  <si>
    <t>SOUTHERN-OCEAN SALP; ATLANTIC SECTOR; ANGIOGENESIS; EXPORT; KRILL; COLD</t>
  </si>
  <si>
    <t>Salpa thompsoni is an important grazer in the Southern Ocean and most abundant in the Antarctic Polar Front (APF) region. During recent decades, their distribution expanded southwards. However, it is unclear whether salps can maintain their populations in the high Antarctic regions throughout the year owing to a poor understanding of their physiological responses to changing environmental conditions. We examined gene expression signatures of salps collected in two geographically close regions south of the APF that differed in water mass composition and productivity. The observed differences in the expression of genes related to reproductive, cellular and metabolic processes reflect variations in water temperature and food supply between the two regions studied here. Our study contributes to a better understanding of the physiological responses of S. thompsoni to changing environmental conditions, and how the species may adapt to a changing environment through potential geographical population shifts under future climate change scenarios.</t>
  </si>
  <si>
    <t>[Mueller, Svenja J.; Michael, Katharina; Meyer, Bettina] Carl Von Ossietzky Univ Oldenburg, Inst Chem &amp; Biol Marine Environm, Oldenburg, Germany; [Mueller, Svenja J.; Michael, Katharina; Meyer, Bettina] Alfred Wegener Inst, Sci Div Polar Biol Oceanog, Helmholtz Ctr Polar &amp; Marine Res, Bremerhaven, Germany; [Pakhomov, Evgeny A.] Univ British Columbia, Dept Earth Ocean &amp; Atmospher Sci, Vancouver, BC, Canada; [Pakhomov, Evgeny A.] Univ British Columbia, Inst Oceans &amp; Fisheries, Vancouver, BC, Canada; [Urso, Ilenia; Sales, Gabriele; De Pitta, Cristiano] Univ Padua, Dept Biol, Padua, Italy; [Meyer, Bettina] Carl von Ossietzky Univ Oldenburg, Helmholtz Inst Funct Marine Biodivers HIFMB, Oldenburg, Germany</t>
  </si>
  <si>
    <t>Carl von Ossietzky Universitat Oldenburg; Helmholtz Association; Alfred Wegener Institute, Helmholtz Centre for Polar &amp; Marine Research; University of British Columbia; University of British Columbia; University of Padua; Carl von Ossietzky Universitat Oldenburg</t>
  </si>
  <si>
    <t>Müller, SJ; Meyer, B (corresponding author), Carl Von Ossietzky Univ Oldenburg, Inst Chem &amp; Biol Marine Environm, Oldenburg, Germany.;Müller, SJ; Meyer, B (corresponding author), Alfred Wegener Inst, Sci Div Polar Biol Oceanog, Helmholtz Ctr Polar &amp; Marine Res, Bremerhaven, Germany.;Meyer, B (corresponding author), Carl von Ossietzky Univ Oldenburg, Helmholtz Inst Funct Marine Biodivers HIFMB, Oldenburg, Germany.</t>
  </si>
  <si>
    <t>svenja.julica.mueller@uni-oldenburg.de; bettina.meyer@awi.de</t>
  </si>
  <si>
    <t>De Pitta, Cristiano/AAY-7302-2020</t>
  </si>
  <si>
    <t>De Pitta, Cristiano/0000-0001-8013-8162; Urso, Ilenia/0000-0002-6439-6943; Muller, Svenja Julica/0000-0002-7078-9700; Michael, Katharina/0000-0002-1630-045X; Meyer, Bettina/0000-0001-6804-9896</t>
  </si>
  <si>
    <t>German Ministry for Education and Research (BMBF)</t>
  </si>
  <si>
    <t>German Ministry for Education and Research (BMBF)(Federal Ministry of Education &amp; Research (BMBF))</t>
  </si>
  <si>
    <t>We thank the captain and crew of RV Polarstern for providing salp samples and environmental data from the cruise ANTXXVIII/3.</t>
  </si>
  <si>
    <t>1744-9561</t>
  </si>
  <si>
    <t>1744-957X</t>
  </si>
  <si>
    <t>BIOL LETTERS</t>
  </si>
  <si>
    <t>Biol. Lett.</t>
  </si>
  <si>
    <t>10.1098/rsbl.2023.0274</t>
  </si>
  <si>
    <t>Biology; Ecology; Evolutionary Biology</t>
  </si>
  <si>
    <t>Life Sciences &amp; Biomedicine - Other Topics; Environmental Sciences &amp; Ecology; Evolutionary Biology</t>
  </si>
  <si>
    <t>Z8JV7</t>
  </si>
  <si>
    <t>WOS:001114491400001</t>
  </si>
  <si>
    <t>Zhang, W; Hao, Q; Zhu, J; Deng, YJ; Xi, MN; Cai, YM; Liu, CG; Zhai, HC; Le, FF</t>
  </si>
  <si>
    <t>Zhang, Wei; Hao, Qiang; Zhu, Jie; Deng, Yangjie; Xi, Maonian; Cai, Yuming; Liu, Chenggang; Zhai, Hongchang; Le, Fengfeng</t>
  </si>
  <si>
    <t>Nanoplanktonic diatom rapidly alters sinking velocity via regulating lipid content and composition in response to changing nutrient concentrations</t>
  </si>
  <si>
    <t>sinking rate; nutrient limitation; lipid accumulation and remodeling; nanoplanktonic diatom; phaeodactylum tricornutum; biological carbon pump</t>
  </si>
  <si>
    <t>PHYTOPLANKTON; CARBON; PHOSPHORUS; PARTICLES; GROWTH; NITRATE; ZOOPLANKTON; LIMITATION; TRANSPORT; BUOYANCY</t>
  </si>
  <si>
    <t>Diatom sinking plays a crucial role in the global carbon cycle, accounting for approximately 40% of marine particulate organic carbon export. While oceanic models typically represent diatoms as microphytoplankton (&gt; 20 mu m), it is important to recognize that many diatoms fall into the categories of nanophytoplankton (2-20 mu m) and picophytoplankton (&lt; 2 mu m). These smaller diatoms have also been found to significantly contribute to carbon export. However, our understanding of their sinking behavior and buoyancy regulation mechanisms remains limited. In this study, we investigate the sinking behavior of a nanoplanktonic diatom, Phaeodactylum tricornutum (P. tricornutum), which exhibits rapid changes in sinking behavior in response to varying nutrient concentrations. Our results demonstrate that a higher sinking rate is observed under phosphate limitation and depletion. Notably, in phosphate depletion, the sinking rate of P. tricornutum was 0.79 +/- 0.03 m d(-1), nearly three times that of the previously reported sinking rates for Skeletonema costatum, Ditylum brightwellii, and Chaetoceros gracile. Furthermore, during the first 6 h of phosphate spike, the sinking rate of P. tricornutum remained consistently high. After 12 h of phosphate spike, the sinking rate decreased to match that of the phosphate repletion phase, only to increase again over the next 12 hours due to phosphate depletion. This rapid sinking behavior contributes to carbon export and potentially allows diatoms to exploit nutrient-rich patches when encountering increased nutrient concentrations. We also observed a significant positive correlation (P&lt; 0.001) between sinking rate and lipid content (R = 0.91) during the phosphate depletion and spike experiment. It appears that P. tricornutum regulates its sinking rate by increasing intracellular lipid content, particularly digalactosyldiacylglycerol, hexosyl ceramide, monogalactosyldiacylglycerol, and triglycerides. Additionally, P. tricornutum replaces phospholipids with more dense membrane sulfolipids, such as sulfoquinovosyldiacylglycerol under phosphate shortage. These findings shed light on the intricate relationship between nutrient availability, sinking behavior, and lipid composition in diatoms, providing insights into their adaptive strategies for carbon export and nutrient utilization.</t>
  </si>
  <si>
    <t>[Zhang, Wei; Hao, Qiang; Zhu, Jie; Deng, Yangjie; Xi, Maonian; Cai, Yuming; Liu, Chenggang; Zhai, Hongchang; Le, Fengfeng] Minist Nat Resources, Inst Oceanog 2, Hangzhou, Peoples R China; [Zhang, Wei; Hao, Qiang; Zhu, Jie; Deng, Yangjie; Xi, Maonian; Cai, Yuming; Liu, Chenggang; Zhai, Hongchang; Le, Fengfeng] Minist Nat Resources, Key Lab Marine Ecosyst Dynam, Hangzhou, Peoples R China; [Zhang, Wei] Minist Nat Resources, Inst Oceanog 2, Key Lab Nearshore Engn Environm &amp; Ecol Secur Zheji, Zhoushan, Peoples R China; [Hao, Qiang] Minist Nat Resources, Inst Oceanog 2, State Key Lab Satellite Ocean Environm Dynam, Hangzhou, Peoples R China; [Zhu, Jie] Zhejiang Univ, Ocean Coll, Zhoushan, Peoples R China</t>
  </si>
  <si>
    <t>Ministry of Natural Resources of the People's Republic of China; Ministry of Natural Resources of the People's Republic of China; Ministry of Natural Resources of the People's Republic of China; Ministry of Natural Resources of the People's Republic of China; Zhejiang University</t>
  </si>
  <si>
    <t>Hao, Q (corresponding author), Minist Nat Resources, Inst Oceanog 2, Hangzhou, Peoples R China.;Hao, Q (corresponding author), Minist Nat Resources, Key Lab Marine Ecosyst Dynam, Hangzhou, Peoples R China.;Hao, Q (corresponding author), Minist Nat Resources, Inst Oceanog 2, State Key Lab Satellite Ocean Environm Dynam, Hangzhou, Peoples R China.</t>
  </si>
  <si>
    <t>haoq@sio.org.cn</t>
  </si>
  <si>
    <t>Open Foundation of Donghai Laboratory [DH-2022KF0215]; Impact and Response of Antarctic Seas to Climate Change Project [IRASCC 01-02-01A]; Zhejiang Provincial Ten Thousand Talents Plan [2020R52038]; United Nations Ocean Decade Project of The Exchange Between Kuroshio and Marginal Sea and Its Ecological Effect</t>
  </si>
  <si>
    <t>Open Foundation of Donghai Laboratory; Impact and Response of Antarctic Seas to Climate Change Project; Zhejiang Provincial Ten Thousand Talents Plan; United Nations Ocean Decade Project of The Exchange Between Kuroshio and Marginal Sea and Its Ecological Effect</t>
  </si>
  <si>
    <t>The author(s) declare financial support was received for the research, authorship, and/or publication of this article. This study was funded by the Open Foundation of Donghai Laboratory (Grant No. DH-2022KF0215), the Impact and Response of Antarctic Seas to Climate Change Project (IRASCC 01-02-01A), the Zhejiang Provincial Ten Thousand Talents Plan (Grant No. 2020R52038), and the United Nations Ocean Decade Project of The Exchange Between Kuroshio and Marginal Sea and Its Ecological Effect.</t>
  </si>
  <si>
    <t>10.3389/fmars.2023.1255915</t>
  </si>
  <si>
    <t>CU7H2</t>
  </si>
  <si>
    <t>WOS:001127810800001</t>
  </si>
  <si>
    <t>Hughes, LE; Ahyong, ST; Berents, PB</t>
  </si>
  <si>
    <t>Hughes, Lauren Elizabeth; Ahyong, Shane T.; Berents, Penelope B.</t>
  </si>
  <si>
    <t>The Contribution of J. K. Lowry (1942-2021) to Amphipod Systematics: New and Revisionary Taxonomy</t>
  </si>
  <si>
    <t>RECORDS OF THE AUSTRALIAN MUSEUM</t>
  </si>
  <si>
    <t>Amphipoda; Jim Lowry; systematics; taxonomy</t>
  </si>
  <si>
    <t>AUSTRALIAN WATERS CRUSTACEA; NEW-SOUTH-WALES; NEW-SPECIES CRUSTACEA; GREAT-BARRIER-REEF; SUB-ANTARCTIC ISLANDS; NOV. SP. NOV.; TALITRID GENUS; NEW-ZEALAND; GAMMARIDEAN AMPHIPODA; WESTERN-AUSTRALIA</t>
  </si>
  <si>
    <t>. James K. Lowry (1942-2021) was one of the most prolific crustacean taxonomists of the late 20th through early 21st century, authoring some 214 publications over a period of some 55 years in which he named some 800 new taxa including 5 suborders, 62 families, 129 genera, and 548 species of primarily amphipod crustaceans. The present work provides a complete list of Jim Lowry's scientific publications along with the new taxa that he described therein.</t>
  </si>
  <si>
    <t>[Hughes, Lauren Elizabeth] Nat Hist Museum, London Cromwell Rd, London SW7 5BD, England; [Ahyong, Shane T.; Berents, Penelope B.] Australian Museum, Australian Museum Res Inst, 1 William St, Sydney, NSW 2010, Australia; [Ahyong, Shane T.] Univ New South Wales, Sch Biol Earth &amp; Environm Sci, Kensington, NSW 2052, Australia</t>
  </si>
  <si>
    <t>Natural History Museum London; Australian Museum; University of New South Wales Sydney</t>
  </si>
  <si>
    <t>Hughes, LE (corresponding author), Nat Hist Museum, London Cromwell Rd, London SW7 5BD, England.</t>
  </si>
  <si>
    <t>l.hughes@nhm.ac.uk</t>
  </si>
  <si>
    <t>Berents, Penelope/JAX-2512-2023</t>
  </si>
  <si>
    <t>Berents, Penelope/0000-0002-1560-3141; Hughes, Lauren Elizabeth/0000-0002-5679-1732</t>
  </si>
  <si>
    <t>AUSTRALIAN MUSEUM</t>
  </si>
  <si>
    <t>SYDNEY</t>
  </si>
  <si>
    <t>6 COLLEGE ST, SYDNEY, NSW 2010, AUSTRALIA</t>
  </si>
  <si>
    <t>0067-1975</t>
  </si>
  <si>
    <t>REC AUST MUS</t>
  </si>
  <si>
    <t>Rec. Aust. Mus.</t>
  </si>
  <si>
    <t>10.3853/j.2201-4349.75.2023.1874</t>
  </si>
  <si>
    <t>AM6L9</t>
  </si>
  <si>
    <t>WOS:001118921300001</t>
  </si>
  <si>
    <t>Schulreich, MM; Feige, J; Breitschwerdt, D</t>
  </si>
  <si>
    <t>Schulreich, M. M.; Feige, J.; Breitschwerdt, D.</t>
  </si>
  <si>
    <t>Numerical studies on the link between radioisotopic signatures on Earth and the formation of the Local BubbleII. Advanced modelling of interstellar 26Al, 53Mn, 60Fe, and 244Pu influxes as traces of past supernova activity in the solar neighbourhood</t>
  </si>
  <si>
    <t>ASTRONOMY &amp; ASTROPHYSICS</t>
  </si>
  <si>
    <t>ISM: bubbles; ISM: supernova remnants; ISM: abundances; solar neighborhood; hydrodynamics; methods: numerical</t>
  </si>
  <si>
    <t>M-CIRCLE-DOT; RESOLVED STELLAR POPULATIONS; RAYLEIGH-TAYLOR INSTABILITY; PARSEC EVOLUTIONARY TRACKS; LOADED ASTRONOMICAL FLOWS; INITIAL MASS FUNCTION; GIANT BRANCH PHASE; MAGNETIC-FIELDS; HALF-LIFE; LOOP-I</t>
  </si>
  <si>
    <t>Context. Measurements of long-lived radioisotopes, which have grown rapidly in quantity and sensitivity over the last few years, provide a means, completely independent of other observational channels, to draw conclusions about near-Earth supernovae (SNe) and thus the origin of the Local Bubble (LB), our Galactic habitat. First and foremost in this context is 60Fe, which has already been detected across the Earth and on the Moon.Aims. The present study constitutes a significant step in further refining the coherent picture of the formation of the LB, constrained by radioisotopic anomalies, that we have drawn earlier and is based on the most sophisticated initial conditions determined to date.Methods. Using Ga &amp; igrave;a EDR3, we identified 14 SN explosions, with 13 occurring in Upper Centaurus-Lupus and Lower Centaurus-Crux, and one in V1062 Sco, all being subgroups of the Scorpius-Centaurus OB association. The timing of these explosions was obtained by us through interpolation of modern rotating stellar evolution tracks via the initial masses of the already exploded massive stars. We further developed a new Monte Carlo-type approach for deriving the trajectories of the SN progenitors, utilising a plethora of test-particle simulations in a realistic Milky Way potential and selecting explosion sites based on maximum values in six-dimensional phase-space probability distributions constructed from the simulations. We then performed high-resolution three-dimensional hydrodynamic simulations based on these initial conditions to explore the evolution of the LB in an inhomogeneous local interstellar medium and the transport of radioisotopes to Earth. The simulations include the effects of age- and initial mass-dependent stellar winds from the SN progenitors and additional radioisotopes (Al-26, Mn-53, and Pu-244) besides 60Fe using wind-derived and explosive yields from rotating models.Results. From our modelling of the LB, we find for our main results that (i) our simulations are consistent with measurements of Fe-60, in particular, a peak 2-3 Myr before present, as well as Al-26, Mn-53, and Pu-244 data; (ii) stellar winds contribute to the distribution of radioisotopes and also to the dynamics of the LB; (iii) the Solar System (SS) entered the LB about 4.6 Myr ago; and (iv) the recent influx of Fe-60, discovered in Antarctic snow and deep-sea sediments, can be naturally explained by turbulent radioisotopic transport (in dust grains) mainly originating from the SN explosions and from the shock waves reflected at the LB shell.Conclusions. Our simulations not only support the recent hypothesis that the LB triggered star formation in the solar vicinity through its expansion, but they also suggest that the second, separate Fe-60 peak measured at 6-9 Myr ago was generated by the passage of the SS through a neighbouring superbubble (SB), possibly the Orion-Eridanus SB, prior to its current residence in the LB.</t>
  </si>
  <si>
    <t>[Schulreich, M. M.; Feige, J.; Breitschwerdt, D.] Tech Univ Berlin, Zentrum Astron &amp; Astrophys, Hardenbergstr 36, D-10623 Berlin, Germany; [Feige, J.] Leibniz Inst Evolut Biodiversitatsforsch, Museum Naturkunde, Invalidenstr 43, D-10115 Berlin, Germany</t>
  </si>
  <si>
    <t>Technical University of Berlin; Leibniz Institut fur Evolutions und Biodiversitatsforschung</t>
  </si>
  <si>
    <t>Schulreich, MM (corresponding author), Tech Univ Berlin, Zentrum Astron &amp; Astrophys, Hardenbergstr 36, D-10623 Berlin, Germany.</t>
  </si>
  <si>
    <t>schulreich@astro.physik.tu-berlin.de</t>
  </si>
  <si>
    <t>Schulreich, Michael/0000-0001-7761-9766</t>
  </si>
  <si>
    <t>National Aeronautics and Space Administration; National Science Foundation; European Union (ERC, NoSHADE) [101077668]; European Research Council (ERC) [101077668] Funding Source: European Research Council (ERC)</t>
  </si>
  <si>
    <t>National Aeronautics and Space Administration(National Aeronautics &amp; Space Administration (NASA)); National Science Foundation(National Science Foundation (NSF)); European Union (ERC, NoSHADE); European Research Council (ERC)(European Research Council (ERC)Spanish Government)</t>
  </si>
  <si>
    <t>We are particularly indebted to Kevin Luhman for helpful correspondences and for sharing with us supplementary data from his Sco-Cen analysis. We thank Maurice Kuenicke for his extensive preliminary work with the galpy package, Victoria Herpel for her preliminary kinematic and photometric analysis of nearby young stellar associations using Gaia DR2 to identify past SNe, and Emre Elmali for assisting in the preparation of the test-particle simulations. We are grateful to Thomas Faestermann, Gunther Korschinek, and Toni Wallner for answering our questions about their data. We acknowledge enlightening conversations with Jo &amp; atilde;o Alves, Adrienne Ertel, Josefa Gro ss schedl, Hendrik Heinl, Dominik Koll, Jonathan Mackey, Britton Smith, Allard Jan van Marle, and Catherine Zucker. This work has made use of data from the European Space Agency (ESA) mission Gaia (https://www.cosmos.esa.int/gaia), processed by the Gaia Data Processing and Analysis Consortium (DPAC, https://www.cosmos.esa.int/web/gaia/dpac/consortium). Funding for the DPAC has been provided by national institutions, in particular the institutions participating in the Gaia Multilateral Agreement. This publication has made use of data products from the Two Micron All Sky Survey, which is a joint project of the University of Massachusetts and the Infrared Processing and Analysis Center/California Institute of Technology, funded by the National Aeronautics and Space Administration and the National Science Foundation. This research made use of yt, a toolkit for analysing and visualising quantitative data (Turk et al. 2011). J.F. acknowledges funding by the European Union (ERC, NoSHADE, 101077668). Views and opinions expressed are however those of the author(s) only and do not necessarily reflect those of the European Union or the European Research Council Executive Agency. Neither the European Union nor the granting authority can be held responsible for them. Author contributions: M.M.S. thought up the extensions and improvements of the original LB model invented by D.B., performed and analysed all numerical simulations, produced all figures, curated the research data, and wrote the initial draft of the paper. J.F. contributed to the interpretation of the results and to the writing of Sects. 1, 3.2, 3.3, and Sect. 4. D.B. contributed to the writing of Sects. 3.3, 4.2, and 5, and wrote Appendix A.</t>
  </si>
  <si>
    <t>EDP SCIENCES S A</t>
  </si>
  <si>
    <t>LES ULIS CEDEX A</t>
  </si>
  <si>
    <t>17, AVE DU HOGGAR, PA COURTABOEUF, BP 112, F-91944 LES ULIS CEDEX A, FRANCE</t>
  </si>
  <si>
    <t>0004-6361</t>
  </si>
  <si>
    <t>1432-0746</t>
  </si>
  <si>
    <t>ASTRON ASTROPHYS</t>
  </si>
  <si>
    <t>Astron. Astrophys.</t>
  </si>
  <si>
    <t>A39</t>
  </si>
  <si>
    <t>10.1051/0004-6361/202347532</t>
  </si>
  <si>
    <t>Astronomy &amp; Astrophysics</t>
  </si>
  <si>
    <t>Z9BF6</t>
  </si>
  <si>
    <t>WOS:001114946800002</t>
  </si>
  <si>
    <t>Carlos, LD; Camacho, KF; Duarte, AW; de Oliveira, VM; Boroski, M; Rosa, LH; Vieira, R; Neto, AA; Ottoni, JR; Passarini, MRZ</t>
  </si>
  <si>
    <t>de Melo Carlos, Layssa; Camacho, Karine Fernandes; Duarte, Alysson Wagner; de Oliveira, Valeria M.; Boroski, Marcela; Rosa, Luiz Henrique; Vieira, Rosemary; Neto, Arthur A.; Ottoni, Julia Ronzella; Passarini, Michel R. Z.</t>
  </si>
  <si>
    <t>Bioprospecting the potential of the microbial community associated to Antarctic marine sediments for hydrocarbon bioremediation</t>
  </si>
  <si>
    <t>Deception Island; Petroleum derivatives; PAHs; Pyrene; Textile dye; Psychrophilic microorganisms</t>
  </si>
  <si>
    <t>KING GEORGE ISLAND; POLYCYCLIC AROMATIC-HYDROCARBONS; COLD-ADAPTED ENZYMES; BIOSURFACTANT PRODUCTION; MANGANESE PEROXIDASE; FILAMENTOUS FUNGI; TEMPERATURE; TOLERANCE; BACTERIA; SPILL</t>
  </si>
  <si>
    <t>Microorganisms that inhabit the cold Antarctic environment can produce ligninolytic enzymes potentially useful in bioremediation. Our study focused on characterizing Antarctic bacteria and fungi from marine sediment samples of King George and Deception Islands, maritime Antarctica, potentially affected by hydrocarbon influence, able to produce enzymes for use in bioremediation processes in environments impacted with petroleum derivatives. A total of 168 microorganism isolates were obtained: 56 from sediments of King George Island and 112 from Deception Island. Among them, five bacterial isolates were tolerant to cell growth in the presence of diesel oil and gasoline and seven fungal were able to discolor RBBR dye. In addition, 16 isolates (15 bacterial and one fungal) displayed enzymatic emulsifying activities. Two isolates were characterized taxonomically by showing better biotechnological results. Psychrobacter sp. BAD17 and Cladosporium sp. FAR18 showed pyrene tolerance (cell growth of 0.03 g mL-1 and 0.2 g mL-1) and laccase enzymatic activity (0.006 UL-1 and 0.10 UL-1), respectively. Our results indicate that bacteria and fungi living in sediments under potential effect of hydrocarbon pollution may represent a promising alternative to bioremediate cold environments contaminated with polluting compounds derived from petroleum such as polycyclic aromatic hydrocarbons and dyes.</t>
  </si>
  <si>
    <t>[de Melo Carlos, Layssa; Camacho, Karine Fernandes; Ottoni, Julia Ronzella; Passarini, Michel R. Z.] Univ Fed Integracao Latino Amer UNILA, Lab Biotecnol Ambiental, Av Tarquinio Joslin dos Santos,Jd Univ 1000, BR-85870650 Foz Do Iguacu, PR, Brazil; [Duarte, Alysson Wagner] Univ Fed Alagoas UFAL, Maceio, Brazil; [de Oliveira, Valeria M.] Univ Estadual Campinas, CPQBA, UNICAMP, Campinas, Brazil; [Boroski, Marcela] Univ Fed Integracao Latino Amer, Programa Pos Graduacao Energia &amp; Sustentabilidade, UNILA, Foz Iguacu, Brazil; [Rosa, Luiz Henrique] Univ Fed Minas Gerais, Dept Microbiol, Belo Horizonte, MG, Brazil; [Vieira, Rosemary; Neto, Arthur A.] Univ Fed Fluminense, Inst Geociencias, Niteroi, RJ, Brazil</t>
  </si>
  <si>
    <t>Universidade Federal da Integracao Latino-Americana; Universidade Federal de Alagoas; Universidade Estadual de Campinas; Universidade Federal da Integracao Latino-Americana; Universidade Federal de Minas Gerais; Universidade Federal Fluminense</t>
  </si>
  <si>
    <t>Passarini, MRZ (corresponding author), Univ Fed Integracao Latino Amer UNILA, Lab Biotecnol Ambiental, Av Tarquinio Joslin dos Santos,Jd Univ 1000, BR-85870650 Foz Do Iguacu, PR, Brazil.</t>
  </si>
  <si>
    <t>michel.passarini@unila.edu.br</t>
  </si>
  <si>
    <t>Oliveira, Valéria Maia/L-2422-2014; Duarte, Alysson Wagner Fernandes/S-8062-2019</t>
  </si>
  <si>
    <t>Oliveira, Valéria Maia/0000-0001-8817-4758; Duarte, Alysson Wagner Fernandes/0000-0001-9626-7524; Zambrano Passarini, Michel/0000-0002-8614-1896</t>
  </si>
  <si>
    <t>CAPES FAPEMI, and FNDCT [105/2020]; Institutional Program Priority Latin America and the Caribbean EDITAL PRPPG [205/2021]; Program Institutional Triple Agenda EDITAL PRPPG [442258/2018-6]; CNPq PROANTAR; CAPES FAPEMI; FNDCT</t>
  </si>
  <si>
    <t>CAPES FAPEMI, and FNDCT(Coordenacao de Aperfeicoamento de Pessoal de Nivel Superior (CAPES)); Institutional Program Priority Latin America and the Caribbean EDITAL PRPPG; Program Institutional Triple Agenda EDITAL PRPPG; CNPq PROANTAR(Conselho Nacional de Desenvolvimento Cientifico e Tecnologico (CNPQ)); CAPES FAPEMI(Coordenacao de Aperfeicoamento de Pessoal de Nivel Superior (CAPES)); FNDCT</t>
  </si>
  <si>
    <t>This work was supported by the Institutional Program Priority Latin America and the Caribbean EDITAL PRPPG No. 105/2020 and by the Program Institutional Triple Agenda EDITAL PRPPG No. 205/2021. CNPq PROANTAR 442258/2018-6, CAPES FAPEMI, and FNDCT</t>
  </si>
  <si>
    <t>10.1007/s42770-023-01199-5</t>
  </si>
  <si>
    <t>WOS:001113211500001</t>
  </si>
  <si>
    <t>Foreman, CM; Smith, HJ; Dieser, M</t>
  </si>
  <si>
    <t>Foreman, Christine M.; Smith, Heidi J.; Dieser, Markus</t>
  </si>
  <si>
    <t>Seven genome sequences of bacterial, environmental isolates from Pony Lake, Antarctica</t>
  </si>
  <si>
    <t>MICROBIOLOGY RESOURCE ANNOUNCEMENTS</t>
  </si>
  <si>
    <t>Antarctica; DOM</t>
  </si>
  <si>
    <t>AQUATIC FULVIC-ACIDS</t>
  </si>
  <si>
    <t>Dissolved organic matter (DOM) in Antarctic inland waters is unique in that its precursor molecules are microbially derived and lack the chemical signature of higher plants. Here, we report the genomic sequences of seven environmental, bacterial isolates from Pony Lake, Antarctica, to explore the genetic potential linked to DOM processing.</t>
  </si>
  <si>
    <t>[Foreman, Christine M.; Smith, Heidi J.; Dieser, Markus] Montana State Univ, Ctr Biofilm Engn, Bozeman, MT 59717 USA; [Foreman, Christine M.; Dieser, Markus] Montana State Univ, Dept Chem &amp; Biol Engn, Bozeman, MT 59717 USA; [Smith, Heidi J.] Montana State Univ, Dept Microbiol &amp; Cell Biol, Bozeman, MT USA</t>
  </si>
  <si>
    <t>Montana State University System; Montana State University Bozeman; Montana State University System; Montana State University Bozeman; Montana State University System; Montana State University Bozeman</t>
  </si>
  <si>
    <t>Foreman, CM (corresponding author), Montana State Univ, Ctr Biofilm Engn, Bozeman, MT 59717 USA.;Foreman, CM (corresponding author), Montana State Univ, Dept Chem &amp; Biol Engn, Bozeman, MT 59717 USA.</t>
  </si>
  <si>
    <t>cforeman@montana.edu</t>
  </si>
  <si>
    <t>Smith, Heidi/0000-0001-7234-9146; Foreman, Christine/0000-0003-0230-4692; Dieser, Markus/0000-0001-8539-6646</t>
  </si>
  <si>
    <t>National Science Foundation (NSF) [ANT-0338342]; National Science Foundation [DE-AC02-05CH11231, 505037]; U.S. Department of Energy Joint Genome Institute, a DOE Office of Science User Facility</t>
  </si>
  <si>
    <t>National Science Foundation (NSF)(National Science Foundation (NSF)); National Science Foundation(National Science Foundation (NSF)); U.S. Department of Energy Joint Genome Institute, a DOE Office of Science User Facility(United States Department of Energy (DOE))</t>
  </si>
  <si>
    <t>This work was supported by the National Science Foundation under grant ANT-0338342 to C.M.F. Any opinions, findings, and conclusions or recommendations expressed in this material are those of the authors and do not necessarily reflect the views of the National Science Foundation. The work conducted by the U.S. Department of Energy Joint Genome Institute, a DOE Office of Science User Facility, is supported under Contract No. DE-AC02-05CH11231. These data were generated for JGI Proposal #505037.</t>
  </si>
  <si>
    <t>2576-098X</t>
  </si>
  <si>
    <t>MICROBIOL RESOUR ANN</t>
  </si>
  <si>
    <t>Microbiol. Resour. Ann.</t>
  </si>
  <si>
    <t>JAN 17</t>
  </si>
  <si>
    <t>10.1128/mra.00744-23</t>
  </si>
  <si>
    <t>FE9S4</t>
  </si>
  <si>
    <t>WOS:001114827700002</t>
  </si>
  <si>
    <t>Friedlingstein, P; O'Sullivan, M; Jones, MW; Andrew, RM; Bakker, DCE; Hauck, J; Landschützer, P; Le Quéré, C; Luijkx, IT; Peters, GP; Peters, W; Pongratz, J; Schwingshackl, C; Sitch, S; Canadell, JG; Ciais, P; Jackson, RB; Alin, SR; Anthoni, P; Barbero, L; Bates, NR; Becker, M; Bellouin, N; Decharme, B; Bopp, L; Brasika, IBM; Cadule, P; Chamberlain, MA; Chandra, N; Chau, TTT; Chevallier, F; Chini, LP; Cronin, M; Dou, XY; Enyo, K; Evans, W; Falk, S; Feely, RA; Feng, L; Ford, DJ; Gasser, T; Ghattas, J; Gkritzalis, T; Grassi, G; Gregor, L; Gruber, N; Gürses, Ö; Harris, I; Hefner, M; Heinke, J; Houghton, RA; Hurtt, GC; Iida, Y; Ilyina, T; Jacobson, AR; Jain, A; Jarníková, T; Jersild, A; Jiang, F; Jin, Z; Joos, F; Kato, E; Keeling, RF; Kennedy, D; Goldewijk, KK; Knauer, J; Korsbakken, JI; Körtzinger, A; Lan, X; Lefèvre, N; Li, HM; Liu, JJ; Liu, ZQ; Ma, L; Marland, G; Mayot, N; McGuire, PC; McKinley, GA; Meyer, G; Morgan, EJ; Munro, DR; Nakaoka, SI; Niwa, Y; O'Brien, KM; Olsen, A; Omar, AM; Ono, T; Paulsen, M; Pierrot, D; Pocock, K; Poulter, B; Powis, CM; Rehder, G; Resplandy, L; Robertson, E; Rödenbeck, C; Rosan, TM; Schwinger, J; Séférian, R; Smallman, TL; Smith, SM; Sospedra-Alfonso, R; Sun, Q; Sutton, AJ; Sweeney, C; Takao, S; Tans, PP; Tian, HQ; Tilbrook, B; Tsujino, H; Tubiello, F; van der Werf, GR; van Ooijen, E; Wanninkhof, R; Watanabe, M; Wimart-Rousseau, C; Yang, DX; Yang, XJ; Yuan, WP; Yue, X; Zaehle, S; Zeng, JY; Zheng, B</t>
  </si>
  <si>
    <t>Friedlingstein, Pierre; O'Sullivan, Michael; Jones, Matthew W.; Andrew, Robbie M.; Bakker, Dorothee C. E.; Hauck, Judith; Landschutzer, Peter; Le Quere, Corinne; Luijkx, Ingrid T.; Peters, Glen P.; Peters, Wouter; Pongratz, Julia; Schwingshackl, Clemens; Sitch, Stephen; Canadell, Josep G.; Ciais, Philippe; Jackson, Robert B.; Alin, Simone R.; Anthoni, Peter; Barbero, Leticia; Bates, Nicholas R.; Becker, Meike; Bellouin, Nicolas; Decharme, Bertrand; Bopp, Laurent; Brasika, Ida Bagus Mandhara; Cadule, Patricia; Chamberlain, Matthew A.; Chandra, Naveen; Chau, Thi-Tuyet-Trang; Chevallier, Frederic; Chini, Louise P.; Cronin, Margot; Dou, Xinyu; Enyo, Kazutaka; Evans, Wiley; Falk, Stefanie; Feely, Richard A.; Feng, Liang; Ford, Daniel J.; Gasser, Thomas; Ghattas, Josefine; Gkritzalis, Thanos; Grassi, Giacomo; Gregor, Luke; Gruber, Nicolas; Gurses, Ozgur; Harris, Ian; Hefner, Matthew; Heinke, Jens; Houghton, Richard A.; Hurtt, George C.; Iida, Yosuke; Ilyina, Tatiana; Jacobson, Andrew R.; Jain, Atul; Jarnikova, Tereza; Jersild, Annika; Jiang, Fei; Jin, Zhe; Joos, Fortunat; Kato, Etsushi; Keeling, Ralph F.; Kennedy, Daniel; Goldewijk, Kees Klein; Knauer, Jurgen; Korsbakken, Jan Ivar; Koertzinger, Arne; Lan, Xin; Lefevre, Nathalie; Li, Hongmei; Liu, Junjie; Liu, Zhiqiang; Ma, Lei; Marland, Greg; Mayot, Nicolas; McGuire, Patrick C.; McKinley, Galen A.; Meyer, Gesa; Morgan, Eric J.; Munro, David R.; Nakaoka, Shin-Ichiro; Niwa, Yosuke; O'Brien, Kevin M.; Olsen, Are; Omar, Abdirahman M.; Ono, Tsuneo; Paulsen, Melf; Pierrot, Denis; Pocock, Katie; Poulter, Benjamin; Powis, Carter M.; Rehder, Gregor; Resplandy, Laure; Robertson, Eddy; Roedenbeck, Christian; Rosan, Thais M.; Schwinger, Jorg; Seferian, Roland; Smallman, T. Luke; Smith, Stephen M.; Sospedra-Alfonso, Reinel; Sun, Qing; Sutton, Adrienne J.; Sweeney, Colm; Takao, Shintaro; Tans, Pieter P.; Tian, Hanqin; Tilbrook, Bronte; Tsujino, Hiroyuki; Tubiello, Francesco; van der Werf, Guido R.; van Ooijen, Erik; Wanninkhof, Rik; Watanabe, Michio; Wimart-Rousseau, Cathy; Yang, Dongxu; Yang, Xiaojuan; Yuan, Wenping; Yue, Xu; Zaehle, Soenke; Zeng, Jiye; Zheng, Bo</t>
  </si>
  <si>
    <t>Global Carbon Budget 2023</t>
  </si>
  <si>
    <t>LAND-COVER CHANGE; GREENHOUSE-GAS EMISSIONS; FOSSIL-FUEL COMBUSTION; ENSEMBLE KALMAN FILTER; ATMOSPHERIC CO2 GROWTH; ECOSYSTEM MODEL CTEM; SURFACE SCHEME CLASS; VEGETATION DYNAMICS; ANTHROPOGENIC CO2; DIOXIDE EMISSIONS</t>
  </si>
  <si>
    <t>Accurate assessment of anthropogenic carbon dioxide (CO2) emissions and their redistribution among the atmosphere, ocean, and terrestrial biosphere in a changing climate is critical to better understand the global carbon cycle, support the development of climate policies, and project future climate change. Here we describe and synthesize data sets and methodology to quantify the five major components of the global carbon budget and their uncertainties. Fossil CO2 emissions (E-FOS) are based on energy statistics and cement production data, while emissions from land-use change (E-LUC), mainly deforestation, are based on land-use and land-use change data and bookkeeping models. Atmospheric CO2 concentration is measured directly, and its growth rate (G(ATM)) is computed from the annual changes in concentration. The ocean CO2 sink (S-OCEAN) is estimated with global ocean biogeochemistry models and observation-based fCO(2) products. The terrestrial CO2 sink (S-LAND) is estimated with dynamic global vegetation models. Additional lines of evidence on land and ocean sinks are provided by atmospheric inversions, atmospheric oxygen measurements, and Earth system models. The resulting carbon budget imbalance (B-IM), the difference between the estimated total emissions and the estimated changes in the atmosphere, ocean, and terrestrial biosphere, is a measure of imperfect data and incomplete understanding of the contemporary carbon cycle. All uncertainties are reported as +/- 1 sigma. For the year 2022, E-FOS increased by 0.9% relative to 2021, with fossil emissions at 9.9 +/- 0.5 GtC yr(-1) (10.2 +/- 0.5 GtC yr(-1) when the cement carbonation sink is not included), and E-LUC was 1.2 +/- 0.7 GtC yr(-1), for a total anthropogenic CO2 emission (including the cement carbonation sink) of 11.1 +/- 0.8 GtC yr(-1) (40.7 +/- 3.2 GtCO(2) yr(-1)). Also, for 2022, G(ATM) was 4.6 +/- 0.2 GtC yr(-1) (2.18 +/- 0.1 ppm yr(-1); ppm denotes parts per million), S-OCEAN was 2.8 +/- 0.4 GtC yr(-1), and S-LAND was 3.8 +/- 0.8 GtC yr(-1), with a B-IM of 0.1 GtC yr(-1) (i.e. total estimated sources marginally too low or sinks marginally too high). The global atmospheric CO2 concentration averaged over 2022 reached 417.1 +/- 0.1 ppm. Preliminary data for 2023 suggest an increase in E-FOS relative to 2022 of +/- 1:1% (0.0% to 2.1 %) globally and atmospheric CO2 concentration reaching 419.3 ppm, 51% above the pre-industrial level (around 278 ppm in 1750). Overall, the mean of and trend in the components of the global carbon budget are consistently estimated over the period 1959-2022, with a near-zero overall budget imbalance, although discrepancies of up to around 1 Gt Cyr(-1) persist for the representation of annual to semi-decadal variability in CO2 fluxes. Comparison of estimates from multiple approaches and observations shows the following: (1) a persistent large uncertainty in the estimate of land-use changes emissions, (2) a low agreement between the different methods on the magnitude of the land CO2 flux in the northern extra-tropics, and (3) a discrepancy between the different methods on the strength of the ocean sink over the last decade. This living-data update documents changes in methods and data sets applied to this most recent global carbon budget as well as evolving community understanding of the global carbon cycle. The data presented in this work are available at https://doi.org/10.18160/GCP-2023 (Friedlingstein et al., 2023).</t>
  </si>
  <si>
    <t>[Friedlingstein, Pierre; O'Sullivan, Michael; Sitch, Stephen; Brasika, Ida Bagus Mandhara; Ford, Daniel J.; Rosan, Thais M.] Univ Exeter, Fac Environm Sci &amp; Econ, Exeter EX4 4QF, England; [Friedlingstein, Pierre; Bopp, Laurent; Cadule, Patricia] Sorbonne Univ, Univ PSL, CNRS,Ecole Normale Super,Ecole Polytech, Inst Pierre Simon Laplace,Lab Meteorol Dynam, Paris, France; [Jones, Matthew W.; Le Quere, Corinne; Jarnikova, Tereza; Mayot, Nicolas] Univ East Anglia, Sch Environm Sci, Tyndall Ctr Climate Change Res, Norwich Res Pk, Norwich NR4 7TJ, England; [Andrew, Robbie M.; Peters, Glen P.; Korsbakken, Jan Ivar] CICERO Ctr Int Climate Res, N-0349 Oslo, Norway; [Bakker, Dorothee C. E.] Univ East Anglia, Sch Environm Sci, Norwich NR4 7TJ, England; [Hauck, Judith; Gurses, Ozgur] Helmholtz Zentrum Polar &amp; Meeresforsch, Alfred Wegener Inst, Handelshafen 12, D-27570 Bremerhaven, Germany; [Landschutzer, Peter; Gkritzalis, Thanos] Flanders Marine Inst VLIZ, Jacobsenstr 1, Oostende, Belgium; [Luijkx, Ingrid T.; Peters, Wouter; van der Werf, Guido R.] Wageningen Univ, Environm Sci Grp, POB 47, NL-6700 AA Wageningen, Netherlands; [Peters, Wouter] Univ Groningen, Ctr Isotope Res, Groningen, Netherlands; [Pongratz, Julia; Schwingshackl, Clemens; Falk, Stefanie] Ludwig Maximilians Univ Munchen, Dept Geog, Luisenstr 37, D-80333 Munich, Germany; [Pongratz, Julia; Ilyina, Tatiana; Jersild, Annika; Li, Hongmei] Max Planck Inst Meteorol, Bundesstr 53, D-20146 Hamburg, Germany; [Canadell, Josep G.; Knauer, Jurgen] CSIRO Environm, Canberra, ACT 2101, Australia; [Ciais, Philippe; Chau, Thi-Tuyet-Trang; Chevallier, Frederic; Ghattas, Josefine] Univ Paris Saclay, Lab Sci Climat &amp; Environm, LSCE IPSL, CEA CNRS UVSQ, F-91198 Gif Sur Yvette, France; [Jackson, Robert B.] Stanford Univ, Woods Inst Environm, Dept Earth Syst Sci, Stanford, CA 94305 USA; [Jackson, Robert B.] Stanford Univ, Precourt Inst Energy, Stanford, CA 94305 USA; [Alin, Simone R.; Feely, Richard A.; O'Brien, Kevin M.; Sutton, Adrienne J.] NOAA, PMEL, 7600 Sand Point Way NE, Seattle, WA 98115 USA; [Anthoni, Peter] Karlsruhe Inst Technol, Inst Meteorol &amp; Climate Res Atmospher Environm Re, D-82467 Garmisch Partenkirchen, Germany; [Barbero, Leticia] Univ Miami, Cooperat Inst Marine &amp; Atmospher Studies CIMAS, Rosenstiel Sch Marine Atmospher &amp; Earth Sci, 4600 Rickenbacker Causeway, Miami, FL USA; [Bates, Nicholas R.] Arizona State Univ, Sch Ocean Futures, Julie Ann Wrigley Global Futures Lab, Tempe, AZ 85287 USA; [Bates, Nicholas R.] Bermuda Inst Ocean Sci BIOS, 17 Biol Lane,GE01, St Georges, Bermuda; [Becker, Meike; Olsen, Are] Univ Bergen, Geophys Inst, Allegaten 70, N-5007 Bergen, Norway; [Becker, Meike; Olsen, Are; Omar, Abdirahman M.; Schwinger, Jorg] Bjerknes Ctr Climate Res, Bergen, Norway; [Bellouin, Nicolas] Univ Reading, Dept Meteorol, Reading RG6 6BB, England; [Decharme, Bertrand; Seferian, Roland] Univ Toulouse, CNRS, CNRM, Meteo France, Toulouse, France; [Brasika, Ida Bagus Mandhara] Udayana Univ, Fac Marine Sci &amp; Fisheries, Denpasar 80361, Bali, Indonesia; [Chamberlain, Matthew A.; Tilbrook, Bronte; van Ooijen, Erik] CSIRO Environm, Hobart, Tas 7004, Australia; [Chandra, Naveen; Watanabe, Michio] Japan Agcy Marine Earth Sci &amp; Technol JAMSTEC, 3173-25 Showa Machi, Yokohama, Kanagawa 2360001, Japan; [Chini, Louise P.; Hurtt, George C.; Ma, Lei] Univ Maryland, Dept Geog Sci, College Pk, MD 20742 USA; [Cronin, Margot] Inst Marine, Oranmore H91 R673, Galway, Ireland; [Dou, Xinyu] Tsinghua Univ, Dept Earth Syst Sci, Beijing, Peoples R China; [Enyo, Kazutaka; Iida, Yosuke] Japan Meteorol Agcy, 3-6-9 Toranomon, Minato, Tokyo 1058431, Japan; [Evans, Wiley; Pocock, Katie] Hakai Inst, 1713 Hyacinthe Bay Rd, Heriot Bay, BC V0P 1H0, Canada; [Feng, Liang; Smallman, T. Luke] Univ Edinburgh, Natl Ctr Earth Observat, Edinburgh EH9 3FE, Scotland; [Feng, Liang] Univ Edinburgh, Sch GeoSci, Edinburgh, Scotland; [Gasser, Thomas] Int Inst Appl Syst Anal IIASA, Schlosspl 1, A-2361 Laxenburg, Austria; [Grassi, Giacomo] European Commiss, Joint Res Ctr, I-21027 Ispra, VA, Italy; [Gregor, Luke; Gruber, Nicolas] Swiss Fed Inst Technol, Inst Biogeochem &amp; Pollutant Dynam, Environm Phys Grp, Zurich, Switzerland; [Gregor, Luke; Gruber, Nicolas] Swiss Fed Inst Technol, Ctr Climate Syst Modeling C2SM, Zurich, Switzerland; [Harris, Ian] Univ East Anglia, Sch Environm Sci, Climat Res Unit, NCAS Climate, Norwich Res Pk, Norwich NR4 7TJ, England; [Hefner, Matthew; Marland, Greg] Appalachian State Univ, Res Inst Environm Energy &amp; Econ, Boone, NC USA; [Hefner, Matthew; Marland, Greg] Appalachian State Univ, Dept Geol &amp; Environm Sci, Boone, NC USA; [Heinke, Jens] Potsdam Inst Climate Impact Res PIK, POB 60 12 03, D-14412 Potsdam, Germany; [Houghton, Richard A.] Woodwell Climate Res Ctr, Falmouth, MA 02540 USA; [Jacobson, Andrew R.; Lan, Xin; Munro, David R.] Univ Colorado Boulder, Cooperat Inst Res Environm Sci CIRES, Boulder, CO 80305 USA; [Jacobson, Andrew R.; Lan, Xin; Munro, David R.; Sweeney, Colm] NOAA, GML, 325 Broadway R GML, Boulder, CO 80305 USA; [Jain, Atul] Univ Illinois, Dept Atmospher Sci, Urbana, IL 61821 USA; [Jiang, Fei] Nanjing Univ, Int Inst Earth Syst Sci, Jiangsu Prov Key Lab Geog Informat Sci &amp; Technol, Nanjing 210023, Peoples R China; [Jin, Zhe] Chinese Acad Sci, Inst Tibetan Plateau Res, State Key Lab Tibetan Plateau Earth Syst &amp; Resour, Beijing 100101, Peoples R China; [Jin, Zhe] Peking Univ, Inst Carbon Neutral, Beijing 100871, Peoples R China; [Joos, Fortunat; Sun, Qing] Univ Bern, Inst Phys, Climate &amp; Environm Phys, Bern, Switzerland; [Joos, Fortunat; Sun, Qing] Univ Bern, Oeschger Ctr Climate Change Res, Bern, Switzerland; [Kato, Etsushi] Inst Appl Energy IAE, Minato Ku, Tokyo 1050003, Japan; [Keeling, Ralph F.; Morgan, Eric J.] Univ Calif San Diego, Scripps Inst Oceanog, La Jolla, CA 92093 USA; [Kennedy, Daniel] Natl Ctr Atmospher Res, Terr Sci Sect, Climate &amp; Global Dynam, Boulder, CO 80305 USA; [Goldewijk, Kees Klein] Univ Utrecht, Copernicus Inst Sustainable Dev, Dept IMEW, Fac Geosci, Heidelberglaan 2,POB 80115, NL-3508 TC Utrecht, Netherlands; [Knauer, Jurgen] Western Sydney Univ, Hawkesbury Inst Environm, Penrith, NSW, Australia; [Koertzinger, Arne; Paulsen, Melf; Wimart-Rousseau, Cathy] GEOMAR Helmholtz Ctr Ocean Res, Wischhofstr 1-3, D-24148 Kiel, Germany; [Lefevre, Nathalie] Sorbonne Univ, CNRS, LOCEAN, MNHN,IRD,IPSL, Paris, France; [Liu, Junjie] CALTECH, NASA Jet Prop Lab, Pasadena, CA 91125 USA; [Liu, Zhiqiang] Chongqing Inst Meteorol Sci, CMA Key Open Lab Transforming Climate Resources E, Chongqing 401147, Peoples R China; [McGuire, Patrick C.] Univ Reading, Dept Meteorol, Reading, England; [McGuire, Patrick C.] Univ Reading, Natl Ctr Atmospher Sci NCAS, Reading, England; [McKinley, Galen A.] Columbia Univ, Dept Earth &amp; Environm Sci DEES, Palisades, NY 10964 USA; [Meyer, Gesa] Environm &amp; Climate Change Canada, Climate Res Div, Victoria, BC, Canada; [Nakaoka, Shin-Ichiro; Niwa, Yosuke; Takao, Shintaro; Zeng, Jiye] Natl Inst Environm Studies, Earth Syst Div, 16-2 Onogawa, Tsukuba, Ibaraki 3058506, Japan; [Niwa, Yosuke] Meteorol Res Inst, Dept Climate &amp; Geochem Res, 1-1 Nagamine, Tsukuba, Ibaraki 3050052, Japan; [O'Brien, Kevin M.] Univ Washington, Cooperat Inst Climate Ocean &amp; Ecosyst Studies CIC, Seattle, WA 98105 USA; [Omar, Abdirahman M.] NORCE Norwegian Res Ctr, Jahnebakken 5, N-5007 Bergen, Norway; [Ono, Tsuneo] Japan Fisheries Res &amp; Educ Agcy, Marine Environm Div, Fisheries Resources Inst, 2-12-4 Fukuura,Kanazawa Ku, Yokohama 2368648, Japan; [Pierrot, Denis; Wanninkhof, Rik] NOAA, AOML, 4301 Rickenbacker Causeway, Miami, FL 33149 USA; [Poulter, Benjamin] NASA Goddard Space Flight Ctr, Biospher Sci Lab, Greenbelt, MD 20771 USA; [Powis, Carter M.; Smith, Stephen M.] Univ Oxford, Smith Sch Enterprise &amp; Environm, Oxford, England; [Rehder, Gregor] Leibniz Inst Balt Sea Res Warnemunde IOW, Seestr 15, D-18119 Rostock, Germany; [Resplandy, Laure] Princeton Univ, Dept Geosci, Princeton, NJ USA; [Resplandy, Laure] Princeton Univ, High Meadows Environm Inst, Princeton, NJ USA; [Robertson, Eddy] Met Off Hadley Ctr, FitzRoy Rd, Exeter EX1 3PB, England; [Roedenbeck, Christian] Max Planck Inst Biogeochem, POB 600164,Hans Knoll Str 10, D-07745 Jena, Germany; [Schwinger, Jorg] NORCE Climate &amp; Environm, Jahnebakken 5, N-5007 Bergen, Norway; [Sospedra-Alfonso, Reinel] Canadian Ctr Climate Modelling &amp; Anal, Victoria, BC, Canada; [Tans, Pieter P.] Univ Colorado Boulder, Inst Arctic &amp; Alpine Res, Boulder, CO 80309 USA; [Tian, Hanqin] Boston Coll, Schiller Inst Integrated Sci &amp; Soc, Dept Earth &amp; Environm Sci, Chestnut Hill, MA 02467 USA; [Tilbrook, Bronte] Univ Tasmania, Australian Antarctic Program Partnership, Hobart, Tas, Australia; [Tsujino, Hiroyuki] JMA Meteorol Res Inst, 1-1 Nagamine, Tsukuba, Ibaraki 3050052, Japan; [Tubiello, Francesco] Food &amp; Agr Org United Nations, Stat Div, Via Terme Caracalla, I-00153 Rome, Italy; [Yang, Dongxu] Chinese Acad Sci, Inst Atmospher Phys, Beijing, Peoples R China; [Yang, Xiaojuan] Oak Ridge Natl Lab, Environm Sci Div, Oak Ridge, TN 37831 USA; [Yuan, Wenping] Sun Yat Sen Univ, Sch Atmospher Sci, Zhuhai 510245, Guangdong, Peoples R China; [Yue, Xu] Nanjing Univ Informat Sci &amp; Technol NUIST, Sch Environm Sci &amp; Engn, Nanjing, Peoples R China; [Zheng, Bo] Tsinghua Univ, Tsinghua Shenzhen Int Grad Sch, Inst Environm &amp; Ecol, Shenzhen Key Lab Ecol Remediat &amp; Carbon Sequestra, Shenzhen 518055, Peoples R China</t>
  </si>
  <si>
    <t>University of Exeter; Universite Paris Saclay; Universite PSL; Ecole Normale Superieure (ENS); Sorbonne Universite; Universite Paris Cite; Centre National de la Recherche Scientifique (CNRS); CNRS - National Institute for Earth Sciences &amp; Astronomy (INSU); University of East Anglia; University of East Anglia; Helmholtz Association; Alfred Wegener Institute, Helmholtz Centre for Polar &amp; Marine Research; Wageningen University &amp; Research; University of Groningen; University of Munich; Max Planck Society; CEA; Centre National de la Recherche Scientifique (CNRS); Universite Paris Saclay; Universite Paris Cite; Stanford University; Stanford University; National Oceanic Atmospheric Admin (NOAA) - USA; Helmholtz Association; Karlsruhe Institute of Technology; University of Miami; Arizona State University; Arizona State University-Tempe; Bermuda Institute of Ocean Sciences; University of Bergen; Bjerknes Centre for Climate Research; University of Reading; Centre National de la Recherche Scientifique (CNRS); Universitas Udayana; Japan Agency for Marine-Earth Science &amp; Technology (JAMSTEC); University System of Maryland; University of Maryland College Park; Marine Institute Ireland; Tsinghua University; Japan Meteorological Agency; Hakai Institute; University of Edinburgh; University of Edinburgh; International Institute for Applied Systems Analysis (IIASA); European Commission Joint Research Centre; EC JRC ISPRA Site; Swiss Federal Institutes of Technology Domain; ETH Zurich; Swiss Federal Institutes of Technology Domain; ETH Zurich; University of East Anglia; University of North Carolina; Appalachian State University; University of North Carolina; Appalachian State University; Potsdam Institut fur Klimafolgenforschung; University of Colorado System; University of Colorado Boulder; National Oceanic Atmospheric Admin (NOAA) - USA; University of Illinois System; University of Illinois Urbana-Champaign; Nanjing University; Chinese Academy of Sciences; Institute of Tibetan Plateau Research, CAS; Peking University; University of Bern; University of Bern; University of California System; University of California San Diego; Scripps Institution of Oceanography; National Center Atmospheric Research (NCAR) - USA; Utrecht University; Western Sydney University; Helmholtz Association; GEOMAR Helmholtz Center for Ocean Research Kiel; Sorbonne Universite; Centre National de la Recherche Scientifique (CNRS); Institut de Recherche pour le Developpement (IRD); Museum National d'Histoire Naturelle (MNHN); California Institute of Technology; National Aeronautics &amp; Space Administration (NASA); NASA Jet Propulsion Laboratory (JPL); University of Reading; UK Research &amp; Innovation (UKRI); Natural Environment Research Council (NERC); NERC National Centre for Atmospheric Science; University of Reading; Columbia University; Environment &amp; Climate Change Canada; National Institute for Environmental Studies - Japan; Meteorological Research Institute - Japan; University of Washington; University of Washington Seattle; Norwegian Research Centre (NORCE); Japan Fisheries Research &amp; Education Agency (FRA); National Oceanic Atmospheric Admin (NOAA) - USA; Atlantic Oceanographic &amp; Meteorological Laboratory (AOML); National Aeronautics &amp; Space Administration (NASA); NASA Goddard Space Flight Center; University of Oxford; Leibniz Institut fur Ostseeforschung Warnemunde; Princeton University; Princeton University; Met Office - UK; Hadley Centre; Max Planck Society; Environment &amp; Climate Change Canada; Canadian Centre for Climate Modelling &amp; Analysis (CCCma); University of Colorado System; University of Colorado Boulder; Boston College; University of Tasmania; Food &amp; Agriculture Organization of the United Nations (FAO); Chinese Academy of Sciences; Institute of Atmospheric Physics, CAS; United States Department of Energy (DOE); Oak Ridge National Laboratory; Sun Yat Sen University; Nanjing University of Information Science &amp; Technology; Tsinghua University; Tsinghua Shenzhen International Graduate School</t>
  </si>
  <si>
    <t>Friedlingstein, P (corresponding author), Univ Exeter, Fac Environm Sci &amp; Econ, Exeter EX4 4QF, England.;Friedlingstein, P (corresponding author), Sorbonne Univ, Univ PSL, CNRS,Ecole Normale Super,Ecole Polytech, Inst Pierre Simon Laplace,Lab Meteorol Dynam, Paris, France.</t>
  </si>
  <si>
    <t>p.friedlingstein@exeter.ac.uk</t>
  </si>
  <si>
    <t>Yuan, Wenping/HTM-1454-2023; Chevallier, Frederic/E-9608-2016; Smallman, Thomas/AAH-6387-2021; Knauer, Juergen/AFD-0010-2022; Le Quéré, Corinne/C-2631-2017; OSullivan, Mike/HJY-6367-2023; Gruber, Nicolas/B-7013-2009; Yue, Xu/ISV-0164-2023; Körtzinger, Arne/A-4141-2014; Andrew, Robbie/B-4204-2008; Schwinger, Jörg/AAN-6573-2021; Jiang, Fei/A-9862-2014; Shin-ichiro, Nakaoka/I-7222-2018; Kato, Etsushi/Q-2623-2018; Ma, Lei/AAL-8269-2021; Landschützer, Peter/IQU-3835-2023; Takao, Shintaro/M-8269-2019; Bakker, Dorothee/E-4951-2015; Mayot, Nicolas/S-1319-2017; Zheng, Bo/X-1616-2018</t>
  </si>
  <si>
    <t>Chevallier, Frederic/0000-0002-4327-3813; Smallman, Thomas/0000-0002-0835-1003; Knauer, Juergen/0000-0002-4947-7067; Le Quéré, Corinne/0000-0003-2319-0452; Gruber, Nicolas/0000-0002-2085-2310; Andrew, Robbie/0000-0001-8590-6431; Schwinger, Jörg/0000-0002-7525-6882; Shin-ichiro, Nakaoka/0000-0002-3870-1721; Kato, Etsushi/0000-0001-8814-804X; Ma, Lei/0000-0002-3959-4155; Landschützer, Peter/0000-0002-7398-3293; Brasika, Ida Bagus Mandhara/0000-0003-2804-7700; Bakker, Dorothee/0000-0001-9234-5337; Jackson, Robert/0000-0001-8846-7147; Hefner, Matthew Wynn/0000-0002-8382-2338; Hauck, Judith/0000-0003-4723-9652; Mayot, Nicolas/0000-0003-4255-5939; Zheng, Bo/0000-0001-8344-3445; Jones, Matthew/0000-0003-3480-7980</t>
  </si>
  <si>
    <t>Integrated Marine Observing System (IMOS) (Australia); ICOS Flanders (Belgium); Research Foundation -Flanders (Belgium) [I001821N]; Tula Foundation (Canada); Chinese Academy of Science Project for Young Scientists in Basic Research (China) [YSBR037]; National Key R&amp;D Program of China [2020YFA0607504]; National Natural Science Foundation (China) [42141020, 42275128, 41921005]; Tsinghua Shenzhen International Graduate School (China) [QD2021024C]; Second Tibetan Plateau Scientific Expedition and Research Program (China) [2022QZKK0101]; CAST (China) [YESS20200135]; Fundamental Research Funds for the Central Universities (China) [090414380031]; Copernicus Atmosphere Monitoring Service (European Commission, EC) [CAMS2 55]; Copernicus Marine Environment Monitoring Service (EC) [CAMS2 55]; H2020 (Horizon 2020) 4C (EC) [821003]; H2020 ESM2025 -Earth System Models for the Future (EC) [101003536]; H2020 EuroSea (EC) [862626]; H2020 GEORGE (EC) [101094716]; H2020 JERICOS3 (EC) [871153]; ICOS France (France); Institut de Recherche pour le Developpement (IRD) (France); Federal Ministry of Education and Research (BMBF) (Germany) [03F0885AL1]; Federal Ministry of Education and Research (Germany) [03F0877A]; Helmholtz Association ATMO programme (Germany); Helmholtz Association of German Research Centres (project MOSES; Modular Observation Solutions for Earth Systems) (Germany); ICOS (Integrated Carbon Observation System) Germany (Germany); Ludwig Maximilians University of Munich, Department of Geography (Germany); Marine Institute (Ireland); Arctic Challenge for Sustainability phase II project (ArCS II) (Japan) [JP-MXD1420318865]; Environment Research and Technology Development Fund (Japan) [JP-MEERF21S20800]; Global Environmental Research Coordination System, Ministry of the Environment (Japan) [E2252]; Japan Meteorological Agency (Japan); Ministry of Education, Culture, Sports, Science and Technology, MEXT Program for the Advanced Studies of Climate Change Projection (SENTAN) (Japan) [JPMXD0722680395, JPMXD0722681344]; Ministry of Environment, Environmental Restoration and Conservation Agency, Environment Research and Technology Development Fund (Japan) [JPMEERF21S20810]; National Institute for Environmental Studies (Japan); Research Council of Norway (Norway) [296012]; Swiss National Science Foundation (Switzerland) [200020-200511]; National Centre for Atmospheric Science (UK); NERC (Natural Environment Research Council) Independent Research Fellowship (UK) [NE/V01417X/1]; NERC (UK) [NE/R016518/1]; Royal Society (UK) [RP nR1 n191063]; UK Research and Innovation (UKRI) (UK) [10040851]; NASA Carbon Monitoring System programme (USA) [80NSSC21K1059]; NASA OCO Science Team programme (USA) [80NM0018F0583]; National Center for Atmospheric Research (NCAR) (NSF) (USA) [1852977]; National Oceanic and Atmospheric Administration (NOAA) (USA) [NA22OAR4320151]; National Science Foundation (USA) [NSF-831361857, OPP-1922922]; NOAA (USA) [NA20OAR4320278]; NOAA cooperative agreement, the Cooperative Institute for Climate, Ocean, &amp; Ecosystem Studies (CIOCES) (USA) [NA20OAR4320271]; NOAA cooperative agreement, the Cooperative Institute for Marine and Atmospheric Studies (CIMAS), University of Miami (USA) [NA20OAR4320472]; NOAA Global Ocean Monitoring and Observing Program (USA) [100018302, 100007298, NA-03-AR4320179]; NOAA Ocean Acidification Program (USA); Adapter Allocation Scheme from the National Computational Infrastructure (NCI) (Australia); High-Performance Computing Center (HPCC) of Nanjing University (China); GENCI-TGCC (France) [A0130102201, A0130106328, A0140107732, A0130107403]; CCRT - CEA DRF (France) [CCRT2023-p24cheva]; HPC cluster Aether at the University of Bremen - DFG; state of Baden-Wurttemberg, through bwHPC (Germany); Earth Simulator (ES4) at JAMSTEC (Japan); JAMSTEC's supercomputer system (Japan); NIES supercomputer system (Japan); NIES (SX-Aurora); MRI (Fujitsu server PRIMERGY) (Japan) [CX2550M5]; ADA HPC cluster at the University of East Anglia (UK); UK CEDA JASMIN supercomputer (UK); Horizon Europe - Research Infrastructures (RIS) [101094716] Funding Source: Horizon Europe - Research Infrastructures (RIS)</t>
  </si>
  <si>
    <t>Integrated Marine Observing System (IMOS) (Australia); ICOS Flanders (Belgium); Research Foundation -Flanders (Belgium)(FWO); Tula Foundation (Canada); Chinese Academy of Science Project for Young Scientists in Basic Research (China); National Key R&amp;D Program of China; National Natural Science Foundation (China)(National Natural Science Foundation of China (NSFC)); Tsinghua Shenzhen International Graduate School (China); Second Tibetan Plateau Scientific Expedition and Research Program (China); CAST (China); Fundamental Research Funds for the Central Universities (China)(Fundamental Research Funds for the Central Universities); Copernicus Atmosphere Monitoring Service (European Commission, EC); Copernicus Marine Environment Monitoring Service (EC); H2020 (Horizon 2020) 4C (EC); H2020 ESM2025 -Earth System Models for the Future (EC); H2020 EuroSea (EC); H2020 GEORGE (EC); H2020 JERICOS3 (EC); ICOS France (France); Institut de Recherche pour le Developpement (IRD) (France); Federal Ministry of Education and Research (BMBF) (Germany)(Federal Ministry of Education &amp; Research (BMBF)); Federal Ministry of Education and Research (Germany)(Federal Ministry of Education &amp; Research (BMBF)); Helmholtz Association ATMO programme (Germany)(Helmholtz Association); Helmholtz Association of German Research Centres (project MOSES; Modular Observation Solutions for Earth Systems) (Germany); ICOS (Integrated Carbon Observation System) Germany (Germany); Ludwig Maximilians University of Munich, Department of Geography (Germany); Marine Institute (Ireland); Arctic Challenge for Sustainability phase II project (ArCS II) (Japan); Environment Research and Technology Development Fund (Japan); Global Environmental Research Coordination System, Ministry of the Environment (Japan); Japan Meteorological Agency (Japan); Ministry of Education, Culture, Sports, Science and Technology, MEXT Program for the Advanced Studies of Climate Change Projection (SENTAN) (Japan)(Ministry of Education, Culture, Sports, Science and Technology, Japan (MEXT)); Ministry of Environment, Environmental Restoration and Conservation Agency, Environment Research and Technology Development Fund (Japan); National Institute for Environmental Studies (Japan); Research Council of Norway (Norway)(Research Council of Norway); Swiss National Science Foundation (Switzerland)(Swiss National Science Foundation (SNSF)); National Centre for Atmospheric Science (UK); NERC (Natural Environment Research Council) Independent Research Fellowship (UK)(UK Research &amp; Innovation (UKRI)Natural Environment Research Council (NERC)); NERC (UK)(UK Research &amp; Innovation (UKRI)Natural Environment Research Council (NERC)); Royal Society (UK)(Royal Society); UK Research and Innovation (UKRI) (UK); NASA Carbon Monitoring System programme (USA); NASA OCO Science Team programme (USA); National Center for Atmospheric Research (NCAR) (NSF) (USA); National Oceanic and Atmospheric Administration (NOAA) (USA)(National Oceanic Atmospheric Admin (NOAA) - USA); National Science Foundation (USA)(National Science Foundation (NSF)); NOAA (USA)(National Oceanic Atmospheric Admin (NOAA) - USA); NOAA cooperative agreement, the Cooperative Institute for Climate, Ocean, &amp; Ecosystem Studies (CIOCES) (USA); NOAA cooperative agreement, the Cooperative Institute for Marine and Atmospheric Studies (CIMAS), University of Miami (USA); NOAA Global Ocean Monitoring and Observing Program (USA); NOAA Ocean Acidification Program (USA); Adapter Allocation Scheme from the National Computational Infrastructure (NCI) (Australia); High-Performance Computing Center (HPCC) of Nanjing University (China); GENCI-TGCC (France); CCRT - CEA DRF (France); HPC cluster Aether at the University of Bremen - DFG(German Research Foundation (DFG)); state of Baden-Wurttemberg, through bwHPC (Germany); Earth Simulator (ES4) at JAMSTEC (Japan); JAMSTEC's supercomputer system (Japan); NIES supercomputer system (Japan); NIES (SX-Aurora); MRI (Fujitsu server PRIMERGY) (Japan); ADA HPC cluster at the University of East Anglia (UK); UK CEDA JASMIN supercomputer (UK); Horizon Europe - Research Infrastructures (RIS)(European Union (EU)Horizon Europe Research Infrastructures)</t>
  </si>
  <si>
    <t>This research was supported by the following sources of funding: the Integrated Marine Observing System (IMOS) (Australia); ICOS Flanders (Belgium); the Research Foundation -Flanders (grant no. I001821N) (Belgium); the Tula Foundation (Canada); the Chinese Academy of Science Project for Young Scientists in Basic Research (grant no. YSBR037) (China); the National Key R&amp;D Program of China (grant no. 2020YFA0607504); the National Natural Science Foundation (grant nos. 42141020, 42275128, 42275128, 41921005) (China); Scientific Research Start-up Funds (grant no. QD2021024C) from Tsinghua Shenzhen International Graduate School (China); the Second Tibetan Plateau Scientific Expedition and Research Program (grant no. 2022QZKK0101) (China); the Young Elite Scientists Sponsorship Program by CAST (grant no. YESS20200135) (China); Fundamental Research Funds for the Central Universities (grant no. 090414380031) (China); the Copernicus Atmosphere Monitoring Service, implemented by ECMWF (grant no. CAMS2 55) (European Commission, EC); Copernicus Marine Environment Monitoring Service, implemented by MOi (grant no. CAMS2 55) (EC); H2020 (Horizon 2020) 4C (grant no. 821003) (EC); H2020 ESM2025 -Earth System Models for the Future (grant no. 101003536) (EC); H2020 EuroSea (grant no. 862626) (EC); H2020 GEORGE (grant no. 101094716) (EC); H2020 JERICOS3 (grant no. 871153) (EC); ICOS France (France); the Institut de Recherche pour le Developpement (IRD) (France); the Federal Ministry of Education and Research (BMBF) (grant no. 03F0885AL1) (Germany); the Federal Ministry of Education and Research, collaborative project C-SCOPE (Towards Marine Carbon Observations 2.0: Socializing, COnnecting, Perfecting and Expanding, project no. 03F0877A) (Germany); the Helmholtz Association ATMO programme (Germany); the Helmholtz Association of German Research Centres (project MOSES; Modular Observation Solutions for Earth Systems) (Germany); ICOS (Integrated Carbon Observation System) Germany (Germany); the Ludwig Maximilians University of Munich, Department of Geography (Germany); the Marine Institute (Ireland); the Arctic Challenge for Sustainability phase II project (ArCS II; grant no. JP-MXD1420318865) (Japan); the Environment Research and Technology Development Fund (grant no. JP-MEERF21S20800) (Japan); the Global Environmental Research Coordination System, Ministry of the Environment (grant no. E2252) (Japan); the Japan Meteorological Agency (Japan); the Ministry of Education, Culture, Sports, Science and Technology, MEXT Program for the Advanced Studies of Climate Change Projection (SENTAN) (grant nos. JPMXD0722680395, JPMXD0722681344) (Japan); the Ministry of Environment, Environmental Restoration and Conservation Agency, Environment Research and Technology Development Fund (grant no. JPMEERF21S20810) (Japan); the National Institute for Environmental Studies (Japan); the Research Council of Norway (N-ICOS-2; grant no. 296012) (Norway); the Swiss National Science Foundation (grant no. 200020-200511) (Switzerland); the National Centre for Atmospheric Science (UK); NERC (Natural Environment Research Council) Independent Research Fellowship (NE/V01417X/1) (UK); NERC (NE/R016518/1) (UK); the Royal Society (grant no. RP nR1 n191063) (UK); UK Research and Innovation (UKRI) for Horizon Europe (GreenFeedBack; grant no. 10040851) (UK); the NASA Carbon Monitoring System programme (80NSSC21K1059) (USA); the NASA OCO Science Team programme (grant no. 80NM0018F0583) (USA); a National Center for Atmospheric Research (NCAR) cooperative agreement (NSF no.; 1852977) (USA); a National Oceanic and Atmospheric Administration (NOAA) cooperative agreement (grant no. NA22OAR4320151) (USA); the National Science Foundation (grant nos. NSF-831361857, OPP-1922922) (USA); NOAA (grant no. NA20OAR4320278) (USA); a NOAA cooperative agreement, the Cooperative Institute for Climate, Ocean, &amp; Ecosystem Studies (CIOCES; grant no. NA20OAR4320271) (USA); a NOAA cooperative agreement, the Cooperative Institute for Marine and Atmospheric Studies (CIMAS), University of Miami (grant no. NA20OAR4320472) (USA); the NOAA Global Ocean Monitoring and Observing Program (grant nos. 100018302, 100007298, NA-03-AR4320179) (USA); and the NOAA Ocean Acidification Program (USA). We also acknowledge support from the following computing facilities: the Adapter Allocation Scheme from the National Computational Infrastructure (NCI) (Australia); the High-Performance Computing Center (HPCC) of Nanjing University (China); GENCI-TGCC (grant nos. A0130102201, A0130106328, A0140107732, A0130107403) (France); CCRT awarded by CEA DRF (grant no. CCRT2023-p24cheva) (France); the HPC cluster Aether at the University of Bremen, financed by DFG within the scope of the Excellence Initiative (Germany); the state of Baden-Wurttemberg, through bwHPC (Germany); Earth Simulator (ES4) at JAMSTEC (Japan); JAMSTEC's supercomputer system (Japan); the NIES supercomputer system (Japan); NIES (SX-Aurora) and MRI (Fujitsu server PRIMERGY CX2550M5) (Japan); the ADA HPC cluster at the University of East Anglia (UK); the UK CEDA JASMIN supercomputer (UK); and Cheyenne NCAR HPC resources managed by CISL (https://doi.org/10.5065/D6RX99HX, Hart, 2021) (USA).</t>
  </si>
  <si>
    <t>DEC 5</t>
  </si>
  <si>
    <t>10.5194/essd-15-5301-2023</t>
  </si>
  <si>
    <t>JP6Y9</t>
  </si>
  <si>
    <t>WOS:001174421100001</t>
  </si>
  <si>
    <t>Vandecrux, B; Box, JE; Ahlstrom, AP; Andersen, SB; Bayou, N; Colgan, WT; Cullen, NJ; Fausto, RS; Haas-Artho, D; Heilig, A; Houtz, DA; How, P; Enescu, II; Karlsson, NB; Buchholz, RK; Mankoff, KD; Mcgrath, D; Molotch, NP; Perren, B; Revheim, MK; Rutishauser, A; Sampson, K; Schneebeli, M; Starkweather, S; Steffen, S; Weber, J; Wright, PJ; Zwally, HJ; Steffen, K</t>
  </si>
  <si>
    <t>Vandecrux, Baptiste; Box, Jason E.; Ahlstrom, Andreas P.; Andersen, Signe B.; Bayou, Nicolas; Colgan, William T.; Cullen, Nicolas J.; Fausto, Robert S.; Haas-Artho, Dominik; Heilig, Achim; Houtz, Derek A.; How, Penelope; Enescu, Ionut Iosifescu; Karlsson, Nanna B.; Buchholz, Rebecca Kurup; Mankoff, Kenneth D.; Mcgrath, Daniel; Molotch, Noah P.; Perren, Bianca; Revheim, Maiken K.; Rutishauser, Anja; Sampson, Kevin; Schneebeli, Martin; Starkweather, Sandy; Steffen, Simon; Weber, Jeff; Wright, Patrick J.; Zwally, Henry Jay; Steffen, Konrad</t>
  </si>
  <si>
    <t>The historical Greenland Climate Network (GC-Net) curated and augmented level-1 dataset</t>
  </si>
  <si>
    <t>AUTOMATIC WEATHER STATIONS; ICE-SHEET; MASS-BALANCE; ENERGY-BALANCE; ALBEDO MEASUREMENTS; TEMPERATURE; ACCUMULATION; ABLATION; SUBLIMATION; VARIABILITY</t>
  </si>
  <si>
    <t>The Greenland Climate Network (GC-Net) consists of 31 automatic weather stations (AWSs) at 30 sites across the Greenland Ice Sheet. The first site was initiated in 1990, and the project has operated almost continuously since 1995 under the leadership of the late Konrad Steffen. The GC-Net AWS measured air temperature, relative humidity, wind speed, atmospheric pressure, downward and reflected shortwave irradiance, net radiation, and ice and firn temperatures. The majority of the GC-Net sites were located in the ice sheet accumulation area (17 AWSs), while 11 AWSs were located in the ablation area, and two sites (three AWSs) were located close to the equilibrium line altitude. Additionally, three AWSs of similar design to the GC-Net AWS were installed by Konrad Steffen's team on the Larsen C ice shelf, Antarctica. After more than 3 decades of operation, the GC-Net AWSs are being decommissioned and replaced by new AWSs operated by the Geological Survey of Denmark and Greenland (GEUS). Therefore, making a reassessment of the historical GC-Net AWS data is necessary. We present a full reprocessing of the historical GC-Net AWS dataset with increased attention to the filtering of erroneous measurements, data correction and derivation of additional variables: continuous surface height, instrument heights, surface albedo, turbulent heat fluxes, and 10 m ice and firn temperatures. This new augmented GC-Net level-1 (L1) AWS dataset is now available at 10.22008/FK2/VVXGUT (Steffen et al., 2023) and will continue to be refined. The processing scripts, latest data and a data user forum are available at https://github.com/GEUS-Glaciology-and-Climate/GC-Net-level-1-data-processing (last access: 30 November 2023). In addition to the AWS data, a comprehensive compilation of valuable metadata is provided: maintenance reports, yearly pictures of the stations and the station positions through time. This unique dataset provides more than 320 station years of high-quality atmospheric data and is available following FAIR (findable, accessible, interoperable, reusable) data and code practices.</t>
  </si>
  <si>
    <t>[Vandecrux, Baptiste; Box, Jason E.; Ahlstrom, Andreas P.; Andersen, Signe B.; Colgan, William T.; Fausto, Robert S.; How, Penelope; Karlsson, Nanna B.; Revheim, Maiken K.; Rutishauser, Anja; Wright, Patrick J.] Dept Glaciol &amp; Climate, Geol Survey Denmark &amp; Greenland GEUS, DK-1350 Copenhagen, Denmark; [Bayou, Nicolas] UNAVCO, Boulder, CO 80301 USA; [Cullen, Nicolas J.] Univ Otago, Sch Geog, Te Whare Wananga Otago, Dunedin 9016, New Zealand; [Haas-Artho, Dominik; Houtz, Derek A.; Enescu, Ionut Iosifescu; Buchholz, Rebecca Kurup; Steffen, Konrad] Swiss Fed Inst Forest Snow &amp; Landscape Res WSL, CH-8903 Birmensdorf, Switzerland; [Heilig, Achim] Ludwig Maximilians Univ Munchen, Dept Earth &amp; Environm Sci, D-80539 Munich, Germany; [Mankoff, Kenneth D.] Auton Integra LLC, New York, NY 10025 USA; [Mankoff, Kenneth D.] NASA, Goddard Inst Space Studies, New York, NY 10025 USA; [Mcgrath, Daniel] Colorado State Univ, Dept Geosci, Ft Collins, CO 80523 USA; [Molotch, Noah P.] Univ Colorado Boulder, Inst Arctic &amp; Alpine Res, Boulder, CO 80303 USA; [Perren, Bianca] British Antarctic Survey, Cambridge CB3 0ET, England; [Sampson, Kevin] Natl Ctr Atmospher Res, Boulder, CO 80305 USA; [Schneebeli, Martin] WSL Inst Snow &amp; Avalanche Res SLF, CH-7260 Davos, Switzerland; [Starkweather, Sandy; Steffen, Konrad] Univ Colorado Boulder, Cooperat Inst Res Environm Sci, Boulder, CO 80309 USA; [Starkweather, Sandy] NOAA, Boulder, CO 80305 USA; [Steffen, Simon] Earthanme, CH-8057 Zurich, Switzerland; [Weber, Jeff] Univ Corp Atmospher Res, Unidata Program Ctr, Boulder, CO 80301 USA; [Zwally, Henry Jay] Univ Maryland, Earth Syst Sci Interdisciplinary Ctr ESSIC, College Pk, MD 20742 USA</t>
  </si>
  <si>
    <t>Geological Survey Of Denmark &amp; Greenland; University of Otago; Swiss Federal Institutes of Technology Domain; Swiss Federal Institute for Forest, Snow &amp; Landscape Research; University of Munich; National Aeronautics &amp; Space Administration (NASA); NASA Goddard Space Flight Center; Goddard Institute for Space Studies; Colorado State University; University of Colorado System; University of Colorado Boulder; UK Research &amp; Innovation (UKRI); Natural Environment Research Council (NERC); NERC British Antarctic Survey; National Center Atmospheric Research (NCAR) - USA; Swiss Federal Institutes of Technology Domain; Swiss Federal Institute for Forest, Snow &amp; Landscape Research; University of Colorado System; University of Colorado Boulder; National Oceanic Atmospheric Admin (NOAA) - USA; National Center Atmospheric Research (NCAR) - USA; University System of Maryland; University of Maryland College Park</t>
  </si>
  <si>
    <t>Vandecrux, B (corresponding author), Dept Glaciol &amp; Climate, Geol Survey Denmark &amp; Greenland GEUS, DK-1350 Copenhagen, Denmark.</t>
  </si>
  <si>
    <t>bav@geus.dk</t>
  </si>
  <si>
    <t>Wu, Fengcheng/AAD-8588-2020; Box, Jason/H-5770-2013; Fausto, Robert/K-6185-2018; Ahlstrom, Andreas Peter/E-5257-2014; Colgan, William/H-1570-2014</t>
  </si>
  <si>
    <t>Wu, Fengcheng/0000-0002-1185-0073; Box, Jason/0000-0003-0052-8705; Fausto, Robert/0000-0003-1317-8185; Ahlstrom, Andreas Peter/0000-0001-8235-8070; Colgan, William/0000-0001-6334-1660</t>
  </si>
  <si>
    <t>National Aeronautics and Space Administration</t>
  </si>
  <si>
    <t>We acknowledge the key contributions from all the people that have participated in the GC-Net project, assisted Konrad Steffen through the years and contributed to the longevity of GC-Net. In particular, we acknowledge (in alphabetical order) the support from Robin Abbott, Waleed Abdalati, Todd Albert, Kate Daniels, Lucia Espona Pernas, Nena Griessinger, Alain Hubert, Russell Huff, Nighat Johnson-Amin, Mike MacFerrin, Molly McCallister, Reza Naderpour, Atsumu Ohmura, Allan &amp; Oslash;. Pedersen, Thomas, Philipps, Gian-Kasper Plattner, Kim Petersen, Martin Proksch, Christian Schneeberger, Christopher Shields, Martina Saerrelse, Julienne Stroeve, Benjamin Walter, &amp; Oslash;yvind A. Winton and many others. We thank three anonymous reviewers for their constructive comments.</t>
  </si>
  <si>
    <t>10.5194/essd-15-5467-2023</t>
  </si>
  <si>
    <t>IZ7T8</t>
  </si>
  <si>
    <t>gold, Green Accepted</t>
  </si>
  <si>
    <t>WOS:001170239900001</t>
  </si>
  <si>
    <t>González-Herrero, S; Navarro, F; Pertierra, LR; Oliva, M; Dadic, R; Peck, L; Lehning, M</t>
  </si>
  <si>
    <t>Gonzalez-Herrero, Sergi; Navarro, Francisco; Pertierra, Luis R.; Oliva, Marc; Dadic, Ruzica; Peck, Lloyd; Lehning, Michael</t>
  </si>
  <si>
    <t>Southward migration of the zero-degree isotherm latitude over the Southern Ocean and the Antarctic Peninsula: Cryospheric, biotic and societal implications</t>
  </si>
  <si>
    <t>Zero-degree isotherm; Climate change; Southern Ocean; Antarctic Peninsula; Cryosphere; Biodiversity</t>
  </si>
  <si>
    <t>SEA-ICE; LIVINGSTON ISLAND; SNOW ACCUMULATION; CLIMATE-CHANGE; MASS-BALANCE; ACTIVE-LAYER; SURFACE MELT; TRENDS; GLACIERS; IMPACTS</t>
  </si>
  <si>
    <t>The seasonal movement of the zero-degree isotherm across the Southern Ocean and Antarctic Peninsula drives major changes in the physical and biological processes around maritime Antarctica. These include spatial and temporal shifts in precipitation phase, snow accumulation and melt, thawing and freezing of the active layer of the permafrost, glacier mass balance variations, sea ice mass balance and changes in physiological processes of biodiversity. Here, we characterize the historical seasonal southward movement of the monthly near-surface zero-degree isotherm latitude (ZIL), and quantify the velocity of migration in the context of climate change using climate reanalyses and projections. From 1957 to 2020, the ZIL exhibited a significant southward shift of 16.8 km decade(-1) around Antarctica and of 23.8 km decade(-1) in the Antarctic Peninsula, substantially faster than the global mean velocity of temperature change of 4.2 km decade(-1), with only a small fraction being attributed to the Southern Annular Mode (SAM). CMIP6 models reproduce the trends observed from 1957 to 2014 and predict a further southward migration around Antarctica of 24 +/- 12 km decade(-1) and 50 +/- 19 km decade(-1) under the SSP2-4.5 and SSP5-8.5 scenarios, respectively. The southward migration of the ZIL is expected to have major impacts on the cryosphere, especially on the precipitation phase, snow accumulation and in peripheral glaciers of the Antarctic Peninsula, with more uncertain changes on permafrost, ice sheets and shelves, and sea ice. Longer periods of temperatures above 0 degrees C threshold will extend active biological periods in terrestrial ecosystems and will reduce the extent of oceanic ice cover, changing phenologies as well as areas of productivity in marine ecosystems, especially those located on the sea ice edge.</t>
  </si>
  <si>
    <t>[Gonzalez-Herrero, Sergi; Dadic, Ruzica; Lehning, Michael] WSL Inst Snow &amp; Avalanche Res SLF, Davos, Switzerland; [Gonzalez-Herrero, Sergi] Agencia Estatal Meteorol AEMET, Antarctic Grp, Barcelona, Spain; [Navarro, Francisco] Univ Politecn Madrid, Departmento Matemat Aplicada TIC, ETSI Telecomunicac, Madrid, Spain; [Pertierra, Luis R.] Univ Pretoria, Plant &amp; Soil Sci Dept, Pretoria, South Africa; [Pertierra, Luis R.] Univ Catolica Chile, Millennium Inst Biodivers Antarctic &amp; Subantarct E, Santiago, Chile; [Oliva, Marc] Univ Barcelona, Dept Geog, Barcelona, Spain; [Peck, Lloyd] British Antarctic Survey, UKRI NERC, Cambridge, England; [Lehning, Michael] Ecole Polytech Fed Lausanne EPFL, Sch Architecture Civil &amp; Environm Engn, Lausanne, Switzerland</t>
  </si>
  <si>
    <t>Swiss Federal Institutes of Technology Domain; Swiss Federal Institute for Forest, Snow &amp; Landscape Research; Agencia Estatal de Meteorologia (AEMET); Universidad Politecnica de Madrid; University of Pretoria; Pontificia Universidad Catolica de Chile; Universidad Catolica del Norte; University of Barcelona; UK Research &amp; Innovation (UKRI); Natural Environment Research Council (NERC); NERC British Antarctic Survey; Swiss Federal Institutes of Technology Domain; Ecole Polytechnique Federale de Lausanne</t>
  </si>
  <si>
    <t>González-Herrero, S (corresponding author), WSL Inst Snow &amp; Avalanche Res SLF, Davos, Switzerland.</t>
  </si>
  <si>
    <t>sergi.gonzalez@slf.ch</t>
  </si>
  <si>
    <t>Gonzalez-Herrero, Sergi/Y-7279-2018</t>
  </si>
  <si>
    <t>Gonzalez-Herrero, Sergi/0000-0002-2505-2435</t>
  </si>
  <si>
    <t>ANTALP (Antarctic, Arctic, Alpine Environments) - Agencia de Gestio d'Ajuts Universitaris i de Recerca of the Government of Catalonia [SGR 00269]; Spanish Ministerio de Economia y Competitividad [PID2020-113798GB-C31]; Agencia Estatal de Investigacion [PID2020-113051RB-C31]; ASICS- South Africa Biodiversa project; UKRI-NERC</t>
  </si>
  <si>
    <t>ANTALP (Antarctic, Arctic, Alpine Environments) - Agencia de Gestio d'Ajuts Universitaris i de Recerca of the Government of Catalonia; Spanish Ministerio de Economia y Competitividad(Spanish Government); Agencia Estatal de Investigacion; ASICS- South Africa Biodiversa project; UKRI-NERC(UK Research &amp; Innovation (UKRI)Natural Environment Research Council (NERC))</t>
  </si>
  <si>
    <t>SGH and MO were supported by the research group ANTALP (Antarctic, Arctic, Alpine Environments; 2021 SGR 00269) funded by the Agencia de Gestio d'Ajuts Universitaris i de Recerca of the Government of Catalonia. MO was also supported by the project NEOGREEN (PID2020-113798GB-C31) funded by the Spanish Ministerio de Economia y Competitividad. FN was funded by grant PID2020-113051RB-C31 from Agencia Estatal de Investigacion. LRP was funded by the ASICS- South Africa Biodiversa project. LSP was funded by institutional funds from UKRI-NERC</t>
  </si>
  <si>
    <t>10.1016/j.scitotenv.2023.168473</t>
  </si>
  <si>
    <t>EK8S1</t>
  </si>
  <si>
    <t>Green Published, Green Accepted, hybrid</t>
  </si>
  <si>
    <t>WOS:001138917300001</t>
  </si>
  <si>
    <t>Lapins, S; Butcher, A; Kendall, JM; Hudson, TS; Stork, AL; Werner, MJ; Gunning, J; Brisbourne, AM</t>
  </si>
  <si>
    <t>Lapins, S.; Butcher, A.; Kendall, J-m; Hudson, T. S.; Stork, A. L.; Werner, M. J.; Gunning, J.; Brisbourne, A. M.</t>
  </si>
  <si>
    <t>DAS-N2N: machine learning distributed acoustic sensing (DAS) signal denoising without clean data</t>
  </si>
  <si>
    <t>GEOPHYSICAL JOURNAL INTERNATIONAL</t>
  </si>
  <si>
    <t>Antarctica; Machine learning; Instrumental noise; Distributed acoustic sensing; Earthquake monitoring and test-ban treaty verification; Denoising</t>
  </si>
  <si>
    <t>OBSPY</t>
  </si>
  <si>
    <t>This paper presents a weakly supervised machine learning method, which we call DAS-N2N, for suppressing strong random noise in distributed acoustic sensing (DAS) recordings. DAS-N2N requires no manually produced labels (i.e. pre-determined examples of clean event signals or sections of noise) for training and aims to map random noise processes to a chosen summary statistic, such as the distribution mean, median or mode, whilst retaining the true underlying signal. This is achieved by splicing (joining together) two fibres hosted within a single optical cable, recording two noisy copies of the same underlying signal corrupted by different independent realizations of random observational noise. A deep learning model can then be trained using only these two noisy copies of the data to produce a near fully denoised copy. Once the model is trained, only noisy data from a single fibre is required. Using a data set from a DAS array deployed on the surface of the Rutford Ice Stream in Antarctica, we demonstrate that DAS-N2N greatly suppresses incoherent noise and enhances the signal-to-noise ratios (SNR) of natural microseismic icequake events. We further show that this approach is inherently more efficient and effective than standard stop/pass band and white noise (e.g. Wiener) filtering routines, as well as a comparable self-supervised learning method based on masking individual DAS channels. Our preferred model for this task is lightweight, processing 30 s of data recorded at a sampling frequency of 1000 Hz over 985 channels (approximately 1 km of fibre) in &lt;1 s. Due to the high noise levels in DAS recordings, efficient data-driven denoising methods, such as DAS-N2N, will prove essential to time-critical DAS earthquake detection, particularly in the case of microseismic monitoring.</t>
  </si>
  <si>
    <t>[Lapins, S.; Butcher, A.; Werner, M. J.; Gunning, J.] Univ Bristol, Sch Earth Sci, Bristol BS8 1RL, England; [Kendall, J-m; Hudson, T. S.] Univ Oxford, Dept Earth Sci, Oxford OX1 3AN, England; [Stork, A. L.] Silixa Ltd, Bristol WD6 3SN, England; [Brisbourne, A. M.] British Antarctic Survey, Cambridge CB3 0ET, England</t>
  </si>
  <si>
    <t>University of Bristol; University of Oxford; UK Research &amp; Innovation (UKRI); Natural Environment Research Council (NERC); NERC British Antarctic Survey</t>
  </si>
  <si>
    <t>Lapins, S (corresponding author), Univ Bristol, Sch Earth Sci, Bristol BS8 1RL, England.</t>
  </si>
  <si>
    <t>sacha.lapins@bristol.ac.uk</t>
  </si>
  <si>
    <t>Kendall, Michael/D-5973-2011; Werner, Maximilian J/ITU-6431-2023; Hudson, Thomas/IQS-9833-2023; Lapins, Sacha/HWU-8055-2023</t>
  </si>
  <si>
    <t>Kendall, Michael/0000-0002-1486-3945; Werner, Maximilian J/0000-0002-2430-2631; Hudson, Thomas/0000-0003-2944-883X; Lapins, Sacha/0000-0002-0113-0240; Butcher, Antony/0000-0002-2193-3817</t>
  </si>
  <si>
    <t>Leverhulme Trust [CASS-166, NE/G014159/1, NE/G013187/1]; NERC Collaborative Antarctic Science Scheme grant [299622]; Digital Monitoring of CO2 storage project [NE/R017956/1]; Leverhulme Trust Early Career Fellowship - Natural Environment Research Council (NERC); School of Earth Sciences, University of Bristol</t>
  </si>
  <si>
    <t>Leverhulme Trust(Leverhulme Trust); NERC Collaborative Antarctic Science Scheme grant(UK Research &amp; Innovation (UKRI)Natural Environment Research Council (NERC)); Digital Monitoring of CO2 storage project; Leverhulme Trust Early Career Fellowship - Natural Environment Research Council (NERC); School of Earth Sciences, University of Bristol</t>
  </si>
  <si>
    <t>We thank NERC British Antarctic Survey for logistics and field support, with particular thanks to Sofia Kufner for her part in deploying the DAS in the field. We also thank Silixa for the loan of an iDAS interrogator. This work was funded by a NERC Collaborative Antarctic Science Scheme grant (grant number CASS-166), the BEAMISH project (NERC grants: NE/G014159/1, NE/G013187/1) and the Digital Monitoring of CO2 storage project (DigiMon; project no. 299622), which is part of the Accelerating CCS Technologies (ACT2) program (https://www.act-ccs.eu/). Author Sacha Lapins was funded by the above DigiMon project and a Leverhulme Trust Early Career Fellowship (https://www.leverhulme.ac.uk/). Authors Antony Butcher, Michael Kendall and Thomas Hudson were also funded by the DigiMon project. Author Maximilian Werner was funded by Natural Environment Research Council (NERC) grant NE/R017956/1 ('EQUIPT4RISK'). Author Jemma Gunning was supported by an EarthArt Fellowship provided by the School of Earth Sciences, University of Bristol. We are very grateful for comments and feedback provided by Feng Cheng and an anonymous reviewer. This work was carried out using the computational facilities of the Advanced Computing Research Centre, University of Bristol - http://www.bris.ac.uk/acrc/.</t>
  </si>
  <si>
    <t>0956-540X</t>
  </si>
  <si>
    <t>1365-246X</t>
  </si>
  <si>
    <t>GEOPHYS J INT</t>
  </si>
  <si>
    <t>Geophys. J. Int.</t>
  </si>
  <si>
    <t>10.1093/gji/ggad460</t>
  </si>
  <si>
    <t>EY2H3</t>
  </si>
  <si>
    <t>WOS:001142425700002</t>
  </si>
  <si>
    <t>Benn, DI; Todd, J; Luckman, A; Bevan, S; Chudley, TR; Åstroem, J; Zwinger, T; Cook, S; Christoffersen, P</t>
  </si>
  <si>
    <t>Benn, Douglas I.; Todd, Joe; Luckman, Adrian; Bevan, Suzanne; Chudley, Thomas R.; Astroem, Jan; Zwinger, Thomas; Cook, Samuel; Christoffersen, Poul</t>
  </si>
  <si>
    <t>Controls on calving at a large Greenland tidewater glacier: stress regime, self-organised criticality and the crevasse-depth calving law</t>
  </si>
  <si>
    <t>calving; glacier calving; glacier modelling</t>
  </si>
  <si>
    <t>WEST GREENLAND; ICE-SHELF; DYNAMICS; MODEL; PATTERNS; INSIGHTS; SIZE</t>
  </si>
  <si>
    <t>We investigate the physical basis of the crevasse-depth (CD) calving law by analysing relationships between glaciological stresses and calving behaviour at Sermeq Kujalleq (Store Glacier), Greenland. Our observations and model simulations show that the glacier has a stable position defined by a compressive arch between lateral pinning points. Ice advance beyond the arch results in calving back to the stable position; conversely, if melt-undercutting forces the ice front behind the stable position, it readvances because ice velocities exceed subaqueous melt rates. This behaviour is typical of self-organising criticality, in which the stable ice-front position acts as an attractor between unstable super-critical and sub-critical regimes. This perspective provides strong support for a 'position-law' approach to modelling calving at Sermeq Kujalleq, because any calving 'rate' is simply a by-product of how quickly ice is delivered to the critical point. The CD calving law predicts ice-front position from the penetration of surface and basal crevasse fields, and accurately simulates super-critical calving back to the compressive arch and melt-driven calving into the sub-critical zone. The CD calving law reflects the glaciological controls on calving at Sermeq Kujalleq and exhibits considerable skill in simulating its mean position and seasonal fluctuations.</t>
  </si>
  <si>
    <t>[Benn, Douglas I.; Todd, Joe] Univ St Andrews, Sch Geog &amp; Sustainable Dev, St Andrews, Scotland; [Luckman, Adrian; Bevan, Suzanne] Swansea Univ, Dept Geog, Swansea, Wales; [Chudley, Thomas R.] Univ Durham, Dept Geog, Durham, England; [Astroem, Jan; Zwinger, Thomas] CSC IT Ctr Sci, Espoo, Finland; [Cook, Samuel] Univ Lausanne, Fac Geosci &amp; Environm, Lausanne, Switzerland; [Christoffersen, Poul] Inst Marine &amp; Antarctic Studies, Oceans &amp; Cryosphere, Hobart, Australia</t>
  </si>
  <si>
    <t>University of St Andrews; Swansea University; Durham University; University of Lausanne</t>
  </si>
  <si>
    <t>Benn, DI (corresponding author), Univ St Andrews, Sch Geog &amp; Sustainable Dev, St Andrews, Scotland.</t>
  </si>
  <si>
    <t>dib2@st-andrews.ac.uk</t>
  </si>
  <si>
    <t>Cook, Samuel/HZI-1429-2023; Zwinger, Thomas/H-5163-2018; Chudley, Tom/AAH-7919-2019; Christoffersen, Poul/C-7328-2013</t>
  </si>
  <si>
    <t>Cook, Samuel/0000-0002-3266-7323; Chudley, Tom/0000-0001-8547-1132; Benn, Douglas/0000-0002-3604-0886; Christoffersen, Poul/0000-0003-2643-8724; Bevan, Suzanne/0000-0003-2649-2982; Luckman, Adrian/0000-0002-9618-5905</t>
  </si>
  <si>
    <t>NERC Environmental Bioinformatics Centre [NE/P011365/1]; NERC; European Research Council [683043]; European Union [NE/L002507/1]; Natural Environment Research Council Doctoral Training Partnership Studentship; European Research Council (ERC) [683043] Funding Source: European Research Council (ERC)</t>
  </si>
  <si>
    <t>NERC Environmental Bioinformatics Centre(UK Research &amp; Innovation (UKRI)Natural Environment Research Council (NERC)); NERC(UK Research &amp; Innovation (UKRI)Natural Environment Research Council (NERC)); European Research Council(European Research Council (ERC)); European Union(European Union (EU)); Natural Environment Research Council Doctoral Training Partnership Studentship; European Research Council (ERC)(European Research Council (ERC)Spanish Government)</t>
  </si>
  <si>
    <t>Funding for satellite image analysis and modelling was provided by NERC, grant number NE/P011365/1 CALISMO (Calving Laws for Ice Sheet Models). Field data collection was funded by the European Research Council as part of the RESPONDER project under the European Union's Horizon 2020 research and innovation program (grant 683043) and a Natural Environment Research Council Doctoral Training Partnership Studentship held by T.R.C. (grant NE/L002507/1). Jason Amundsen and an anonymous reviewer provided helpful comments that improved the manuscript.</t>
  </si>
  <si>
    <t>2023 DEC 5</t>
  </si>
  <si>
    <t>10.1017/jog.2023.81</t>
  </si>
  <si>
    <t>Z6JD9</t>
  </si>
  <si>
    <t>WOS:001113111600001</t>
  </si>
  <si>
    <t>Salcedo-Castro, J; Olita, A; Saavedra, F; Saldías, GS; Cruz-Gómez, RC; Martínez, CDD</t>
  </si>
  <si>
    <t>Salcedo-Castro, Julio; Olita, Antonio; Saavedra, Freddy; Saldias, Gonzalo S.; Cruz-Gomez, Raul C.; De la Torre Martinez, Cristian D.</t>
  </si>
  <si>
    <t>Modeling the interannual variability in Maipo and Rapel river plumes off central Chile</t>
  </si>
  <si>
    <t>OCEAN SCIENCE</t>
  </si>
  <si>
    <t>CONTINENTAL-SHELF; WIND; WATER; TRANSPORT; COLUMBIA; DISPERSAL; SEDIMENT; DYNAMICS; SURFACE; FRONTS</t>
  </si>
  <si>
    <t>River plumes have a direct influence on coastal environments, impacting coastal planktonic and benthic communities, including fishery resources. In general, the main drivers of river plume dynamics are the river discharge and the alongshore wind stress, whereas the tides and topography play a secondary role. In central Chile, rivers flowing into the eastern Pacific have a relatively short path on land, with a high slope and a mixed snow-rain regime. This study aims to understand the interannual variability in the plumes of the Maipo and Rapel rivers in the coastal/shelf area off central Chile and their influence on local ocean dynamics. We used the Coastal and Regional Ocean Community (CROCO) model, with 1 km horizontal resolution and 20 sigma levels, to simulate the ocean dynamics for the period 2003-2011. The results show that the plume's area coverage and coastal ocean salinity are strongly correlated with the river discharges. The predominant northeastward winds control the plumes' orientation toward the northwest. However, episodes of southeastward winds in winter can reverse the plumes' direction, promoting their attachment to the coast and southward transport. Results also show a salification trend linked to the severe droughts hitting central Chile during the studied period. This salification determines a change in local dynamics which could be more frequent in future scenarios of climate change with a significant lack of rain and river discharges along central Chile.</t>
  </si>
  <si>
    <t>[Salcedo-Castro, Julio] Univ Tasmania, Inst Marine &amp; Antarctic Studies, Coll Sci &amp; Engn, Hobart, Australia; [Salcedo-Castro, Julio] Queensland Univ Technol, Fac Sci, Sch Earth &amp; Atmospher Sci, Brisbane, Qld, Australia; [Salcedo-Castro, Julio] Sch Sci, Sino Australian Res Consortium Coastal Management, UNSW Canberra, Canberra, ACT, Australia; [Olita, Antonio] Inst Atmospher Sci &amp; Climate, Natl Res Council, Cagliari, Italy; [Saavedra, Freddy] Univ Playa Ancha, Fac Ciencias Nat &amp; Exactas, Geog, Valparaiso, Chile; [Saavedra, Freddy] Univ Playa Ancha, Lab Teledetecc Ambiental TeleAmb, Valparaiso, Chile; [Saavedra, Freddy] Univ Playa Ancha, HUB Ambiental, Valparaiso, Chile; [Saldias, Gonzalo S.] Univ Bio Bio, Fac Ciencias, Dept Fis, Concepcion, Chile; [Saldias, Gonzalo S.] Inst Milenio Socio Ecol Costera SECOS, Santiago, Chile; [Saldias, Gonzalo S.] Univ Concepcion, Ctr Invest Oceanograf COPAS Coastal, Concepcion, Chile; [Cruz-Gomez, Raul C.; De la Torre Martinez, Cristian D.] Univ Guadalajara, Dept Fis, Blvd Marcelino Garcia BarragIn &amp; Calzada Olimp, Guadalajara 44840, Jalisco, Mexico</t>
  </si>
  <si>
    <t>University of Tasmania; Queensland University of Technology (QUT); University of New South Wales Sydney; Universidad de Playa Ancha; Universidad de Playa Ancha; Universidad de Playa Ancha; Universidad del Bio-Bio; Universidad de Concepcion; Universidad de Guadalajara</t>
  </si>
  <si>
    <t>Salcedo-Castro, J (corresponding author), Univ Tasmania, Inst Marine &amp; Antarctic Studies, Coll Sci &amp; Engn, Hobart, Australia.;Salcedo-Castro, J (corresponding author), Queensland Univ Technol, Fac Sci, Sch Earth &amp; Atmospher Sci, Brisbane, Qld, Australia.;Salcedo-Castro, J (corresponding author), Sch Sci, Sino Australian Res Consortium Coastal Management, UNSW Canberra, Canberra, ACT, Australia.</t>
  </si>
  <si>
    <t>julio.salcedocastro@qut.edu.au</t>
  </si>
  <si>
    <t>Olita, Antonio/B-6946-2015</t>
  </si>
  <si>
    <t>Olita, Antonio/0000-0003-1302-8961; Saavedra, Freddy/0000-0003-0298-7198; Cruz-Gomez, Raul C./0000-0002-2815-4496</t>
  </si>
  <si>
    <t>CONICYT FONDECYT Chile [11160309]; ANID Millennium Science Initiative Program [ICN2019_015]</t>
  </si>
  <si>
    <t>CONICYT FONDECYT Chile(Comision Nacional de Investigacion Cientifica y Tecnologica (CONICYT)CONICYT FONDECYT); ANID Millennium Science Initiative Program</t>
  </si>
  <si>
    <t>This study was funded by CONICYT FONDECYT Chile, grant 11160309 Numerical modeling of river plumesin central Chile (32S-34S) and assessment of climate change scenarios, and the ANID Millennium Science Initiative Program - code ICN2019_015 (Millennium Institute SECOS).</t>
  </si>
  <si>
    <t>1812-0784</t>
  </si>
  <si>
    <t>1812-0792</t>
  </si>
  <si>
    <t>OCEAN SCI</t>
  </si>
  <si>
    <t>Ocean Sci.</t>
  </si>
  <si>
    <t>DEC 4</t>
  </si>
  <si>
    <t>10.5194/os-19-1687-2023</t>
  </si>
  <si>
    <t>IL9U6</t>
  </si>
  <si>
    <t>WOS:001166607600001</t>
  </si>
  <si>
    <t>Fox, M; Clinger, A; Smith, AGG; Cuffey, K; Shuster, D; Herman, F</t>
  </si>
  <si>
    <t>Fox, Matthew; Clinger, Anna; Smith, Adam G. G.; Cuffey, Kurt; Shuster, David; Herman, Frederic</t>
  </si>
  <si>
    <t>Antarctic Peninsula glaciation patterns set by landscape evolution and dynamic topography</t>
  </si>
  <si>
    <t>NATURE GEOSCIENCE</t>
  </si>
  <si>
    <t>ICE-SHEET; EROSION; STABILITY; SURFACE</t>
  </si>
  <si>
    <t>The dimensions of past ice sheets provide a record of palaeoclimate but depend on underlying topography, which evolves over geological timescales by tectonic uplift and erosional downcutting. Erosion during the Pleistocene epoch (2,580 to 11.650 thousand years ago) reduced glacier extent in some locations even as climate cooled, but whether other non-climatic influences impacted the glacial-geological record is poorly known. The Antarctic Peninsula provides an opportunity to examine this issue because of its long glacial history and preservation of remnants of a low-relief pre-glacial land surface. Here we reconstructed both palaeo-surface topography and long-wavelength variations of surface uplift for the Antarctic Peninsula by using inverse analysis that assimilates local topographic remnants with the branching structures of entire modern drainage networks. We found that the Antarctic Peninsula rose tectonically by up to 1.5 km due to dynamical support from the mantle. Glaciological models using the current climate and our palaeotopography show greatly reduced ice extent in the northern Antarctic Peninsula compared with modern, indicating that the onset of glaciation identified at offshore sites reflects tectonic uplift of the topography rather than climatic cooling. In the southern Antarctic Peninsula, however, we suggest the low-relief pre-glacial landscape supported a considerably greater ice volume than the modern mountainous topography, illustrating the influence of erosional sculpting on glaciation patterns. Spatially distinct ice-sheet growth on the Antarctic Peninsula through the Pleistocene was the result of dynamic topography and pre-glacial landscape evolution, not climate, according to a palaeotopographic reconstruction and ice-sheet modelling.</t>
  </si>
  <si>
    <t>[Fox, Matthew; Smith, Adam G. G.] UCL, Dept Earth Sci, London, England; [Clinger, Anna; Cuffey, Kurt; Shuster, David] Univ Calif Berkeley, Dept Earth &amp; Planetary Sci, Berkeley, CA USA; [Clinger, Anna; Shuster, David] Berkeley Geochronol Ctr, Berkeley, CA USA; [Smith, Adam G. G.] Birkbeck Univ London, Dept Earth &amp; Planetary Sci, London, England; [Herman, Frederic] Univ Lausanne, Inst Earth Surface Dynam, Lausanne, Switzerland</t>
  </si>
  <si>
    <t>University of London; University College London; University of California System; University of California Berkeley; Berkeley Geochronolgy Center; University of London; Birkbeck University London; University of Lausanne</t>
  </si>
  <si>
    <t>Fox, M (corresponding author), UCL, Dept Earth Sci, London, England.</t>
  </si>
  <si>
    <t>m.fox@ucl.ac.uk</t>
  </si>
  <si>
    <t>Smith, Adam/0000-0002-2404-4556; Fox, Matthew/0000-0002-7401-8583</t>
  </si>
  <si>
    <t>National Science Foundation (NSF) [NE/N015479/1]; NERC [OPP-1543256]; NSF</t>
  </si>
  <si>
    <t>National Science Foundation (NSF)(National Science Foundation (NSF)); NERC(UK Research &amp; Innovation (UKRI)Natural Environment Research Council (NERC)); NSF(National Science Foundation (NSF))</t>
  </si>
  <si>
    <t>We thank G. Balco for comments on a draft of the manuscript and continued support with this project. This study was supported by NERC (NE/N015479/1) and NSF (OPP-1543256). TMA Antarctica images courtesy of USGS via the Polar Geospatial Center.</t>
  </si>
  <si>
    <t>1752-0894</t>
  </si>
  <si>
    <t>1752-0908</t>
  </si>
  <si>
    <t>NAT GEOSCI</t>
  </si>
  <si>
    <t>Nat. Geosci.</t>
  </si>
  <si>
    <t>10.1038/s41561-023-01336-7</t>
  </si>
  <si>
    <t>LJ1V0</t>
  </si>
  <si>
    <t>WOS:001112839700002</t>
  </si>
  <si>
    <t>Salerno, MA; Cruz, MJ</t>
  </si>
  <si>
    <t>Salerno, Melisa A.; Cruz, Maria Jimena</t>
  </si>
  <si>
    <t>Logbooks and Antarctic sealing. Approaching early- and late-19th-century exploitation strategies and their archaeological footprint</t>
  </si>
  <si>
    <t>POLAR RECORD</t>
  </si>
  <si>
    <t>Logbooks; South Shetland Islands; sealing; exploitation strategies; archaeology</t>
  </si>
  <si>
    <t>In the 19th century, sealing vessels visited the South Shetland Islands to exploit animal resources for the global skin and oil markets. The captains or mates of these vessels were responsible for keeping a logbook in which they recorded daily observations of weather conditions, hunting activities, etc. Despite the value of these documents as a source of information, archaeologists studying Antarctic sealing have not always relied on them. This paper examines the potential of logbooks for providing information that is relevant to the archaeological study of sealing in the South Shetland Islands. In particular, it discusses how documentary analysis of exploitation strategies can provide insight into the dynamics that influenced the configuration of sealers' sites. To this end, we propose a methodology for investigating exploitation strategies, taking into account several archaeologically sensitive variables, including the number, location and duration of landings, as well as the activities carried out during these events. We have taken four logbooks dating from the early and late 19th century - specifically those of the Aurora (1820-1821), the Huron (1820-1822), the Thomas Hunt (1873-1874) and the Sarah W. Hunt (1887-1888) - as case studies to test the proposed methodology.</t>
  </si>
  <si>
    <t>[Salerno, Melisa A.; Cruz, Maria Jimena] IMHICIHU CONICET, Natl Sci &amp; Tech Res Council, Inst Multidisciplinario Hist &amp; Ciencias Humanas, Multidisciplinary Inst Hist &amp; Human Sci, 15 Saavedra St, RA-C1083ACA Buenos Aires, Argentina</t>
  </si>
  <si>
    <t>Salerno, MA (corresponding author), IMHICIHU CONICET, Natl Sci &amp; Tech Res Council, Inst Multidisciplinario Hist &amp; Ciencias Humanas, Multidisciplinary Inst Hist &amp; Human Sci, 15 Saavedra St, RA-C1083ACA Buenos Aires, Argentina.</t>
  </si>
  <si>
    <t>melisa_salerno@yahoo.com.ar</t>
  </si>
  <si>
    <t>CNPq (MCTIC/CNPq) [28/2018-Project 425525/2018-0]; CAPES [001]</t>
  </si>
  <si>
    <t>CNPq (MCTIC/CNPq)(Conselho Nacional de Desenvolvimento Cientifico e Tecnologico (CNPQ)Fundacao de Apoio a Pesquisa do Distrito Federal (FAPDF)); CAPES(Coordenacao de Aperfeicoamento de Pessoal de Nivel Superior (CAPES))</t>
  </si>
  <si>
    <t>This work was supported by financial assistance from CNPq (MCTIC/CNPq No. 28/2018-Project 425525/2018-0) and CAPES (financial code 001).</t>
  </si>
  <si>
    <t>0032-2474</t>
  </si>
  <si>
    <t>1475-3057</t>
  </si>
  <si>
    <t>POLAR REC</t>
  </si>
  <si>
    <t>POLAR REC.</t>
  </si>
  <si>
    <t>e39</t>
  </si>
  <si>
    <t>10.1017/S0032247423000293</t>
  </si>
  <si>
    <t>Ecology; Environmental Sciences</t>
  </si>
  <si>
    <t>Z5PK8</t>
  </si>
  <si>
    <t>WOS:001112591000001</t>
  </si>
  <si>
    <t>Gorodetskaya, IV; Durán-Alarcón, C; González-Herrero, S; Clem, KR; Zou, X; Rowe, P; Imazio, PR; Campos, D; Santos, CLD; Dutrievoz, N; Wille, JD; Chyhareva, A; Favier, V; Blanchet, J; Pohl, B; Cordero, RR; Park, SJ; Colwell, S; Lazzara, MA; Carrasco, J; Gulisano, AM; Krakovska, S; Ralph, FM; Dethinne, T; Picard, G</t>
  </si>
  <si>
    <t>Gorodetskaya, Irina V.; Duran-Alarcon, Claudio; Gonzalez-Herrero, Sergi; Clem, Kyle R.; Zou, Xun; Rowe, Penny; Imazio, Paola Rodriguez; Campos, Diego; Leroy-Dos Santos, Christophe; Dutrievoz, Niels; Wille, Jonathan D.; Chyhareva, Anastasiia; Favier, Vincent; Blanchet, Juliette; Pohl, Benjamin; Cordero, Raul R.; Park, Sang-Jong; Colwell, Steve; Lazzara, Matthew A.; Carrasco, Jorge; Gulisano, Adriana Maria; Krakovska, Svitlana; Ralph, F. Martin; Dethinne, Thomas; Picard, Ghislain</t>
  </si>
  <si>
    <t>Record-high Antarctic Peninsula temperatures and surface melt in February 2022: a compound event with an intense atmospheric river</t>
  </si>
  <si>
    <t>NPJ CLIMATE AND ATMOSPHERIC SCIENCE</t>
  </si>
  <si>
    <t>MASS-BALANCE; ICE SHELVES; BLOCKING; TRENDS; MODEL; SCALE; PRECIPITATION; VARIABILITY; GENERATION; CYCLONES</t>
  </si>
  <si>
    <t>The Antarctic Peninsula (AP) experienced a new extreme warm event and record-high surface melt in February 2022, rivaling the recent temperature records from 2015 and 2020, and contributing to the alarming series of extreme warm events over this region showing stronger warming compared to the rest of Antarctica. Here, the drivers and impacts of the event are analyzed in detail using a range of observational and modeling data. The northern/northwestern AP was directly impacted by an intense atmospheric river (AR) attaining category 3 on the AR scale, which brought anomalous heat and rainfall, while the AR-enhanced foehn effect further warmed its northeastern side. The event was triggered by multiple large-scale atmospheric circulation patterns linking the AR formation to tropical convection anomalies and stationary Rossby waves, with an anomalous Amundsen Sea Low and a record-breaking high-pressure system east of the AP. This multivariate and spatial compound event culminated in widespread and intense surface melt across the AP. Circulation analog analysis shows that global warming played a role in the amplification and increased probability of the event. Increasing frequency of such events can undermine the stability of the AP ice shelves, with multiple local to global impacts, including acceleration of the AP ice mass loss and changes in sensitive ecosystems.</t>
  </si>
  <si>
    <t>[Gorodetskaya, Irina V.; Duran-Alarcon, Claudio] Univ Porto, Interdisciplinary Ctr Marine &amp; Environm Res CIIMAR, Terminal Cruzeiros Porto Leixoes, Ave Gen Norton Matos S-N, P-4450208 Matosinhos, Portugal; [Gorodetskaya, Irina V.; Duran-Alarcon, Claudio; Leroy-Dos Santos, Christophe; Dutrievoz, Niels] Univ Aveiro, Ctr Environm &amp; Marine Studies CESAM, Dept Phys, Aveiro, Portugal; [Gonzalez-Herrero, Sergi] WSL Inst Snow &amp; Avalanche Res SLF, Davos, Switzerland; [Gonzalez-Herrero, Sergi] Antarctic Grp, State Meteorol Agcy AEMET, Barcelona, Spain; [Clem, Kyle R.] Victoria Univ Wellington, Wellington, New Zealand; [Zou, Xun; Ralph, F. Martin] Univ Calif San Diego, Scripps Inst Oceanog, Ctr Western Weather &amp; Water Extremes CW3E, San Diego, CA USA; [Rowe, Penny] NorthWest Res Associates, Seattle, WA USA; [Imazio, Paola Rodriguez] Consejo Nacl Invest Cient &amp; Tecn, Serv Meteorol Nacl, Buenos Aires, Argentina; [Campos, Diego] Direcc Meteorol Chile, Santiago, Chile; [Leroy-Dos Santos, Christophe; Dutrievoz, Niels] Univ Paris Saclay, Lab Sci Climat &amp; Environm, LSCE IPSL, CEA CNRS UVSQ, Gif Sur Yvette, France; [Wille, Jonathan D.] Swiss Fed Inst Technol, Inst Atmospher &amp; Climate Sci, Zurich, Switzerland; [Wille, Jonathan D.; Favier, Vincent; Blanchet, Juliette; Picard, Ghislain] UGA, Inst Geosci Environm, CNRS, St Martin Dheres, France; [Chyhareva, Anastasiia; Krakovska, Svitlana] Ukrainian Hydrometeorol Inst, Kiev, Ukraine; [Chyhareva, Anastasiia; Krakovska, Svitlana] Natl Antarctic Sci Ctr Ukraine, Kiev, Ukraine; [Pohl, Benjamin] Univ Bourgogne Franche Comte, CNRS, Biogeosci, UMR 6282, Dijon, France; [Cordero, Raul R.] Univ Santiago Chile, Ave Bernardo OHiggins,3363, Santiago, Chile; [Park, Sang-Jong] Korea Polar Res Inst, Incheon, South Korea; [Colwell, Steve] British Antarctic Survey, Cambridge, England; [Lazzara, Matthew A.] Madison Area Tech Coll, Madison, WI USA; [Lazzara, Matthew A.] Univ Wisconsin Madison, Madison, WI USA; [Carrasco, Jorge] Univ Magallanes, Ctr Invest GAIA Antart CIGA, Punta Arenas, Chile; [Gulisano, Adriana Maria] Inst Antart Argentino, Direcc Nacl Antart, Buenos Aires, Argentina; [Gulisano, Adriana Maria] UBA, Inst Astron &amp; Fis Espacio, CONICET, Buenos Aires, Argentina; [Gulisano, Adriana Maria] Univ Buenos Aires, Fac Ciencias Exactas &amp; Nat, Dept Fis, Buenos Aires, Argentina; [Dethinne, Thomas] Univ Liege, Lab Climatol, UR Sphere, Liege, Belgium; [Dethinne, Thomas] Univ Liege, Lab Earth Observat &amp; Ecosyst Modelling, UR Sphere, Liege, Belgium</t>
  </si>
  <si>
    <t>Universidade do Porto; Universidade de Aveiro; Swiss Federal Institutes of Technology Domain; Swiss Federal Institute for Forest, Snow &amp; Landscape Research; Agencia Estatal de Meteorologia (AEMET); Victoria University Wellington; University of California System; University of California San Diego; Scripps Institution of Oceanography; NorthWest Research Associates; Consejo Nacional de Investigaciones Cientificas y Tecnicas (CONICET); CEA; Centre National de la Recherche Scientifique (CNRS); Universite Paris Saclay; Universite Paris Cite; Swiss Federal Institutes of Technology Domain; ETH Zurich; Communaute Universite Grenoble Alpes; Universite Grenoble Alpes (UGA); Centre National de la Recherche Scientifique (CNRS); National Academy of Sciences Ukraine; Ukrainian Hydrometeorological Institute of the State Emergency Service of Ukraine &amp; National Academy of Sciences of Ukraine; Ministry of Education &amp; Science of Ukraine; State Institution National Antarctic Scientific Center; Universite de Bourgogne; Centre National de la Recherche Scientifique (CNRS); Universidad de Santiago de Chile; Korea Polar Research Institute (KOPRI); UK Research &amp; Innovation (UKRI); Natural Environment Research Council (NERC); NERC British Antarctic Survey; University of Wisconsin System; University of Wisconsin Madison; Universidad de Magallanes; Instituto Antartico Argentino; Consejo Nacional de Investigaciones Cientificas y Tecnicas (CONICET); Instituto de Astronomia y Fisica del Espacio (IAFE); University of Buenos Aires; University of Buenos Aires; University of Liege; University of Liege</t>
  </si>
  <si>
    <t>Gorodetskaya, IV (corresponding author), Univ Porto, Interdisciplinary Ctr Marine &amp; Environm Res CIIMAR, Terminal Cruzeiros Porto Leixoes, Ave Gen Norton Matos S-N, P-4450208 Matosinhos, Portugal.;Gorodetskaya, IV (corresponding author), Univ Aveiro, Ctr Environm &amp; Marine Studies CESAM, Dept Phys, Aveiro, Portugal.</t>
  </si>
  <si>
    <t>irinag@ciimar.up.pt</t>
  </si>
  <si>
    <t>Wille, Jonathan/KFQ-5871-2024; Clem, Kyle/AAG-6626-2021; Picard, Ghislain/D-4246-2013; Gonzalez-Herrero, Sergi/Y-7279-2018; Carrasco, Jorge/ACG-6766-2022; Gulisano, Adriana M./AAD-9554-2021; zou, xun/I-2438-2015; Pohl, Benjamin/L-7696-2017; Gorodetskaya, Irina/K-1987-2015</t>
  </si>
  <si>
    <t>Clem, Kyle/0000-0002-1419-2758; Picard, Ghislain/0000-0003-1475-5853; Gonzalez-Herrero, Sergi/0000-0002-2505-2435; Carrasco, Jorge/0000-0003-2154-5483; Gulisano, Adriana M./0000-0002-2234-4432; zou, xun/0000-0003-1620-3198; Dutrievoz, Niels/0000-0002-8133-5616; Pohl, Benjamin/0000-0002-9339-797X; Campos Diaz, Diego A./0000-0001-9351-7014; Chyhareva, Anastasiia/0000-0003-0195-751X; Duran-Alarcon, Claudio/0000-0001-9559-8161; Leroy-Dos Santos, Christophe/0000-0002-0051-7507; Rowe, Penny/0000-0002-7594-0553; Gorodetskaya, Irina/0000-0002-2294-7823</t>
  </si>
  <si>
    <t>FCT - Fundacao para a Ciencia e a Tecnologia; Royal Society of New Zealand Marsden Fund; Korea Polar Research Institute (KOPRI) grant - Ministry of Oceans and Fisheries; Agence Nationale de la Recherche project; National Science Foundation; ANID-FONDECYT Project; INACH [UIDB/04423/2020, UIDP/04423/2020, UIDP/50017/2020, UIDB/50017/2020, LA/P/0094/2020, 2021.03140.CEECIND, CIRCNA/CAC/0273/2019, 2022.09201.PTDC]; ANID (FONDECYT) [MFP-VUW2010]; ANID (ANILLO) [KOPRI PE23030]; CORFO [ANR-20-CE01-0013]; Argentinian grant UBACyT (UBA) [2127632, 2229392, 19BP-117358]; PNRA [1951603]; Ukrainian State Special-Purpose Research Program in Antarctica for 2011-2023 [1221122]; Fonds de la Recherche Scientifique de Belgique (F.R.S. - FNRS) [RT_69-20]; Walloon Region [1191932]; [ACT210046]; [PIP-CONICET-11220130100439CO]; [2.5020.11]; [1117545]</t>
  </si>
  <si>
    <t>FCT - Fundacao para a Ciencia e a Tecnologia(Fundacao para a Ciencia e a Tecnologia (FCT)); Royal Society of New Zealand Marsden Fund(Royal Society of New ZealandMarsden Fund (NZ)); Korea Polar Research Institute (KOPRI) grant - Ministry of Oceans and Fisheries; Agence Nationale de la Recherche project(Agence Nationale de la Recherche (ANR)); National Science Foundation(National Science Foundation (NSF)); ANID-FONDECYT Project; INACH; ANID (FONDECYT); ANID (ANILLO); CORFO; Argentinian grant UBACyT (UBA); PNRA; Ukrainian State Special-Purpose Research Program in Antarctica for 2011-2023; Fonds de la Recherche Scientifique de Belgique (F.R.S. - FNRS)(Fonds de la Recherche Scientifique - FNRS); Walloon Region; ; ; ;</t>
  </si>
  <si>
    <t>This paper is a contribution to the Year of Polar Prediction in the Southern Hemisphere (YOPP-SH) international initiative and to the SCAR scientific research program AntClimNow. We thank Alicia Bentley for publicly available GFS-based maps, ECMWF for the operational forecasts provided to assist the Year of Polar Prediction in the Southern Hemisphere, and Antarctic Mesoscale Prediction System (AMPS) based on Polar WRF model maintained by Jordan Powers and Kevin Manning (NCAR) and Ohio State University Antarctic group, all of which helped to forecast the event. ERA5 and ERA5-Land data are available via ECMWF Copernicus Climate Change Service (C3S, https://cds.climate.copernicus.eu). We thank all national weather services listed in the Data availability section for providing station data. We thank the Chilean Antarctic Institute (INACH) for logistic support. I.V.G. thanks the support by the strategic funding to CIIMAR (UIDB/04423/2020, UIDP/04423/2020), CESAM (UIDP/50017/2020, UIDB/50017/2020, LA/P/0094/2020), 2021.03140.CEECIND, projects ATLACE (CIRCNA/CAC/0273/2019) and MAPS (2022.09201.PTDC) through national funds provided by FCT - Fundacao para a Ciencia e a Tecnologia. C.D.-A. was supported by postdoctoral fellowship in FCT project ATLACE (CIRCNA/CAC/0273/2019). I.V.G. and C.D.-A. thank FCT Portuguese Polar Program (PROPOLAR) for logistic support for the Antarctic fieldwork projects conducted in February 2022. K.R.C. acknowledges funding from the Royal Society of New Zealand Marsden Fund grant MFP-VUW2010. S.-J.P. was supported by the Korea Polar Research Institute (KOPRI) grant funded by the Ministry of Oceans and Fisheries (KOPRI PE23030). J.D.W. and V.F. acknowledge support from the Agence Nationale de la Recherche project, ANR-20-CE01-0013 (ARCA). P.R. and X.Z. were supported by National Science Foundation grants 2127632 and 2229392. J.C. thanks ANID-FONDECYT Project No. 1221122. RRC thanks the support of INACH (RT_69-20), ANID (FONDECYT 1191932 &amp; ANILLO ACT210046), and CORFO (19BP-117358). M.L. was supported by the National Science Foundation Grant 1951603. A.M.G acknowledges partial support from the Argentinian grants UBACyT (UBA), PIP-CONICET-11220130100439CO, and PNRA for providing the necessary materials for the soundings, IAA, and SMN for forecasts and logistic support. S.K. and A.C. were supported by the Ukrainian State Special-Purpose Research Program in Antarctica for 2011-2023. T.D. thanks Consortium des Equipements de Calcul Intensif (CECI) for the computer resources, the Fonds de la Recherche Scientifique de Belgique (F.R.S. - FNRS, grant #2.5020.11) and the Tier-1 supercomputer (Nic5) of the Federation Wallonie Bruxelles infrastructure funded by the Walloon Region (grant #1117545). Special thanks to Christoph Kittel for the help on the MAR data processing and evaluation.</t>
  </si>
  <si>
    <t>2397-3722</t>
  </si>
  <si>
    <t>NPJ CLIM ATMOS SCI</t>
  </si>
  <si>
    <t>npj Clim. Atmos. Sci.</t>
  </si>
  <si>
    <t>10.1038/s41612-023-00529-6</t>
  </si>
  <si>
    <t>Z5KF7</t>
  </si>
  <si>
    <t>WOS:001112455800001</t>
  </si>
  <si>
    <t>Reed, B; Green, JAM; Jenkins, A; Gudmundsson, GH</t>
  </si>
  <si>
    <t>Reed, Brad; Green, J. A. Mattias; Jenkins, Adrian; Gudmundsson, G. Hilmar</t>
  </si>
  <si>
    <t>Recent irreversible retreat phase of Pine Island Glacier</t>
  </si>
  <si>
    <t>NATURE CLIMATE CHANGE</t>
  </si>
  <si>
    <t>MARINE ICE-SHEET; AMUNDSEN SEA EMBAYMENT; MODEL INTERCOMPARISON PROJECT; GROUNDING LINE RETREAT; WEST ANTARCTICA; THWAITES GLACIER; LEVEL RISE; SHELF; BENEATH; SENSITIVITY</t>
  </si>
  <si>
    <t>Pine Island Glacier (PIG), a part of the West Antarctic marine ice sheet, has recently undergone substantial changes including speed up, retreat and thinning. Theoretical arguments and modelling work suggest that marine ice sheets can become unstable and undergo irreversible retreat. Here, we use an ice-flow model validated by observational data to show that a rapid PIG retreat in the 1970s from a subglacial ridge to an upstream ice plain was self-enhancing and irreversible. The results suggest that by the early 1970s, the retreat of PIG had reached a point beyond which its original position at the ridge could not be recovered, even during subsequent periods of cooler ocean conditions. The irreversible phase ended by the early 1990s after almost 40 km of retreat and 0.34 mm added to global mean sea level, making PIG the main contributor from the Antarctic ice sheet in this period. It has been suggested that Antarctic ice sheets can become unstable and undergo irreversible retreat, but so far observational evidence for this mechanism is missing. Here, the authors show evidence that such an irreversible retreat occurred at Pine Island Glacier in West Antarctica in the 1970s.</t>
  </si>
  <si>
    <t>[Reed, Brad; Green, J. A. Mattias] Bangor Univ, Sch Ocean Sci, Menai Bridge, England; [Reed, Brad; Jenkins, Adrian; Gudmundsson, G. Hilmar] Northumbria Univ, Dept Geog &amp; Environm Sci, Newcastle Upon Tyne, England</t>
  </si>
  <si>
    <t>Bangor University; Northumbria University</t>
  </si>
  <si>
    <t>Reed, B (corresponding author), Bangor Univ, Sch Ocean Sci, Menai Bridge, England.;Reed, B (corresponding author), Northumbria Univ, Dept Geog &amp; Environm Sci, Newcastle Upon Tyne, England.</t>
  </si>
  <si>
    <t>brad.reed@northumbria.ac.uk</t>
  </si>
  <si>
    <t>Gudmundsson, Gudmundur Hilmar/AAU-5987-2020</t>
  </si>
  <si>
    <t>Gudmundsson, Gudmundur Hilmar/0000-0003-4236-5369; Green, Mattias/0000-0001-5090-1040; Reed, Brad/0000-0002-2677-2549; Jenkins, Adrian/0000-0002-9117-0616</t>
  </si>
  <si>
    <t>RCUK | Natural Environment Research Council (NERC); Supercomputing Wales project - European Regional Development Fund through Welsh Government [MR/W011816/1]; ENVISION Doctoral Training Partnership studentship from the Natural Environment Research Council [820575]; European Union</t>
  </si>
  <si>
    <t>RCUK | Natural Environment Research Council (NERC)(UK Research &amp; Innovation (UKRI)Natural Environment Research Council (NERC)); Supercomputing Wales project - European Regional Development Fund through Welsh Government; ENVISION Doctoral Training Partnership studentship from the Natural Environment Research Council; European Union(European Union (EU))</t>
  </si>
  <si>
    <t>We acknowledge the support and resources of the Supercomputing Wales project, which is part-funded by the European Regional Development Fund through Welsh Government. B.R. was supported by the ENVISION Doctoral Training Partnership studentship from the Natural Environment Research Council and was in part supported by UKRI (grant no. MR/W011816/1). G.H.G. and A.J. have received funding from the European Union's Horizon 2020 research and innovation programme under grant no. 820575: Tipping points in the Antarctic climate components.</t>
  </si>
  <si>
    <t>1758-678X</t>
  </si>
  <si>
    <t>1758-6798</t>
  </si>
  <si>
    <t>NAT CLIM CHANGE</t>
  </si>
  <si>
    <t>Nat. Clim. Chang.</t>
  </si>
  <si>
    <t>2023 DEC 4</t>
  </si>
  <si>
    <t>10.1038/s41558-023-01887-y</t>
  </si>
  <si>
    <t>Environmental Sciences; Environmental Studies; Meteorology &amp; Atmospheric Sciences</t>
  </si>
  <si>
    <t>Z5YJ8</t>
  </si>
  <si>
    <t>hybrid, Green Published, Green Submitted</t>
  </si>
  <si>
    <t>WOS:001112824400001</t>
  </si>
  <si>
    <t>Nose, T; Katsuno, T; Waseda, T; Ushio, S; Rabault, J; Kodaira, T; Voermans, J</t>
  </si>
  <si>
    <t>Nose, Takehiko; Katsuno, Tomotaka; Waseda, Takuji; Ushio, Shuki; Rabault, Jean; Kodaira, Tsubasa; Voermans, Joey</t>
  </si>
  <si>
    <t>Observation of wave propagation over 1,000 km into Antarctica winter pack ice</t>
  </si>
  <si>
    <t>COASTAL ENGINEERING JOURNAL</t>
  </si>
  <si>
    <t>Drifting wave-ice buoy; Lutzow-Holm Bay; waves in Antarctic sea ice; Japanese Antarctic Research Expedition; OpenMetBuoy</t>
  </si>
  <si>
    <t>SEA-ICE</t>
  </si>
  <si>
    <t>A drifting wave-ice buoy (Medusa-766) was deployed at the Lutzow-Holm Bay (LHB) marginal ice zone in Antarctica during the 63rd Japanese Antarctic Research Expedition to study the wave influence on the unstable LHB fast ice. Medusa-766 survived the Antarctic winter as it was located deep in the ice cover with the shortest distance to the ice-free Southern Ocean over 1,000 km; at this time, there was evidence of 8-cm-height wave signal at the buoy position. Using the the ECMWF's reanalysis wave data, we show that the incoming waves were likely 4-m waves that were generated by an extratropical cyclone in the Southern Ocean. Wave-induced ice breakup potential for this event could extend hundreds of kilometres into the ice field. When Medusa-766 was in LHB in the summer months, it did not detect sizable wave energy despite the low sea ice concentration extent even during on-ice wave events. Understanding the wave attenuation characteristics is needed to elucidate the ocean wave effect to the unstable LHB fast ice. The success of Medusa-766 demonstrates the robustness of the general design and the high sensitivity of the sensor used, which is promising for future LHB wave-ice interaction research.</t>
  </si>
  <si>
    <t>[Nose, Takehiko; Katsuno, Tomotaka; Waseda, Takuji; Kodaira, Tsubasa] Univ Tokyo, Grad Sch Frontier Sci, Dept Ocean Technol Policy &amp; Environm, Kashiwa, Chiba, Japan; [Ushio, Shuki] Natl Inst Polar Res, Ctr Antarctic Programs, Tachikawa, Tokyo, Japan; [Ushio, Shuki] SOKENDAI, Grad Univ Adv Studies, Tachikawa, Tokyo, Japan; [Rabault, Jean] Norwegian Meteorol Inst, IT Dept, Oslo, Norway; [Voermans, Joey] Univ Melbourne, Dept Infrastructure Engn, Parkville, VIC, Australia</t>
  </si>
  <si>
    <t>University of Tokyo; Research Organization of Information &amp; Systems (ROIS); National Institute of Polar Research (NIPR) - Japan; Graduate University for Advanced Studies - Japan; Norwegian Meteorological Institute; University of Melbourne</t>
  </si>
  <si>
    <t>Nose, T (corresponding author), Univ Tokyo, Grad Sch Frontier Sci, Dept Ocean Technol Policy &amp; Environm, Kashiwa, Chiba, Japan.</t>
  </si>
  <si>
    <t>tak.nose@edu.k.u-tokyo.ac.jp</t>
  </si>
  <si>
    <t>Waseda, Takuji/F-1445-2019</t>
  </si>
  <si>
    <t>Arctic Challenge for Sustainability II (ArCS II) Project [JPMXD1420318865]; JSPS KAKENHI [JP 19H00801, 19H05512, 21K14357, 22H00241]</t>
  </si>
  <si>
    <t>Arctic Challenge for Sustainability II (ArCS II) Project; JSPS KAKENHI(Ministry of Education, Culture, Sports, Science and Technology, Japan (MEXT)Japan Society for the Promotion of ScienceGrants-in-Aid for Scientific Research (KAKENHI))</t>
  </si>
  <si>
    <t>This work was a part of the Arctic Challenge for Sustainability II (ArCS II) Project (Program Grant Number JPMXD1420318865).A part of this study was also conducted under JSPS KAKENHI Grant Numbers JP 19H00801, 19H05512, 21K14357, and 22H00241.</t>
  </si>
  <si>
    <t>2166-4250</t>
  </si>
  <si>
    <t>1793-6292</t>
  </si>
  <si>
    <t>COAST ENG J</t>
  </si>
  <si>
    <t>Coast Eng. J.</t>
  </si>
  <si>
    <t>2023 DEC 3</t>
  </si>
  <si>
    <t>10.1080/21664250.2023.2283243</t>
  </si>
  <si>
    <t>Engineering, Civil; Engineering, Ocean</t>
  </si>
  <si>
    <t>Z5LG3</t>
  </si>
  <si>
    <t>WOS:001112482400001</t>
  </si>
  <si>
    <t>Chen, DJ; Hu, ZL; Wang, F; Gou, YM; Zhang, T</t>
  </si>
  <si>
    <t>Chen, Dongjie; Hu, Zhenluan; Wang, Fu; Gou, Yanmei; Zhang, Ting</t>
  </si>
  <si>
    <t>Ionospheric response characteristics and PPP accuracy analysis at different latitudes during strong geomagnetic storms</t>
  </si>
  <si>
    <t>ACTA GEOPHYSICA</t>
  </si>
  <si>
    <t>Strong geomagnetic storms; Ionospheric response; ROTI; PPP</t>
  </si>
  <si>
    <t>DEPENDENT RESPONSE</t>
  </si>
  <si>
    <t>To investigate the response of ionosphere to strong geomagnetic storms at different latitudes, this paper focuses on the response characteristics of global ionospheric ROTI at different latitudes during the September 2017 strong geomagnetic storms based on global ROTI maps and GPS dual-frequency observation data, and explores the PPP accuracy of GPS stations at each latitude during two different types of strong geomagnetic storms. The results show that (i) the daily mean ROTI values during the September 2017 strong geomagnetic storms show a spatial distribution of higher in the global region in the high-latitude region of North America, the northern European region and the whole Antarctic region, and lower in other regions. (ii) The highest ROTI time mean value in the high-latitude belt, with a peak value of 0.30 TECU/min, exceeds twice the peak value of the global time mean value; within the mid-latitude belt, the ROTI time mean value in the northern hemisphere is larger, with values exceeding three times those of the Southern Hemisphere. (iii) During the strong geomagnetic storm in September 2017, the PPP results of high-latitude GPS stations were affected to a greater extent, and the mean value of positioning error in the vertical direction exceeded 2.0 m. (iv) During the strong geomagnetic storm in November 2021, the changing trend of the mean value of PPP positioning error at different latitudes was consistent with that of 2017, but the mean value of positioning error and RMS at high latitudes in 2021 was higher than those in 2017.</t>
  </si>
  <si>
    <t>[Chen, Dongjie; Wang, Fu] Zibo Jinzhai Surveying &amp; Mapping Co Ltd, Zibo 255000, Peoples R China; [Hu, Zhenluan] Jinyun Cty Land Spatial Planning Serv Ctr, Lishui 321400, Peoples R China; [Gou, Yanmei] Gansu Forestry Polytech, Tianshui 741020, Peoples R China; [Zhang, Ting] Shandong Univ Technol, Sch Civil Engn &amp; Geomatics, Zibo 255000, Peoples R China</t>
  </si>
  <si>
    <t>Shandong University of Technology</t>
  </si>
  <si>
    <t>Gou, YM (corresponding author), Gansu Forestry Polytech, Tianshui 741020, Peoples R China.</t>
  </si>
  <si>
    <t>421038167@qq.com</t>
  </si>
  <si>
    <t>SPRINGER INT PUBL AG</t>
  </si>
  <si>
    <t>CHAM</t>
  </si>
  <si>
    <t>GEWERBESTRASSE 11, CHAM, CH-6330, SWITZERLAND</t>
  </si>
  <si>
    <t>1895-6572</t>
  </si>
  <si>
    <t>1895-7455</t>
  </si>
  <si>
    <t>ACTA GEOPHYS</t>
  </si>
  <si>
    <t>Acta Geophys.</t>
  </si>
  <si>
    <t>10.1007/s11600-023-01209-y</t>
  </si>
  <si>
    <t>Z5KT2</t>
  </si>
  <si>
    <t>WOS:001112469300001</t>
  </si>
  <si>
    <t>Song, HM; Kim, HK</t>
  </si>
  <si>
    <t>Song, Ha Min; Kim, Hyung Kwoun</t>
  </si>
  <si>
    <t>Production of octyl butyrate using psychrophilic mutant lipase from Croceibacter atlanticus LipCA lipase developed by a molecular evolution technique</t>
  </si>
  <si>
    <t>ENZYME AND MICROBIAL TECHNOLOGY</t>
  </si>
  <si>
    <t>LipCA lipase; Psychrophilic enzyme; Error-prone PCR; Octyl butyrate; Site-directed mutagenesis</t>
  </si>
  <si>
    <t>TRANSGLYCOSYLATION ACTIVITY; INDUSTRIAL APPLICATIONS; COLD; ENZYMES; EXPRESSION</t>
  </si>
  <si>
    <t>Lipases are used to synthesize a variety of industrially useful compounds. Among them, psychrophilic lipase can be used to synthesize thermo-labile compounds at low temperatures. In this study, random mutagenesis was introduced into Antarctic Croceibacter atlanticus lipase gene using error-prone PCR, resulting in changes in its protein sequence. Through two rounds of mutagenesis and screening, we found that a mutant R1 showed an enhanced activity at low temperatures. Mutant R1 had five mutations (F43L, S48G, S49G, D141K, and K297R) and higher kcat/KM value than the wild type (WT) at 10 degrees C. We immobilized this enzyme on methacrylate divinylbenzene resin and used it to synthesize octyl butyrate, a flavor compound. The esterification reaction proceeded even at 10 degrees C. Mutant R1 synthesized the ester compound faster than the WT. To determine which amino acids were responsible for the increase of activity, site-directed mutagenesis was performed to introduce five back mutations into mutant R1. Three back mutants (L43F, G48S, G49S) showed significant decreases of activity at low temperatures, indicating that these amino acids were closely related to the increase in activity. This psychrophilic mutant R1 is expected to be used in low-temperature enzyme conversion reactions in the food industry.</t>
  </si>
  <si>
    <t>[Song, Ha Min; Kim, Hyung Kwoun] Catholic Univ Korea, Div Biotechnol, Bucheon 420743, South Korea</t>
  </si>
  <si>
    <t>Catholic University of Korea</t>
  </si>
  <si>
    <t>Kim, HK (corresponding author), Catholic Univ Korea, Div Biotechnol, Bucheon 420743, South Korea.</t>
  </si>
  <si>
    <t>hkkim@catholic.ac.kr</t>
  </si>
  <si>
    <t>Korea Polar Research Institute [PE23150]; Ministry of Oceans and Fisheries</t>
  </si>
  <si>
    <t>Korea Polar Research Institute(Korea Polar Research Institute of Marine Research Placement (KOPRI)); Ministry of Oceans and Fisheries</t>
  </si>
  <si>
    <t>This research was supported by Korea Polar Research Institute (PE23150) and funded by the Ministry of Oceans and Fisheries.</t>
  </si>
  <si>
    <t>0141-0229</t>
  </si>
  <si>
    <t>1879-0909</t>
  </si>
  <si>
    <t>ENZYME MICROB TECH</t>
  </si>
  <si>
    <t>Enzyme Microb. Technol.</t>
  </si>
  <si>
    <t>10.1016/j.enzmictec.2023.110370</t>
  </si>
  <si>
    <t>Biotechnology &amp; Applied Microbiology</t>
  </si>
  <si>
    <t>DD0L8</t>
  </si>
  <si>
    <t>WOS:001129975700001</t>
  </si>
  <si>
    <t>King, MA; Lyu, K; Zhang, XB</t>
  </si>
  <si>
    <t>King, Matt A.; Lyu, Kewei; Zhang, Xuebin</t>
  </si>
  <si>
    <t>Climate variability a key driver of recent Antarctic ice-mass change</t>
  </si>
  <si>
    <t>Multiple datasets show the Antarctic Ice Sheet has lost mass over recent decades and therefore contributed to sea-level rise. Short-term variability in ice mass has been associated partly with El Nino/Southern Oscillation (ENSO), for both the grounded ice sheet and its bounding ice shelves, but a connection with the Southern Annular Mode-the dominant climate mode in the region-is not fully clear. Here we show that satellite-based gravimetric estimates of ice-mass variability between 2002 and 2021 can be largely explained by a simple linear relation with both the Southern Annular Mode and lagged ENSO. Multiple linear regression reveals that the cumulative effects of the Southern Annular Mode and/or ENSO explain much of the decadal variability from the whole ice sheet down to individual drainage basins. A substantial portion of the net change in ice mass across the whole ice sheet between 2002 and 2021 can be attributed to a persistent forcing from a positive Southern Annular Mode. Understanding the drivers of variability in the Southern Annular Mode over this period, which are largely anthropogenic over multidecadal timescales, may be a pathway to partially attributing ice-sheet change to human activity. The Southern Annular Mode and ENSO are the main drivers of recent decadal variability in Antarctic ice mass, according to analysis of satellite-based gravimetric observations.</t>
  </si>
  <si>
    <t>[King, Matt A.; Lyu, Kewei] Univ Tasmania, Sch Geog Planning &amp; Spatial Sci, Hobart, Tas, Australia; [King, Matt A.] Univ Tasmania, Australian Ctr Excellence Antarctic Sci, Hobart, Tas, Australia; [Lyu, Kewei] Xiamen Univ, Coll Ocean &amp; Earth Sci, State Key Lab Marine Environm Sci, Xiamen, Peoples R China; [Zhang, Xuebin] CSIRO Environm, Climate Sci Ctr, Hobart, Tas, Australia</t>
  </si>
  <si>
    <t>University of Tasmania; University of Tasmania; Xiamen University</t>
  </si>
  <si>
    <t>King, MA (corresponding author), Univ Tasmania, Sch Geog Planning &amp; Spatial Sci, Hobart, Tas, Australia.;King, MA (corresponding author), Univ Tasmania, Australian Ctr Excellence Antarctic Sci, Hobart, Tas, Australia.</t>
  </si>
  <si>
    <t>matt.king@utas.edu.au</t>
  </si>
  <si>
    <t>King, Matt/B-4622-2008</t>
  </si>
  <si>
    <t>King, Matt/0000-0001-5611-9498</t>
  </si>
  <si>
    <t>Department of Education and Training | Australian Research Council (ARC); Centre for Southern Hemisphere Oceans Research - Qingdao National Laboratory for Marine Science and Technology (QNLM, China); Commonwealth Scientific and Industrial Research Organisation (CSIRO, Australia); Australian Research Council Special Research Initiative [SR200100008]; Australian Centre for Excellence in Antarctic Science</t>
  </si>
  <si>
    <t>Department of Education and Training | Australian Research Council (ARC); Centre for Southern Hemisphere Oceans Research - Qingdao National Laboratory for Marine Science and Technology (QNLM, China); Commonwealth Scientific and Industrial Research Organisation (CSIRO, Australia); Australian Research Council Special Research Initiative(Australian Research Council); Australian Centre for Excellence in Antarctic Science</t>
  </si>
  <si>
    <t>This study was supported by the Centre for Southern Hemisphere Oceans Research (CSHOR), jointly funded by the Qingdao National Laboratory for Marine Science and Technology (QNLM, China) and the Commonwealth Scientific and Industrial Research Organisation (CSIRO, Australia), and by the Australian Research Council Special Research Initiative, Australian Centre for Excellence in Antarctic Science (project number SR200100008). We thank C. Watson and R. Coleman for helpful discussions on the analysis and interpretation and L. Padman for constructive reviews. We thank the GravIS team for supplying GRACE data. Grant funding: SR200100008 (M.A.K.).</t>
  </si>
  <si>
    <t>10.1038/s41561-023-01317-w</t>
  </si>
  <si>
    <t>JF3Z7</t>
  </si>
  <si>
    <t>WOS:001171725400016</t>
  </si>
  <si>
    <t>Sumkina, AA; Kivva, KK; Ivanov, VV</t>
  </si>
  <si>
    <t>Sumkina, A. A.; Kivva, K. K.; Ivanov, V. V.</t>
  </si>
  <si>
    <t>Seasonality of Heat Exchange on the Barents Sea Surface</t>
  </si>
  <si>
    <t>OCEANOLOGY</t>
  </si>
  <si>
    <t>heat balance; Arctic; date of sea surface heating onset; date of sea surface heating termination; duration of cold period of the year; cluster analysis</t>
  </si>
  <si>
    <t>Over the past 40 years, the Arctic, and the Barents Sea in particular, has undergone considerable changes in the state of the atmosphere, sea ice, and water column, which are presumably beginning start to affect the duration of the warm period (when the sea uptakes heat from the atmosphere) and the cold period of the year (when the sea loses heat to the atmosphere). This study considers the interannual variability of the onset dates and duration of the warm and the cold periods of the year. Data on short- and long-wave radiation, as well as on sensible and latent atmospheric heat fluxes from the ERA5 reanalysis were used. HDBSCAN cluster analysis method has made it possible to identify four regions (clusters) with synchronous dynamics of the dates of transition of the heat balance through zero. Several delineated regions are located on the pathway of the Atlantic origin water in the Barents Sea. A vast region has been distinguished in the northern part of the sea, where the inflow of the cold Arctic water occurs, providing cooling and freshening of Atlantic water transported from the Norwegian Sea. A shift in the date of heating onset in the southern and southeastern parts to later dates (4-5 days per 10 years) and a shift to earlier dates in the northern and northeastern parts of the sea (4-5 days per 10 years) have been detected. For heating termination dates, the opposite situation shift compared to the heating onset dates is observed. In the southern part, there has been a shift to earlier dates (1-2 days per 10 years), and in the northern part, to later dates (4-5 days per 10 years).</t>
  </si>
  <si>
    <t>[Sumkina, A. A.; Kivva, K. K.] Russian Fed Res Inst Fisheries &amp; Oceanog, Moscow, Russia; [Sumkina, A. A.; Ivanov, V. V.] Moscow MV Lomonosov State Univ, Moscow, Russia; [Ivanov, V. V.] Arctic &amp; Antarctic Res Inst, St Petersburg, Russia</t>
  </si>
  <si>
    <t>Research lnstitute of Fisheries &amp; Oceanography; Lomonosov Moscow State University; Arctic &amp; Antarctic Research Institute</t>
  </si>
  <si>
    <t>Sumkina, AA (corresponding author), Russian Fed Res Inst Fisheries &amp; Oceanog, Moscow, Russia.;Sumkina, AA (corresponding author), Moscow MV Lomonosov State Univ, Moscow, Russia.</t>
  </si>
  <si>
    <t>sumkinaaleksa@yandex.ru</t>
  </si>
  <si>
    <t>Russian Science Foundation [19-17-00110-P]</t>
  </si>
  <si>
    <t>The study was supported by the Russian Science Foundation (project no. 19-17-00110-P).</t>
  </si>
  <si>
    <t>PLEIADES PUBLISHING INC</t>
  </si>
  <si>
    <t>PLEIADES HOUSE, 7 W 54 ST, NEW YORK, NY, UNITED STATES</t>
  </si>
  <si>
    <t>0001-4370</t>
  </si>
  <si>
    <t>1531-8508</t>
  </si>
  <si>
    <t>OCEANOLOGY+</t>
  </si>
  <si>
    <t>Oceanology</t>
  </si>
  <si>
    <t>SUPPL 1</t>
  </si>
  <si>
    <t>S65</t>
  </si>
  <si>
    <t>S71</t>
  </si>
  <si>
    <t>10.1134/S0001437023070196</t>
  </si>
  <si>
    <t>Oceanography</t>
  </si>
  <si>
    <t>JF0X8</t>
  </si>
  <si>
    <t>WOS:001171643500012</t>
  </si>
  <si>
    <t>Tarakanov, RY</t>
  </si>
  <si>
    <t>Tarakanov, R. Yu.</t>
  </si>
  <si>
    <t>Comparative Analysis of Jet Detection Methods on the Basis of Satellite Altimetry Data by Example of the Antarctic Circumpolar Current Sector to the South of Africa</t>
  </si>
  <si>
    <t>dynamic topography; satellite altimetry; jets; and Antarctic Circumpolar Current</t>
  </si>
  <si>
    <t>MERIDIONAL SHIFT; DRAKE PASSAGE; SECTION; FRONTS</t>
  </si>
  <si>
    <t>For the period of satellite altimetry observation 1993-2018, a comparison was made of estimates of the linear meridional shifts of the jet structure and variations in current intensity in the sector of the Antarctic Circumpolar Current (ACC) south of Africa (10 degrees E-25 degrees W), obtained on the basis of the parameters derived from the module of the absolute dynamic topography (ADT) gradient vertical bar del zeta vertical bar: directly vertical bar del zeta vertical bar, module of the velocity of geostrophic current vertical bar u vertical bar on the ocean surface, half of square of the ADT gradient 1/2 vertical bar del zeta vertical bar(2), and specific kinetic energy 1/2u(2). The analysis was carried out by a method developed earlier and refined in this paper using linear regression analysis. It is shown that qualitatively the characters of the meridional shifts (displacement of the curves of these parameters averaged over latitude and for each year) in latitude and the corresponding current intensity variations (i.e., variations in the parameters themselves) over 26-year observations, when calculated through each of the four parameters, turned out to be similar. The same similarity was obtained from the calculations with respect to the ADT scale. Meanwhile, the quantitative differences between calculations for different pairs of parameters can be significant even in the vertical bar u vertical bar and vertical bar del zeta vertical bar pair. In quantitative terms, the absolute values of shifts of the jet structure and variations in the intensity of currents in the ACC band in the studied sector of the Southern Ocean generally increase from those linearly dependent on the ADT gradient module to quadratically dependent ones.</t>
  </si>
  <si>
    <t>[Tarakanov, R. Yu.] Russian Acad Sci, Shirshov Inst Oceanol, Moscow 117997, Russia</t>
  </si>
  <si>
    <t>Russian Academy of Sciences; Shirshov Institute of Oceanology</t>
  </si>
  <si>
    <t>Tarakanov, RY (corresponding author), Russian Acad Sci, Shirshov Inst Oceanol, Moscow 117997, Russia.</t>
  </si>
  <si>
    <t>rtarakanov@gmail.com</t>
  </si>
  <si>
    <t>Russian Science Foundation [22-10 0074]; [0128-2021-0002]</t>
  </si>
  <si>
    <t>Russian Science Foundation(Russian Science Foundation (RSF));</t>
  </si>
  <si>
    <t>This study was supported by a state task (project no. 0128-2021-0002, Development of Method) and the Russian Science Foundation (grant no. 22-10 0074, Data Preparation and Analysis).</t>
  </si>
  <si>
    <t>S23</t>
  </si>
  <si>
    <t>S41</t>
  </si>
  <si>
    <t>10.1134/S0001437023070202</t>
  </si>
  <si>
    <t>WOS:001171643500004</t>
  </si>
  <si>
    <t>Chae, H; Kim, EJ; Kim, HS; Choi, HG; Kim, S; Kim, JH</t>
  </si>
  <si>
    <t>Chae, Hyunsik; Kim, Eun Jae; Kim, Han Soon; Choi, Han-Gu; Kim, Sanghee; Kim, Ji Hee</t>
  </si>
  <si>
    <t>Morphology and phylogenetic relationships of two Antarctic strains within the genera Carolibrandtia and Chlorella (Chlorellaceae, Trebouxiophyceae)</t>
  </si>
  <si>
    <t>ALGAE</t>
  </si>
  <si>
    <t>Antarctica; Carolibrandtia; Chlorella; morphology; nuclear SSU and ITS rDNA</t>
  </si>
  <si>
    <t>SP-NOV CHLORELLACEAE; CULTURE COLLECTION; GREEN-ALGAE; MICRACTINIUM; CHLOROPHYTA; GEN.; DIDYMOGENES; SYSTEMATICS</t>
  </si>
  <si>
    <t>The genera Carolibrandtia and Chlorella have been described as small green algae with spherical cell shapes that inhabit various environments. Species of these genera are often difficult to identify because of their simple morphology and high phenotypic plasticity. We investigated two small coccoid strains from Antarctica based on morphology, molecular phylogeny by two alignment methods which have been applied to previous phylogenetic studies of the genus Chlorella, and comparison of the secondary structures of nuclear small subunit (SSU) and internal transcribed spacer (ITS) rDNA sequences. Light microscopy of two strains revealed spherical cells containing chloroplasts with pyrenoids, and the morphological characteristics of the strains were nearly identical to those of other Chlorella species. However, based on the phylogenetic analyses of nuclear SSU and ITS rDNA sequences, it was determined that the Antarctic microalgal strains belonged to two genera, as the Chlorella and Carolibrandtia. In addition, the secondary structures of the SSU and ITS2 sequences were analyzed to detect compensatory base changes (CBCs) that were used to identify and describe the two strains. A unique CBC in the SSU rDNA gene was decisive for distinguishing strain CCAP 211/45. The ITS2 rDNA sequences for each strain were compared to those obtained previously from other closely related species. Following the comparison of morphological and molecular characteristics, we propose KSF0092 as a new species, Chlorella terrestris sp. nov., and the reassignment of the strain Chlorella antarctica CCAP 211/45 into Carolibrandtia antarctica comb. nov.</t>
  </si>
  <si>
    <t>[Chae, Hyunsik; Kim, Eun Jae; Choi, Han-Gu; Kim, Sanghee; Kim, Ji Hee] Korea Polar Res Inst, Div Life Sci, Incheon 21990, South Korea; [Kim, Han Soon] Kyungpook Natl Univ, Sch Life Sci, Daegu 41566, South Korea; [Kim, Eun Jae] Inst Coastal Management &amp; Technol, Resource Management Team, Muan 58554, South Korea</t>
  </si>
  <si>
    <t>Korea Polar Research Institute (KOPRI); Kyungpook National University</t>
  </si>
  <si>
    <t>Kim, JH (corresponding author), Korea Polar Res Inst, Div Life Sci, Incheon 21990, South Korea.</t>
  </si>
  <si>
    <t>Korea Polar Research Institute (KOPRI) - Ministry of Oceans and Fisheries [KOPRI PE23130, PE23140]</t>
  </si>
  <si>
    <t>Korea Polar Research Institute (KOPRI) - Ministry of Oceans and Fisheries</t>
  </si>
  <si>
    <t>This work was supported by the Korea Polar Research Institute (KOPRI) grant funded by the Ministry of Oceans and Fisheries (KOPRI PE23130 and PE23140).</t>
  </si>
  <si>
    <t>KOREAN SOC PHYCOLOGY</t>
  </si>
  <si>
    <t>Gwangmyeong-si</t>
  </si>
  <si>
    <t>A-1716, Gwangmyeong Trade Center, 72 Iljik-ro, Gwangmyeong-si, Gyeonggi, SOUTH KOREA</t>
  </si>
  <si>
    <t>1226-2617</t>
  </si>
  <si>
    <t>2093-0860</t>
  </si>
  <si>
    <t>ALGAE-SEOUL</t>
  </si>
  <si>
    <t>Algae</t>
  </si>
  <si>
    <t>10.4490/algae.2023.38.11.30</t>
  </si>
  <si>
    <t>JU9I3</t>
  </si>
  <si>
    <t>WOS:001175789400003</t>
  </si>
  <si>
    <t>Zhang, RJ; Dong, BW; Wen, ZP; Guo, YY; Chen, XD</t>
  </si>
  <si>
    <t>Zhang, Ruijie; Dong, Buwen; Wen, Zhiping; Guo, Yuanyuan; Chen, Xiaodan</t>
  </si>
  <si>
    <t>Relationship between the AMOC and the Multidecadal Variability of the Midlatitude Southern Indian Ocean</t>
  </si>
  <si>
    <t>JOURNAL OF CLIMATE</t>
  </si>
  <si>
    <t>Indian Ocean; Southern Ocean; Atmosphere-ocean interaction; Meridional overturning circulation; Multidecadal variability</t>
  </si>
  <si>
    <t>DECADAL CLIMATE VARIABILITY; NORTH PACIFIC-OCEAN; AGULHAS CURRENT; THERMOHALINE CIRCULATION; SST ANOMALIES; INTERDECADAL VARIABILITY; COUPLED MODEL; ATLANTIC SST; IMPACTS; SYSTEM</t>
  </si>
  <si>
    <t>Air-sea coupling system in the southwestern Indian Ocean (SWIO; 358-558S, 408-758E) exhibits predominant multidecadal variability that is the strongest during austral summer. It is characterized by an equivalent barotropic atmospheric high (low) pressure over warm (cold) sea surface temperature (SST) anomalies and a poleward (equatorward) shift of the westerlies during the positive (negative) phase. In this study, physical processes of this multidecadal variability are investigated by using observations/reanalysis and CMIP6 model simulations. Results suggest that the multidecadal fluctuation can be explained by the modulation of the Atlantic meridional overturning circulation (AMOC) and the local air-sea positive feedback in the SWIO. In both observations/reanalysis and CMIP6 model simulations, the AMOC fluctuation presents a significantly negative correlation with the multidecadal SST variation in the SWIO when the AMOC is leading by about a decade. The mechanisms are that the preceding AMOC variation can cause an interhemispheric dipolar pattern of SST anomalies in the Atlantic Ocean. Subsequently, the SST anomalies in the midlatitudes of the South Atlantic can propagate to the SWIO by the oceanic Rossby wave under the influence of the Antarctic Circumpolar Current (ACC). Once the SST anomalies reach the SWIO, these SST anomalies in the oceanic front can affect the baroclinicity in the lower troposphere to influence the synoptic transient eddy and then cause the atmospheric circulation anomaly via the eddy-mean flow interaction. Subsequently, the anomalous atmospheric circulation over the SWIO can significantly strengthen the SST anomalies through modifying the oceanic meridional temperature advection and latent and sensible heat flux.</t>
  </si>
  <si>
    <t>[Zhang, Ruijie; Wen, Zhiping; Guo, Yuanyuan; Chen, Xiaodan] Fudan Univ, Dept Atmospher &amp; Ocean Sci, Shanghai, Peoples R China; [Zhang, Ruijie; Wen, Zhiping; Guo, Yuanyuan; Chen, Xiaodan] Fudan Univ, Inst Atmospher Sci, Shanghai, Peoples R China; [Zhang, Ruijie; Dong, Buwen] Univ Reading, Dept Meteorol, Natl Ctr Atmospher Sci, Reading, Berks, England; [Wen, Zhiping] Fudan Univ, Shanghai Key Lab Ocean Land Atmosphere Boundary D, Shanghai, Peoples R China; [Wen, Zhiping] Inst Ecochongming IEC, Shanghai, Peoples R China; [Wen, Zhiping] Jiangsu Collaborat Innovat Ctr Climate Change, Nanjing, Peoples R China</t>
  </si>
  <si>
    <t>Fudan University; Fudan University; UK Research &amp; Innovation (UKRI); Natural Environment Research Council (NERC); NERC National Centre for Atmospheric Science; University of Reading; Fudan University</t>
  </si>
  <si>
    <t>Wen, ZP (corresponding author), Fudan Univ, Dept Atmospher &amp; Ocean Sci, Shanghai, Peoples R China.;Wen, ZP (corresponding author), Fudan Univ, Inst Atmospher Sci, Shanghai, Peoples R China.;Wen, ZP (corresponding author), Fudan Univ, Shanghai Key Lab Ocean Land Atmosphere Boundary D, Shanghai, Peoples R China.;Wen, ZP (corresponding author), Inst Ecochongming IEC, Shanghai, Peoples R China.;Wen, ZP (corresponding author), Jiangsu Collaborat Innovat Ctr Climate Change, Nanjing, Peoples R China.</t>
  </si>
  <si>
    <t>zpwen@fudan.edu.cn</t>
  </si>
  <si>
    <t>National Key Research and Development Program of China [2022YFF0801701]; National Natural Science Foundation of China [42030601, 41905072]; China Scholarship Council; U.K. National Centre for Atmospheric Science at the University of Reading</t>
  </si>
  <si>
    <t>National Key Research and Development Program of China; National Natural Science Foundation of China(National Natural Science Foundation of China (NSFC)); China Scholarship Council(China Scholarship Council); U.K. National Centre for Atmospheric Science at the University of Reading</t>
  </si>
  <si>
    <t>The authors thank Dr. Yanke Tan, Dr. Ruifen Zhan, Dr. Jiacan Yuan, Dr. Changlin Chen, and Dr. Zhenqiang Zhou for their valuable suggestions. The author is also grateful to three anonymous reviewers providing constructive comments to improve the manuscript. This research was jointly supported by the National Key Research and Development Program of China (2022YFF0801701) and National Natural Science Foundation of China (42030601 and 41905072). Ruijie Zhang was supported by China Scholarship Council. Buwen Dong was supported by the U.K. National Centre for Atmospheric Science at the University of Reading.</t>
  </si>
  <si>
    <t>AMER METEOROLOGICAL SOC</t>
  </si>
  <si>
    <t>BOSTON</t>
  </si>
  <si>
    <t>45 BEACON ST, BOSTON, MA 02108-3693, UNITED STATES</t>
  </si>
  <si>
    <t>0894-8755</t>
  </si>
  <si>
    <t>1520-0442</t>
  </si>
  <si>
    <t>J CLIMATE</t>
  </si>
  <si>
    <t>J. Clim.</t>
  </si>
  <si>
    <t>10.1175/JCLI-D-23-0198.s1</t>
  </si>
  <si>
    <t>KA6G8</t>
  </si>
  <si>
    <t>WOS:001177273900001</t>
  </si>
  <si>
    <t>Borovkov, NV; Leitchenkov, GL; Kamenev, IA</t>
  </si>
  <si>
    <t>Borovkov, N. V.; Leitchenkov, G. L.; Kamenev, I. A.</t>
  </si>
  <si>
    <t>Constraints on Geodynamic Setting of East Antarctic Orthopyroxene Granitoids Intrusions</t>
  </si>
  <si>
    <t>GEOTECTONICS</t>
  </si>
  <si>
    <t>orthopyroxene-bearing granitoids; charnockites; tectonic setting; paleogeodynamic reconstructions; Rodinia; Gondwana supercontinents; East Antarctica; orogeny; tectonic discrimination diagrams</t>
  </si>
  <si>
    <t>DRONNING MAUD LAND; PRINCE CHARLES MOUNTAINS; BUNGER-HILLS; U-PB; GROVE MOUNTAINS; GEOCHEMICAL CLASSIFICATION; MAFIC GRANULITES; EVOLUTION; CHARNOCKITES; MAGMATISM</t>
  </si>
  <si>
    <t>Orthopyroxene granitoids (designated as charnockites or granitoids of the charnockite series) are characterized by varying silica and felsic mineral content, with the orthopyroxene (hypersthene) phase as the main characteristic mafic mineral component. These rocks are abyssal and represent parts of intrusions or form their own igneous complexes at the depth of the lower crust under CO2-undersaturated and dry conditions, which can be achieved within any tectonic setting. Therefore, petrogenetic models for orthopyroxene granitoids as well as for all types of granitoids from different locations are sufficiently applicable for a reconstruction of paleogeodynamic conditions in a certain region. The East Antarctic shield is characterized by Archean blocks embedded within orogens of Mesoproterozoic, Late Mesoproterozoic-Early Neoproterosoic and Late Neoproterosoic-Early Paleozoic age, and syn- and post-orogenic intrusions composed of orthopyroxene granitoids and related rocks are widely spread and form a prominent volume of the East Antarctic orogens. According to paleogeodynamic reconstructions of Rodinia, Pannotia and Gondwana supercontinents the East Antarctic shield represents a significant volume of supercontinents' crust. Petrogenetic models for East Antarctic orthopyroxene granitoids became fundamental for any paleogeodynamic reconstractions of supercontinents. We collected structural geology, tectonics, and geochronology data for orthopyroxene granitoid intrusions belonging to orogens of certain age and combined with the plotting of geochemical data in major and rare element tectonic discrimination diagrams, also analyzed the Sm-Nd isotope system data. The East Antarctic orthopyroxene granitoids tightly related to orogens are characterized by magmatic sources determined as combination of mafic lower crust, upper crust and juvenile mantle materials mixing up in different proportions depending on type of orogeny. It was established that orthopyroxene granitoids related to Mesoproterozoic and Late Mesoproterozoic-Early Neoproterosoic orogens formed at different stages of long-lived collision transforming from ocean-continent to continent-continent types whereas Late Neoproterosoic-Early Paleozoic orthopyroxene granitoids arose in post-collision tectonic setting.</t>
  </si>
  <si>
    <t>[Borovkov, N. V.; Leitchenkov, G. L.] Gramberg All Russia Res Inst Geol &amp; Mineral Resour, St Petersburg 190121, Russia; [Kamenev, I. A.] Polar Marine Geosurvey Expedit PMGE, St Petersburg 198412, Russia</t>
  </si>
  <si>
    <t>Borovkov, NV (corresponding author), Gramberg All Russia Res Inst Geol &amp; Mineral Resour, St Petersburg 190121, Russia.</t>
  </si>
  <si>
    <t>n.borovkov@vniio.ru</t>
  </si>
  <si>
    <t>0016-8521</t>
  </si>
  <si>
    <t>1556-1976</t>
  </si>
  <si>
    <t>GEOTECTONICS+</t>
  </si>
  <si>
    <t>Geotectonics</t>
  </si>
  <si>
    <t>S112</t>
  </si>
  <si>
    <t>S135</t>
  </si>
  <si>
    <t>10.1134/S0016852123070038</t>
  </si>
  <si>
    <t>KI5X4</t>
  </si>
  <si>
    <t>WOS:001179354900004</t>
  </si>
  <si>
    <t>Leitchenkov, GL; Grikurov, GE</t>
  </si>
  <si>
    <t>Leitchenkov, G. L.; Grikurov, G. E.</t>
  </si>
  <si>
    <t>The Tectonic Structure of the Antarctic</t>
  </si>
  <si>
    <t>Antarctica; ancient cratons; orogens; sedimentary basins; geology; geophysics; tectonics; geodynamics</t>
  </si>
  <si>
    <t>This article includes a review of the structure and evolution of the Antarctic Earth crust (the Antarctic continent and the Southern Ocean) from the Archean to the Late Cenozoic, accompanied by the sketch of Antarctic tectonic provinces. It is based on the long-term research and preparation of the second edition of the Tectonic Map of the Antarctica at a scale of 1 : 10 000 000 with a detailed explanatory note in the International Commission for the Geological Map of the World. In the course of the work a large volume of geological and geophysical data of Russian Antarctic expeditions and expeditions of other countries were combined, analyzed, and interpreted, first of all, the data of geochemical and geochronological studies of rock specimens from outcropped regions and numerous geophysical surveys in the Southern Ocean. The structure and tectonic history of the Archean cratons and Proterozoic orogens of East Antarctica (with indication of the controversial issues of Precambrian evolution), the orogens of the Pacific margin, intraplate fold systems, continental margins, and the early sea floor spreading are considered.</t>
  </si>
  <si>
    <t>[Leitchenkov, G. L.; Grikurov, G. E.] Gramberg All Russia Res Inst Geol &amp; Mineral Resour, St Petersburg 190121, Russia</t>
  </si>
  <si>
    <t>Leitchenkov, GL (corresponding author), Gramberg All Russia Res Inst Geol &amp; Mineral Resour, St Petersburg 190121, Russia.</t>
  </si>
  <si>
    <t>german_l@mail.ru</t>
  </si>
  <si>
    <t>S28</t>
  </si>
  <si>
    <t>S33</t>
  </si>
  <si>
    <t>10.1134/S0016852123070087</t>
  </si>
  <si>
    <t>WOS:001179354900005</t>
  </si>
  <si>
    <t>Shumskiy, BV; Gusev, EA; Leitchenkov, GL; Smirnov, OE; Cherkashov, GA; Chernykh, AA</t>
  </si>
  <si>
    <t>Shumskiy, B. V.; Gusev, E. A.; Leitchenkov, G. L.; Smirnov, O. E.; Cherkashov, G. A.; Chernykh, A. A.</t>
  </si>
  <si>
    <t>The Geology of the World Ocean (Arctic and Antarctic): Achievements and New Research</t>
  </si>
  <si>
    <t>World Ocean; Arctic; Antarctic; mid-ocean ridges; geological mapping; tectonics; bathymetry; geophysics; seismic exploration; ore genesis in the ocean</t>
  </si>
  <si>
    <t>LOMONOSOV RIDGE; BASIN; EVOLUTION; BASEMENT; SAMPLES</t>
  </si>
  <si>
    <t>The Gramberg All-Russia Research Institute for Geology and Mineral Resources of the World Ocean (FSBI VNIIOkeangeologia) carries out a wide range of research in the fields of geology, engineering geology, geophysics, and geochemistry. The specialists of the institute perform studies using most-up-to-date equipment in several directions, including the study of the geology and mineral resources of the Arctic, Antarctic and the World Ocean. The geological and tectonic maps and atlases of the Eurasian sector of the Arctic shelf and adjacent deepwater zones of the Arctic Ocean have been compiled. This allow one to recognize the rift-related basins on the East Arctic shelf of Russia, and the conjunction areas of the Lomonosov, Gakkel, and Mendeleev oceanic ridges with the Eurasian continental margin. A comprehensive interpretation of geological and geophysical data has revealed features of the tectonics of the Amerasian Basin, which indicate that the evolution of the basin structures took place under conditions of continental rifting. One of the main scientific conclusions drawn at the preparation of the Submission of the Russian Federation in respect of the continental shelf boundary in the Arctic Ocean is the proof of the continental nature of the structures of the Central Arctic Rise Complex: the Lomonosov Ridge, Podvodnikov Basin, Alpha-Mendeleev Rise, Chukchi Basin, and Chukchi Borderland. This conclusion is confirmed by the characteristics of the main layers of the Earth's crust in the above structures. A geodynamic model of the evolution of the Precambrian complexes of East Antarctica has been developed and the main tectonic provinces of Antarctica have been distinguished. A universal seismostratigraphic model of sedimentary basins has been developed for the marginal seas of East Antarctica. An important area of research in Antarctica was the study of the subglacial Lake Vostok. When studying the history of the formation of sulfide mineralization, it was found that the discharge of hydrothermal ore-bearing solutions most often occurs continuously, and only the intensity of the ore formation process changes with time. The possibility of formation of massive sulfide ore volumes additional to the main surface deposit due to metasomatic replacement of host igneous rocks has also been established.</t>
  </si>
  <si>
    <t>[Shumskiy, B. V.; Gusev, E. A.; Leitchenkov, G. L.; Smirnov, O. E.; Cherkashov, G. A.; Chernykh, A. A.] Gramberg All Russia Res Inst Geol &amp; Mineral Resour, St Petersburg 190121, Russia</t>
  </si>
  <si>
    <t>Shumskiy, BV (corresponding author), Gramberg All Russia Res Inst Geol &amp; Mineral Resour, St Petersburg 190121, Russia.</t>
  </si>
  <si>
    <t>b.shumskiy@vniio.ru</t>
  </si>
  <si>
    <t>Chernykh, Andrey/G-1423-2015</t>
  </si>
  <si>
    <t>S1</t>
  </si>
  <si>
    <t>S12</t>
  </si>
  <si>
    <t>10.1134/S0016852123070129</t>
  </si>
  <si>
    <t>WOS:001179354900011</t>
  </si>
  <si>
    <t>Klepikov, AV</t>
  </si>
  <si>
    <t>Klepikov, A. V.</t>
  </si>
  <si>
    <t>Russian Research in the Field of Polar Meteorology in 2019-2022</t>
  </si>
  <si>
    <t>IZVESTIYA ATMOSPHERIC AND OCEANIC PHYSICS</t>
  </si>
  <si>
    <t>Arctic; Antarctic; climate change; meteorology; natural variability; warming</t>
  </si>
  <si>
    <t>SURFACE AIR-TEMPERATURE; SEA-ICE; ATMOSPHERIC AEROSOL; ISOTOPIC COMPOSITION; CHEMICAL-COMPOSITION; SNOW COVER; EXTENT; ANTARCTICA; ATLANTIC; LAND</t>
  </si>
  <si>
    <t>This publication is an overview of the results of Russian polar research in 2019-2022, prepared in the Commission on Polar Meteorology of the National Geophysical Committee for the National Report on Meteorology and Atmospheric Sciences for the 28th General Assembly of the International Union of Geodesy and Geophysics (Berlin, Germany, July 11-20, 2023).</t>
  </si>
  <si>
    <t>[Klepikov, A. V.] Arctic &amp; Antarctic Res Inst, St Petersburg 199397, Russia</t>
  </si>
  <si>
    <t>Arctic &amp; Antarctic Research Institute</t>
  </si>
  <si>
    <t>Klepikov, AV (corresponding author), Arctic &amp; Antarctic Res Inst, St Petersburg 199397, Russia.</t>
  </si>
  <si>
    <t>klep@aari.ru</t>
  </si>
  <si>
    <t>MAIK NAUKA/INTERPERIODICA/SPRINGER</t>
  </si>
  <si>
    <t>233 SPRING ST, NEW YORK, NY 10013-1578 USA</t>
  </si>
  <si>
    <t>0001-4338</t>
  </si>
  <si>
    <t>1555-628X</t>
  </si>
  <si>
    <t>IZV ATMOS OCEAN PHY+</t>
  </si>
  <si>
    <t>Izv. Atmos. Ocean. Phys.</t>
  </si>
  <si>
    <t>SUPPL 3</t>
  </si>
  <si>
    <t>S326</t>
  </si>
  <si>
    <t>S339</t>
  </si>
  <si>
    <t>10.1134/S0001433823150045</t>
  </si>
  <si>
    <t>KI0E7</t>
  </si>
  <si>
    <t>WOS:001179205600003</t>
  </si>
  <si>
    <t>Shevtsova, OV; Dobrotina, ED; Goncharova, AB; Nedashkovsky, AP</t>
  </si>
  <si>
    <t>Shevtsova, O. V.; Dobrotina, E. D.; Goncharova, A. B.; Nedashkovsky, A. P.</t>
  </si>
  <si>
    <t>Chemical Characteristics of Snow Cover in the High-Latitude Arctic: Baranov Cape, Bolshevik Island, Severnaya Zemlya Archipelago</t>
  </si>
  <si>
    <t>WATER RESOURCES</t>
  </si>
  <si>
    <t>snow cover; chemical composition; high-altitude Arctic; titrated acidity; Severnaya Zemlya</t>
  </si>
  <si>
    <t>SEA-SALT; AEROSOL</t>
  </si>
  <si>
    <t>For the first time, the specific features of snow cover chemistry were studied in the period of its accumulation on Bolshevik Island (the area near the research station Cape Baranov Ice Base). In winter 2018/2019, the specific electric conductance, density, titrated acidity, pH,NH4+,NO3-,NO2-,PO43-, and Si were measured in fresh and compacted snow and, additionally, Na+,K+, Ca2+, Mg2+, Cl-, and were measured in compacted snow. Patterns of variations of fresh and compacted snow characteristics were identified, and the effect of marine and anthropogenic factors was discussed. Snow chemistry on Bolshevik Island was compared with the chemistry of precipitation and snow cover in other background areas of the Russian Federation.</t>
  </si>
  <si>
    <t>[Shevtsova, O. V.; Nedashkovsky, A. P.] Russian Acad Sci, Ilichev Pacific Oceanol Inst, Far Eastern Branch, Vladivostok 690041, Russia; [Dobrotina, E. D.; Nedashkovsky, A. P.] Arctic &amp; Antarctic Res Inst, St Petersburg 199397, Russia; [Goncharova, A. B.] St Petersburg State Univ, St Petersburg 199034, Russia</t>
  </si>
  <si>
    <t>Russian Academy of Sciences; Arctic &amp; Antarctic Research Institute; Saint Petersburg State University</t>
  </si>
  <si>
    <t>Shevtsova, OV (corresponding author), Russian Acad Sci, Ilichev Pacific Oceanol Inst, Far Eastern Branch, Vladivostok 690041, Russia.</t>
  </si>
  <si>
    <t>ov_shevtsova@mail.ru</t>
  </si>
  <si>
    <t>Goncharova, Anastasia/G-6057-2015</t>
  </si>
  <si>
    <t>Goncharova, Anastasia/0000-0002-7980-1657</t>
  </si>
  <si>
    <t>Targeted Scientific and Technical Program of Roshydromet [1.5.3.3]</t>
  </si>
  <si>
    <t>Targeted Scientific and Technical Program of Roshydromet</t>
  </si>
  <si>
    <t>This work was carried out as a part of the AARI planned scientific topic under the project 1.5.3.3 of the Targeted Scientific and Technical Program of Roshydromet.</t>
  </si>
  <si>
    <t>0097-8078</t>
  </si>
  <si>
    <t>1608-344X</t>
  </si>
  <si>
    <t>WATER RESOUR+</t>
  </si>
  <si>
    <t>Water Resour.</t>
  </si>
  <si>
    <t>S68</t>
  </si>
  <si>
    <t>S79</t>
  </si>
  <si>
    <t>10.1134/S0097807823700367</t>
  </si>
  <si>
    <t>Water Resources</t>
  </si>
  <si>
    <t>JN4K4</t>
  </si>
  <si>
    <t>WOS:001173832700006</t>
  </si>
  <si>
    <t>Zuev, VV; Maslennikova, EA; Savelieva, ES</t>
  </si>
  <si>
    <t>Zuev, V. V.; Maslennikova, E. A.; Savelieva, E. S.</t>
  </si>
  <si>
    <t>Influence of Quasi-Biennial Oscillation on the Dynamics of Stratospheric Polar Vortices According to Data of Satellite Observations</t>
  </si>
  <si>
    <t>quasi-biennial oscillation; stratospheric polar vortices; zonal wind</t>
  </si>
  <si>
    <t>NORTHERN-HEMISPHERE; CLIMATE IMPACT; EQUATORIAL QBO; CIRCULATION; ERUPTION; VORTEX; SENSITIVITY; SIMULATION</t>
  </si>
  <si>
    <t>The lifetime of polar ozone anomalies depends on the phase of quasi-biennial oscillation (QBO). The QBO determines the location of the subtropical critical wind line, which influences the propagation of planetary waves into the stratosphere. As a result, during the westerly phase of the QBO, the strengthening of a polar vortex is observed, while, during the easterly phase, its weakening is seen, which manifests itself in the dates, duration, and intensity of the stratospheric ozone depletion. Polar ozone anomalies occur inside a strong polar vortex from the end of winter up to spring as a result of the occurrence of heterogeneous and photochemical ozone depletion reactions in the presence of solar radiation. The effect of QBO phases at different isobaric levels on the dynamics of the stratospheric polar vortices are studied on the basis of satellite data from NASA's Goddard Space Flight Center (GSFC). It is shown that the QBO at the pressure level of 30 hPa has a predominant effect on the dynamics of polar vortices. In the dynamics of the Antarctic polar vortex, it is observed from September to December, especially in October and November; in the dynamics of the Arctic polar vortex, it is pronounced throughout the entire period of its existence.</t>
  </si>
  <si>
    <t>[Zuev, V. V.; Maslennikova, E. A.; Savelieva, E. S.] Russian Acad Sci, Inst Monitoring Climat &amp; Ecol Syst, Siberian Branch, Tomsk 634055, Russia; [Maslennikova, E. A.] Natl Res Tomsk State Univ, Tomsk 634050, Russia</t>
  </si>
  <si>
    <t>Russian Academy of Sciences; Institute of Monitoring of Climatic &amp; Ecological Systems of the Siberian Branch of the RAS; Tomsk State University</t>
  </si>
  <si>
    <t>Maslennikova, EA (corresponding author), Russian Acad Sci, Inst Monitoring Climat &amp; Ecol Syst, Siberian Branch, Tomsk 634055, Russia.;Maslennikova, EA (corresponding author), Natl Res Tomsk State Univ, Tomsk 634050, Russia.</t>
  </si>
  <si>
    <t>maslennikovaerika@gmail.com</t>
  </si>
  <si>
    <t>[121031300156-5]</t>
  </si>
  <si>
    <t>This study was supported as part of state budgetary theme no. 121031300156-5.</t>
  </si>
  <si>
    <t>10.1134/S0001433823120265</t>
  </si>
  <si>
    <t>IO8J9</t>
  </si>
  <si>
    <t>WOS:001167360400010</t>
  </si>
  <si>
    <t>Healy, RA; Truong, C; Castellano, MA; Bonito, G; Trappe, J; Caiafa, MV; Mujic, AB; Nouhra, E; Sánchez-Ramírez, S; Smith, ME</t>
  </si>
  <si>
    <t>Healy, R. A.; Truong, C.; Castellano, M. A.; Bonito, G.; Trappe, J.; Caiafa, M. V.; Mujic, A. B.; Nouhra, E.; Sanchez-Ramirez, S.; Smith, M. E.</t>
  </si>
  <si>
    <t>Re-examination of the Southern Hemisphere truffle genus Amylascus (Pezizaceae, Ascomycota) and characterization of the sister genus Nothoamylascus gen. nov.</t>
  </si>
  <si>
    <t>PERSOONIA</t>
  </si>
  <si>
    <t>ectomycorrhizae; fungal systematics; hypogeous; mitotic spore mat; new taxa; Patagonia; Pezizaceae; Pezizales; Southern Gondwana</t>
  </si>
  <si>
    <t>PHYLOGENETIC ANALYSIS; NUCLEAR; UNDERWOODIA; EVOLUTION; SEQUENCES; INFERENCE; HISTORY; BLOCKS; GENERA; FUNGI</t>
  </si>
  <si>
    <t>Amylascus is a genus of ectomycorrhizal truffles within Pezizaceae that is known from Australia and contains only two described species, A. herbertianus and A. tasmanicus. Species of Amylascus are closely related to truffles (Pachyphlodes, Luteoamylascus) and cup fungi (Plicariella) from the Northern Hemisphere. Here we reevaluate the species diversity of Amylascus and related taxa from southern South America and Australia based on new morphological and molecular data. We identify previously undocumented diversity and morphological variability in ascospore color, ascospore ornamentation, hymenial construction, epithecium structure and the amyloid reaction of the ascus in Melzer's reagent. We redescribe two Amylascus species from Australia and describe seven new Amylascus species, five from South America and two from Australia. This is the first report of Amylascus species from South America. We also describe the new South American genus Nothoamylascus as sister lineage to the Pachyphlodes-Amylascus-Luteoamylascus clade (including Amylascus, Luteoamylascus, Pachyphlodes, and Plicariella). We obtained ITS sequences of mitotic spore mats from Nothoamylascus erubescens gen. &amp; sp. nov. and four of the seven newly described Amylascus species, providing the first evidence of mitotic spore mats in Amylascus. Additional ITS sequences from mitotic spore mats reveal the presence of nine additional undescribed Amylascus and one Nothoamylascus species that do not correspond to any sampled ascomata. We also identify three additional undescribed Amylascus species based on environmental sequences from the feces of two ground-dwelling bird species from Chile, Scelorchilus rubecula and Pteroptochos tarnii. Our results indicate that ascomata from Amylascus and Nothoamylascus species are rarely collected, but molecular data from ectomycorrhizal roots and mitotic spore mats indicate that these species are probably common and widespread in southern South America. Finally, we present a time-calibrated phylogeny that is consistent with a late Gondwanan distribution. The time since the most recent common ancestor of: 1) the family Pezizaceae had a mean of 276 Ma (217- 337 HPD); 2) the Amylascus-Pachyphlodes- Nothoamylascus- Luteoamylascus clade had a mean of 79 Ma (60-100 HPD); and 3) the Amylascus-Pachyphlodes clade had a mean of 50 Ma (38- 62 HPD). The crown age of Pachyphlodes had a mean of 39 Ma (25- 42 HPD) and Amylascus had a mean age of 28 Ma (20- 37 HPD), falling near the EoceneOligocene boundary and the onset of the Antarctic glaciation (c. 35 Ma).</t>
  </si>
  <si>
    <t>[Healy, R. A.; Smith, M. E.] Univ Florida, Dept Plant Pathol, Gainesville, FL 32611 USA; [Truong, C.] Royal Bot Gardens Victoria, Birdwood Ave, Melbourne, Vic 3004, Australia; [Castellano, M. A.] 1835 NW Garfield Ave, Corvallis, OR 97331 USA; [Bonito, G.] Michigan State Univ, Dept Plant Soil &amp; Microbial Sci, Mol Plant Sci Bldg, E Lansing, MI 48824 USA; [Trappe, J.] Oregon State Univ, Dept Bot &amp; Plant Pathol, Corvallis, OR 97331 USA; [Caiafa, M. V.] Univ Calif Riverside, Dept Microbiol &amp; Plant Pathol, Riverside, CA 92521 USA; [Mujic, A. B.] Calif State Univ Fresno, Dept Biol, Fresno, CA 93740 USA; [Nouhra, E.] Univ Nacl Cordoba, Inst Multidisciplinario Biol Vegetal, CONICET, Casilla correo 495, RA-5000 Cordoba, Argentina; [Sanchez-Ramirez, S.] Univ Toronto, Dept Ecol &amp; Evolutionary Biol, 25 Willcocks St, Toronto, ON M5S 3B2, Canada</t>
  </si>
  <si>
    <t>State University System of Florida; University of Florida; Melbourne Genomics Health Alliance; Michigan State University; Oregon State University; University of California System; University of California Riverside; California State University System; California State University Fresno; Consejo Nacional de Investigaciones Cientificas y Tecnicas (CONICET); National University of Cordoba; University of Toronto</t>
  </si>
  <si>
    <t>Healy, RA (corresponding author), Univ Florida, Dept Plant Pathol, Gainesville, FL 32611 USA.</t>
  </si>
  <si>
    <t>rhealy1@ufl.edu</t>
  </si>
  <si>
    <t>Smith, Matthew E./ABC-3015-2020</t>
  </si>
  <si>
    <t>Smith, Matthew E./0000-0002-0878-0932</t>
  </si>
  <si>
    <t>NSF [DEB-1354802, DEB-1946445]; National Geographic Explorer Grant [NGS-59603R-19]; Hellen McLellan research grant from the Friends of the Royal Botanic Gardens Victoria; Administracion de Parques Nacionales of Argentina [2016/720]; Secretaria de Desarollo Sustentable y Ambiente of Tierra del Fuego [0218/2015]</t>
  </si>
  <si>
    <t>NSF(National Science Foundation (NSF)); National Geographic Explorer Grant; Hellen McLellan research grant from the Friends of the Royal Botanic Gardens Victoria; Administracion de Parques Nacionales of Argentina; Secretaria de Desarollo Sustentable y Ambiente of Tierra del Fuego</t>
  </si>
  <si>
    <t>We thank Donald Pfister and Nicolas Van Vooren for their thoughtful critiques and helpful suggestions that improved this manuscript. Funding for this project was provided by NSF grant DEB-1946445 to MES, GB, and RH, NSF grant DEB-1354802 (MES), National Geographic Explorer Grant NGS-59603R-19 (MES and MVC) and a Hellen McLellan research grant from the Friends of the Royal Botanic Gardens Victoria (CT). We thank Carolina Barroetavena, Efren Cazares, Gonzalo Guevara, Roy Halling, Benjamin Lemmond, Jean-Baptiste Perez, Pablo Sandoval-Leiva for providing valuable collections used in this study. We also thank Pablo Sandoval-Leiva, Francisco Kuhar, Natalia Fernandez, Daniella Torres, Giuliana Furci for helping to facilitate fieldwork in Argentina and Chile. We gratefully acknowledge the following curators and fungarium managers for loans and accessioning of materials used in this study: Francisco Kuhar at the Museo Botanico Cordoba (CORD), Museo Nacional de Historia Natural (SGO), Gonzalo Guevara at the Instituto Tecnologico de Ciudad Victoria (ITCV), Jessie Uehling of the Oregon State University Herbarium (OSC), Nimal Karunajeewa and curation staff at Royal Botanic Gardens Victoria (MEL), Tim Whitfeld at the University of Minnesota Bell Museum Herbarium (MIN), and Benjamin Lemmond at the Fungarium of the Florida Museum of Natural History (FLAS-F). Permission to collect fungi in the Chilean National System of Protected Wild Areas was provided by Corporacion Nacional Forestal (CONAF) under permit nos. 014/2014 (to M.E.S.) and 013/2019 (to M.V.C.). Collecting permits in Argentina were issued by the Administracion de Parques Nacionales of Argentina (Projecto 2016/720, E.N.), Secretaria de Desarollo Sustentable y Ambiente of Tierra del Fuego (no. 0218/2015, C.T.).</t>
  </si>
  <si>
    <t>RIJKSHERBARIUM</t>
  </si>
  <si>
    <t>LEIDEN</t>
  </si>
  <si>
    <t>PO BOX 9514, 2300 RA LEIDEN, NETHERLANDS</t>
  </si>
  <si>
    <t>0031-5850</t>
  </si>
  <si>
    <t>Persoonia</t>
  </si>
  <si>
    <t>10.3767/persoonia.2023.51.03</t>
  </si>
  <si>
    <t>Mycology</t>
  </si>
  <si>
    <t>IC3Z3</t>
  </si>
  <si>
    <t>WOS:001164098000003</t>
  </si>
  <si>
    <t>Burgard, C; Jourdain, NC; Mathiot, P; Smith, RS; Schäfer, R; Caillet, J; Finn, TS; Johnson, JE</t>
  </si>
  <si>
    <t>Burgard, C.; Jourdain, N. C.; Mathiot, P.; Smith, R. S.; Schaefer, R.; Caillet, J.; Finn, T. S.; Johnson, J. E.</t>
  </si>
  <si>
    <t>Emulating Present and Future Simulations of Melt Rates at the Base of Antarctic Ice Shelves With Neural Networks</t>
  </si>
  <si>
    <t>JOURNAL OF ADVANCES IN MODELING EARTH SYSTEMS</t>
  </si>
  <si>
    <t>cryosphere; deep learning; climate; ice shelves; neural networks; ocean</t>
  </si>
  <si>
    <t>GROUNDING LINE RETREAT; WEST ANTARCTICA; KOHLER GLACIERS; MODEL; SHEET; PARAMETERISATIONS; SHELF/OCEAN; SMITH</t>
  </si>
  <si>
    <t>Melt rates at the base of Antarctic ice shelves are needed to drive projections of the Antarctic ice sheet mass loss. Current basal melt parameterizations struggle to link open ocean properties to ice-shelf basal melt rates for the range of current sub-shelf cavity geometries around Antarctica. We present a proof of concept exploring the potential of simple deep learning techniques to parameterize basal melt. We train a simple feedforward neural network, or multilayer perceptron, acting on each grid cell separately, to emulate the behavior of circum-Antarctic cavity-resolving ocean simulations. We find that this kind of emulator produces reasonable basal melt rates for our training ensemble, at least as close as or closer to the reference than traditional parameterizations. On an independent ensemble of simulations that was produced with the same ocean model but with different model parameters, cavity geometries and forcing, the neural network yields similar results to traditional parameterizations on present conditions. In much warmer conditions, both traditional parameterizations and neural network struggle, but the neural network tends to produce basal melt rates closer to the reference than a majority of traditional parameterizations. While this shows that such a neural network is at least as suitable for century-scale Antarctic ice-sheet projections as traditional parameterizations, it also highlights that tuning any parameterization on present-like conditions can introduce biases and should be used with care. Nevertheless, this proof of concept is promising and provides a basis for further development of a deep learning basal melt parameterization. A warmer ocean around Antarctica leads to higher melting of the floating ice shelves, which influence the ice loss from the Antarctic ice sheet and therefore sea-level rise. In computer simulations of the ocean, these ice shelves are often not represented. For simulations of the ice sheet, so-called parameterizations are used to link the oceanic properties in front of the shelf and the melt at their base. We show that this link can be emulated with a simple neural network, which performs at least as well as traditional physical parameterizations both for present and much warmer conditions. This study also proposes several potential ways of further improving the use of deep learning to parameterize basal melt. We show that simple neural networks produce reasonable basal melt rates by emulating circum-Antarctic cavity-resolving ocean simulationsPredicted melt rates for present and warmer conditions are similar or closer to the reference simulation than traditional parameterizationsWe show that neural networks are suited to be used as basal melt parameterizations for century-scale ice-sheet projections</t>
  </si>
  <si>
    <t>[Burgard, C.; Jourdain, N. C.; Mathiot, P.; Caillet, J.; Johnson, J. E.] Univ Grenoble Alpes, CNRS, IRD, Grenoble INP,INRAE,IGE, Grenoble, France; [Burgard, C.] Sorbonne Univ, Lab Oceanog &amp; Climat Expt &amp; Approches Numer LOCEAN, CNRS, IRD,MNHN, Paris, France; [Smith, R. S.] Univ Reading, Dept Meteorol, NCAS, Reading, England; [Schaefer, R.] Phys Tech Bundesanstalt, Braunschweig, Germany; [Finn, T. S.] Ecole Ponts, Ile De France, France; [Finn, T. S.] CEREA, EDF R&amp;D, Ile De France, France</t>
  </si>
  <si>
    <t>Communaute Universite Grenoble Alpes; Universite Grenoble Alpes (UGA); INRAE; Institut de Recherche pour le Developpement (IRD); Institut National Polytechnique de Grenoble; Centre National de la Recherche Scientifique (CNRS); Museum National d'Histoire Naturelle (MNHN); Centre National de la Recherche Scientifique (CNRS); Institut de Recherche pour le Developpement (IRD); Sorbonne Universite; University of Reading; UK Research &amp; Innovation (UKRI); Natural Environment Research Council (NERC); NERC National Centre for Atmospheric Science; Physikalisch-Technische Bundesanstalt (PTB); Ecole des Ponts ParisTech; Ecole des Ponts ParisTech; Electricite de France (EDF)</t>
  </si>
  <si>
    <t>Burgard, C (corresponding author), Univ Grenoble Alpes, CNRS, IRD, Grenoble INP,INRAE,IGE, Grenoble, France.;Burgard, C (corresponding author), Sorbonne Univ, Lab Oceanog &amp; Climat Expt &amp; Approches Numer LOCEAN, CNRS, IRD,MNHN, Paris, France.</t>
  </si>
  <si>
    <t>clara.burgard@locean.ipsl.fr</t>
  </si>
  <si>
    <t>; Jourdain, Nicolas/B-6899-2015</t>
  </si>
  <si>
    <t>Schafer, Rieke/0000-0001-7299-484X; Jourdain, Nicolas/0000-0002-1372-2235; Burgard, Clara/0000-0003-3847-3172</t>
  </si>
  <si>
    <t>GENCI-CINES (MISOCS project) [A0080106035, A0100106035]; MIAI @ Grenoble Alpes [ANR-19-P3IA-0003]; European Union [869304, 820575, 101003536]; French National Research Agency through the AIAI project [ANR-22-CE01-0014]</t>
  </si>
  <si>
    <t>GENCI-CINES (MISOCS project); MIAI @ Grenoble Alpes; European Union(European Union (EU)); French National Research Agency through the AIAI project(Agence Nationale de la Recherche (ANR))</t>
  </si>
  <si>
    <t>We thank the three anonymous reviewers for their positive feedback and constructive comments. We also thank D. Jones, P. Holland, T. Andersson, A. Bradley, S. Thomas, A. Vaughan, and many others at the British Antarctic Survey for interesting discussions and exchange on ocean, ice, and machine learning. Most of the computations presented in this paper were performed using the GRICAD infrastructure (https://gricad.univ-grenoble-alpes.fr), which is supported by Grenoble research communities. The NEMO simulations were performed using high performance computing resources from GENCI-CINES (MISOCS project, allocations A0080106035 and A0100106035). This research was mainly conducted through the DEEP-MELT project (IRGA Pack IA 2021-2022), which is supported by MIAI @ Grenoble Alpes (ANR-19-P3IA-0003). This research was also supported by the European Union's Horizon 2020 research and innovation programme under grant agreements no. 869304 (PROTECT), 820575 (TiPACCs) and 101003536 (ESM2025), as well as by the French National Research Agency through the AIAI project (ANR-22-CE01-0014). It is PROTECT contribution number 79. CB and NCJ developed the original idea of this paper. CB carried out all analyses and wrote the manuscript. PM carried out the NEMO simulations used for training and RSS carried out the UKESM simulations. NCJ, RS and JC provided valuable help and code for the definition of the ice-shelf masks when the ice shelves evolve over time. TSF provided methodological input on the training of neural networks and JEJ provided useful input about how to think about machine learning. CB, NCJ, PM, RS, RSS, JC, TSF, JEJ contributed to discussions.</t>
  </si>
  <si>
    <t>1942-2466</t>
  </si>
  <si>
    <t>J ADV MODEL EARTH SY</t>
  </si>
  <si>
    <t>J. Adv. Model. Earth Syst.</t>
  </si>
  <si>
    <t>e2023MS003829</t>
  </si>
  <si>
    <t>10.1029/2023MS003829</t>
  </si>
  <si>
    <t>CZ9V9</t>
  </si>
  <si>
    <t>gold, Green Published, Green Submitted, Green Accepted</t>
  </si>
  <si>
    <t>WOS:001129179200001</t>
  </si>
  <si>
    <t>Van Katwyk, P; Fox-Kemper, B; Seroussi, H; Nowicki, S; Bergen, KJ</t>
  </si>
  <si>
    <t>Van Katwyk, Peter; Fox-Kemper, Baylor; Seroussi, Helene; Nowicki, Sophie; Bergen, Karianne J.</t>
  </si>
  <si>
    <t>A Variational LSTM Emulator of Sea Level Contribution From the Antarctic Ice Sheet</t>
  </si>
  <si>
    <t>emulator; sea level; ISMIP6; uncertainty quantification; neural network; machine learning</t>
  </si>
  <si>
    <t>RANKED PROBABILITY SCORE; GAUSSIAN-PROCESSES; NEURAL-NETWORKS; PREDICTION; PHYSICS; RULES; RISE</t>
  </si>
  <si>
    <t>The Antarctic ice sheet (AIS) will be a dominant contributor to global mean sea level rise in the 21st century but remains a major source of uncertainty. The Ice Sheet Model Intercomparison for CMIP6 (ISMIP6) is an ensemble of continental-scale models for studying the evolution of the AIS and projecting its future contribution to sea level. Due to their complexity and computational cost, ISMIP6 simulations are sparse and generated infrequently. Emulators are smaller-scale models that approximate ISMs and enable experimentation and exploration into the drivers of sea level change. We introduce a neural network (NN) emulator to approximate the ISMIP6 ensemble, using a variational Long Short-Term Memory (LSTM) with Monte Carlo dropout to quantify single-projection uncertainty. The proposed NN emulator is compared to a Gaussian Process (GP) emulator on four criteria: accuracy of point estimates and predictive distributions of individual model projections, approximation of the ensemble projections, and model training time. The NN predicts more accurately on single projections, with a mean absolute error of 0.46 mm Sea Level Equivalent (SLE) versus 0.73 mm SLE for the GP, and has more accurate uncertainty estimates. The NN emulator also better approximates the ensemble distribution of ISMIP6 model projections, with a Kullback-Leibler divergence of 18.26 versus 199.14 for GP at the projection year 2100. The NN enables more accurate experimentation with a reduced runtime, offering a new tool for understanding the important role of regional precipitation, ice sheet drainage systems, and interannual and longer timescale dynamics.</t>
  </si>
  <si>
    <t>[Van Katwyk, Peter; Fox-Kemper, Baylor; Bergen, Karianne J.] Brown Univ, Dept Earth Environm &amp; Planetary Sci, Providence, RI 02912 USA; [Van Katwyk, Peter; Bergen, Karianne J.] Brown Univ, Data Sci Inst, Providence, RI 02912 USA; [Van Katwyk, Peter; Fox-Kemper, Baylor] Brown Univ, Inst Brown Environm &amp; Soc, Providence, RI 02912 USA; [Seroussi, Helene] Dartmouth Coll, Thayer Sch Engn, Hanover, NH USA; [Nowicki, Sophie] Univ Buffalo, Dept Geol, Buffalo, NY USA</t>
  </si>
  <si>
    <t>Brown University; Brown University; Brown University; Dartmouth College; State University of New York (SUNY) System; State University of New York (SUNY) Buffalo</t>
  </si>
  <si>
    <t>Van Katwyk, P (corresponding author), Brown Univ, Dept Earth Environm &amp; Planetary Sci, Providence, RI 02912 USA.;Van Katwyk, P (corresponding author), Brown Univ, Data Sci Inst, Providence, RI 02912 USA.;Van Katwyk, P (corresponding author), Brown Univ, Inst Brown Environm &amp; Soc, Providence, RI 02912 USA.</t>
  </si>
  <si>
    <t>peter_van_katwyk@brown.edu</t>
  </si>
  <si>
    <t>; Fox-Kemper, Baylor/A-1159-2007</t>
  </si>
  <si>
    <t>Van Katwyk, Peter/0000-0002-3512-0665; Fox-Kemper, Baylor/0000-0002-2871-2048</t>
  </si>
  <si>
    <t>National Science Foundation [2040433]; National Science Foundation Graduate Research Fellowship Program; Schmidt Futures Foundation Scale-Aware Sea Ice Project (SASIP) [80NSSC21K1939, 80NSSC22K0383]; NASA Cryospheric Science Program [80NSSC21K0915, 80NSSC21K0322]; NASA; Center for Computation and Visualization, Brown University; Climate and Cryosphere (CliC); Earth System Grid Federation</t>
  </si>
  <si>
    <t>National Science Foundation(National Science Foundation (NSF)); National Science Foundation Graduate Research Fellowship Program(National Science Foundation (NSF)); Schmidt Futures Foundation Scale-Aware Sea Ice Project (SASIP); NASA Cryospheric Science Program; NASA(National Aeronautics &amp; Space Administration (NASA)); Center for Computation and Visualization, Brown University; Climate and Cryosphere (CliC); Earth System Grid Federation</t>
  </si>
  <si>
    <t>PVK is supported by the National Science Foundation Graduate Research Fellowship Program under Grant 2040433. BFK was supported by the Schmidt Futures Foundation Scale-Aware Sea Ice Project (SASIP). HS was supported by grants from NASA Cryospheric Science Program (80NSSC21K1939 and 80NSSC22K0383). SN was supported by grants from NASA (awards 80NSSC21K0915 and 80NSSC21K0322). Computational resources and services required for this study were provided by the Center for Computation and Visualization, Brown University. We also thank the Climate and Cryosphere (CliC) and their efforts to host ISMIP6, along with the World Climate Research Programme, which coordinated and promoted CMIP5 and CMIP6. We thank the climate modeling groups for producing and making available their model output, the Earth System Grid Federation (ESGF) for archiving the CMIP data and providing access, the University at Buffalo for ISMIP6 data distribution and upload, and the multiple funding agencies who support CMIP5 and CMIP6 and ESGF. We thank all those involved with ISMIP6 for making this research possible. The authors thank Robert Kopp and two anonymous reviewers for their invaluable feedback on the manuscript. This is ISMIP6 contribution number 32.</t>
  </si>
  <si>
    <t>e2023MS003899</t>
  </si>
  <si>
    <t>10.1029/2023MS003899</t>
  </si>
  <si>
    <t>CZ5W0</t>
  </si>
  <si>
    <t>WOS:001129075200001</t>
  </si>
  <si>
    <t>Ohashi, Y; Yamamoto-Kawai, M; Kusahara, K; Sasaki, K'; Ohshima, KI</t>
  </si>
  <si>
    <t>Ohashi, Yoshihiko; Yamamoto-Kawai, Michiyo; Kusahara, Kazuya; Sasaki, Ken 'ichi; Ohshima, Kay I.</t>
  </si>
  <si>
    <t>Circumpolar distributions of age and anthropogenic CO2 content of Antarctic Bottom Water revealed by chlorofluorocarbon and sulfur hexafluoride</t>
  </si>
  <si>
    <t>PROGRESS IN OCEANOGRAPHY</t>
  </si>
  <si>
    <t>Antarctic Bottom Water; Water mass age; Anthropogenic CO2; Southern Ocean; Chlorofluorocarbon; Sulfur hexafluoride</t>
  </si>
  <si>
    <t>SOUTHERN-OCEAN; CONTINENTAL-SLOPE; INDIAN SECTOR; WEDDELL SEA; DEEP-WATER; CIRCULATION; CARBON; VENTILATION; STORAGE; MASSES</t>
  </si>
  <si>
    <t>Antarctic Bottom Water (AABW) sequesters anthropogenic CO2 (C-ant) over the long-term and impacts the global carbon cycle. In this study, data of chlorofluorocarbon and sulfur hexafluoride observed from 2005 to 2020 in the Southern Ocean (SO) were used to investigate the age and C-ant content of AABW. In the coastal regions of the Cosmonaut, Cooperation, D'Urville, and Somov Seas and near the Pacific-Antarctic Ridge, the age of AABW was &lt; 5 years, reflecting the spread of newly formed AABW. Higher C-ant inventory in AABW was detected in the Atlantic Ocean sector of the SO such as the Weddell and Lazarev Seas (29-55 +/- 19-39 mol m(-2)) and the Cosmonaut and Cooperation Seas (35 +/- 14 mol m(-2)) than those in the other regions. The amount of C-ant in AABW in this region (7 +/- 1-2 PgC) was estimated to be 78 % of the total C-ant in AABW of the SO, suggesting the Atlantic Ocean sector as a major player to C-ant sequestration in the abyssal ocean. The high C-ant inventory in the Cosmonaut and Cooperation Seas is attributed to the presence of new AABW. The high C-ant inventory also corresponded to the thick layer and high formation rate of AABW. Similar to the Cosmonaut and Cooperation Seas, the high C-ant inventory in the Weddell and Lazarev Seas reflects the thick layer and high formation rate of AABW. The total amount of C-ant in AABW in the SO (9 +/- 1-2 PgC that would be the upper limit) was roughly estimated to be 15 % of the total C-ant in the whole water column in the SO. This study highlights that AABW formation, transport, and storage processes play important roles in the total C-ant sequestration in the SO.</t>
  </si>
  <si>
    <t>[Ohashi, Yoshihiko; Yamamoto-Kawai, Michiyo] Tokyo Univ Marine Sci &amp; Technol, Dept Ocean Sci, Tokyo 1088477, Japan; [Ohashi, Yoshihiko] Univ Ctr Svalbard, N-9171 Longyearbyen, Norway; [Kusahara, Kazuya] Japan Agcy Marine Earth Sci &amp; Technol, Res Inst Global Change, Res Ctr Environm Modeling &amp; Applicat, Yokohama 2360001, Japan; [Sasaki, Ken 'ichi] Japan Agcy Marine Earth Sci &amp; Technol, Mutsu Inst Oceanog, Res Inst Global Change, Mutsu 0350022, Japan; [Ohshima, Kay I.] Hokkaido Univ, Inst Low Temp Sci, Sapporo 0600819, Japan; [Ohshima, Kay I.] Hokkaido Univ, Arctic Res Ctr, Sapporo 0010021, Japan; [Ohashi, Yoshihiko] Univ Ctr Svalbard, POB 156, N-9171 Longyearbyen, Norway</t>
  </si>
  <si>
    <t>Tokyo University of Marine Science &amp; Technology; University Centre Svalbard (UNIS); Japan Agency for Marine-Earth Science &amp; Technology (JAMSTEC); Japan Agency for Marine-Earth Science &amp; Technology (JAMSTEC); Hokkaido University; Hokkaido University; University Centre Svalbard (UNIS)</t>
  </si>
  <si>
    <t>Ohashi, Y (corresponding author), Univ Ctr Svalbard, POB 156, N-9171 Longyearbyen, Norway.</t>
  </si>
  <si>
    <t>yoh70503@gmail.com</t>
  </si>
  <si>
    <t>JSPS KEKENHI [JP17H06317, JP19K12301, JP21H04918, JP21H04931, JP22H05003]; Kurita Water and Environment Foundation [19A079, 20K022]</t>
  </si>
  <si>
    <t>JSPS KEKENHI(Ministry of Education, Culture, Sports, Science and Technology, Japan (MEXT)Japan Society for the Promotion of ScienceGrants-in-Aid for Scientific Research (KAKENHI)); Kurita Water and Environment Foundation(Kurita Water and Environment Foundation)</t>
  </si>
  <si>
    <t>We acknowledge all scientists and technicians contributing to GLO-DAPv2.2022 and all captains and crews who support obtaining these data. We are deeply grateful to the captain Kazuhiro Kasuga, crews, Dr. Minoru Ikehara (chief scientist of KH19-01 cruise), and the other scientists of the KH19-01 and KH20-01 cruises for their assistance with the field observations. This research was supported by JSPS KEKENHI Grants (Nos. JP17H06317, JP19K12301, JP21H04918, JP21H04931, and JP22H05003) and the Kurita Water and Environment Foundation (Nos. 19A079 and 20K022).</t>
  </si>
  <si>
    <t>0079-6611</t>
  </si>
  <si>
    <t>1873-4472</t>
  </si>
  <si>
    <t>PROG OCEANOGR</t>
  </si>
  <si>
    <t>Prog. Oceanogr.</t>
  </si>
  <si>
    <t>10.1016/j.pocean.2023.103153</t>
  </si>
  <si>
    <t>IG4W5</t>
  </si>
  <si>
    <t>WOS:001165173400001</t>
  </si>
  <si>
    <t>Dice, MJ; Cassano, JJ; Jozef, GC; Seefeldt, M</t>
  </si>
  <si>
    <t>Dice, Mckenzie J.; Cassano, John J.; Jozef, Gina C.; Seefeldt, Mark</t>
  </si>
  <si>
    <t>Variations in boundary layer stability across Antarctica: a comparison between coastal and interior sites</t>
  </si>
  <si>
    <t>WEATHER AND CLIMATE DYNAMICS</t>
  </si>
  <si>
    <t>SELF-ORGANIZING MAPS; ROSS ICE SHELF; DOME-C; TEMPERATURE INVERSION; CLOUD COVER; SOUTH-POLE; TOWER</t>
  </si>
  <si>
    <t>The range of boundary layer stability profiles, from the surface to 500 m a.g.l. (above ground level), present in radiosonde observations from two continental-interior (South Pole Station and Dome Concordia Station) and three coastal (McMurdo Station, Georg von Neumayer Station III, and Syowa Station) Antarctic sites, is examined using the self-organizing maps (SOMs) neural network algorithm. A wide range of potential temperature profiles is revealed, from shallow boundary layers with strong near-surface stability to deeper boundary layers with weaker or near-neutral stability, as well as profiles with weaker near-surface stability and enhanced stability aloft, above the boundary layer. Boundary layer regimes were defined based on the range of profiles revealed by the SOM analysis; 20 boundary layer regimes were identified to account for differences in stability near the surface as well as above the boundary layer. Strong, very strong, or extremely strong stability, with vertical potential temperature gradients of 5 to in excess of 30 K per 100 m, occurred more than 80 % of the time at South Pole and Dome Concordia in the winter. Weaker stability was found in the winter at the coastal sites, with moderate and strong stability (vertical potential temperature gradients of 1.75 to 15 K per 100 m) occurring 70 % to 85 % of the time. Even in the summer, moderate and strong stability is found across all five sites, either immediately near the surface or aloft, just above the boundary layer. While the mean boundary layer height at the continental-interior sites was found to be approximately 50 m, the mean boundary layer height at the coastal sites was deeper, around 110 m. Further, a commonly described two-stability-regime system in the Arctic associated with clear or cloudy conditions was applied to the 20 boundary layer regimes identified in this study to understand if the two-regime behavior is also observed in the Antarctic. It was found that moderate and strong stability occur more often with clear- than cloudy-sky conditions, but weaker stability regimes occur almost equally for clear and cloudy conditions.</t>
  </si>
  <si>
    <t>[Dice, Mckenzie J.; Cassano, John J.; Jozef, Gina C.] Univ Colorado, Dept Atmospher &amp; Ocean Sci, Boulder, CO 80309 USA; [Dice, Mckenzie J.; Cassano, John J.; Jozef, Gina C.; Seefeldt, Mark] Univ Colorado, Cooperat Inst Res Environm Sci, Boulder, CO 80309 USA; [Dice, Mckenzie J.; Cassano, John J.; Jozef, Gina C.; Seefeldt, Mark] Univ Colorado, Natl Snow &amp; Ice Data Ctr, Boulder, CO 80309 USA</t>
  </si>
  <si>
    <t>University of Colorado System; University of Colorado Boulder; University of Colorado System; University of Colorado Boulder; University of Colorado System; University of Colorado Boulder</t>
  </si>
  <si>
    <t>Dice, MJ (corresponding author), Univ Colorado, Dept Atmospher &amp; Ocean Sci, Boulder, CO 80309 USA.;Dice, MJ (corresponding author), Univ Colorado, Cooperat Inst Res Environm Sci, Boulder, CO 80309 USA.;Dice, MJ (corresponding author), Univ Colorado, Natl Snow &amp; Ice Data Ctr, Boulder, CO 80309 USA.</t>
  </si>
  <si>
    <t>mckenzie.dice@colorado.edu</t>
  </si>
  <si>
    <t>CASSANO, JOHN/0000-0003-3176-3978; Hamilton, Gina/0000-0002-9640-2180</t>
  </si>
  <si>
    <t>National Science Foundation; Department of Energy; Office of Antarctic Observation of the Japan Meteorological Agency</t>
  </si>
  <si>
    <t>National Science Foundation(National Science Foundation (NSF)); Department of Energy(United States Department of Energy (DOE)); Office of Antarctic Observation of the Japan Meteorological Agency</t>
  </si>
  <si>
    <t>The authors thank the United States Antarctic Program, the Department of Energy, the Baseline Surface Radiation Network, the Antarctic Meteorological Research and Data Center, the Antarctic Meteo-Climatological Observatory, and the Office of Antarctic Observation of the Japan Meteorological Agency for the support and logistics for the data used in this paper.</t>
  </si>
  <si>
    <t>2698-4016</t>
  </si>
  <si>
    <t>WEATHER CLIM DYNAM</t>
  </si>
  <si>
    <t>DEC 1</t>
  </si>
  <si>
    <t>10.5194/wcd-4-1045-2023</t>
  </si>
  <si>
    <t>IU2Z0</t>
  </si>
  <si>
    <t>WOS:001168797400001</t>
  </si>
  <si>
    <t>Vanstreels, RET; Chagas, CRF; Valkiunas, G; dos Anjos, CC; Parsons, NJ; Roberts, DG; Snyman, A; Hurtado, R; Kirchgatter, K; Ludynia, K; Pistorius, PA</t>
  </si>
  <si>
    <t>Vanstreels, Ralph E. T.; Chagas, Carolina R. F.; Valkiunas, Gediminas; dos Anjos, Carolina C.; Parsons, Nola J.; Roberts, David G.; Snyman, Albert; Hurtado, Renata; Kirchgatter, Karin; Ludynia, Katrin; Pistorius, Pierre A.</t>
  </si>
  <si>
    <t>Haemoproteus jenniae (Haemoproteidae, Haemosporida) infects gulls (Larus spp.) in South Africa, with redescription of Haemoproteus skuae</t>
  </si>
  <si>
    <t>PARASITOLOGY</t>
  </si>
  <si>
    <t>Blood parasite; Haemoproteus; Hippoboscidae; Larus; seabird; vector-borne pathogen</t>
  </si>
  <si>
    <t>BLOOD PARASITES; MALARIA PARASITES; PREVALENCE; BIRDS; CHARADRIIFORMES; DIVERSITY; ABSENCE; HIPPOBOSCIDAE; PLASMODIUM; PHYLOGENY</t>
  </si>
  <si>
    <t>Haemoproteus spp. are dipteran-borne protozoa that infect erythrocytes and reticulo-endothelial cells of birds. These parasites are not usually transmitted between birds belonging to different orders. The suborder Lari (order Charadriiformes) comprises similar to 170 avian species, the majority of which are aquatic, including gulls, terns, auklets, murres and skuas, among others. In spite of the diversity of this avian group, there is limited known diversity of haemosporidian parasites, with only 4 recorded Haemoproteus morphospecies thus far. We examined the blood smears of 21 kelp gulls (Larus dominicanus) captured at a breeding colony in South Africa, as well as Haemoproteus-positive archival blood smears of 15 kelp gulls and 1 Hartlaub's gull (Larus hartlaubii) sampled while under care at seabird rehabilitation facilities in South Africa. Haemoproteus sp. infection was detected in 19% of wild-caught kelp gulls. All parasites from the gulls were morphologically identified as Haemoproteus jenniae, a species previously recorded in Lari birds at the Galapagos Islands (Ecuador), Rocas Atoll (Brazil) and Poland. Gene sequencing uncovered a new cytochrome b lineage, LARDOM01, which was closely related to the previously reported H. jenniae lineage CREFUR01. Additionally, we evaluated a hapantotype blood smear of Haemoproteus skuae, which had been described infecting a brown skua (Catharacta antarctica) in South Africa. We provide a redescription of H. skuae and discuss the morphological characters distinguishing it from H. jenniae. Further research is necessary to improve our knowledge about the host and geographic distribution, health effects and phylogeny of H. jenniae and H. skuae.</t>
  </si>
  <si>
    <t>[Vanstreels, Ralph E. T.; Pistorius, Pierre A.] Nelson Mandela Univ, Dept Zool, Marine Apex Predator Res Unit MAPRU, Gqeberha, South Africa; [Chagas, Carolina R. F.; Valkiunas, Gediminas] Inst Ecol, Nat Res Ctr, Vilnius, Lithuania; [dos Anjos, Carolina C.; Kirchgatter, Karin] Univ Sao Paulo, Fac Med, Inst Med Trop, Sao Paulo, Brazil; [Parsons, Nola J.; Roberts, David G.; Snyman, Albert; Hurtado, Renata; Ludynia, Katrin] Southern African Fdn theConservat Coastal Birds SA, Cape Town, South Africa; [Kirchgatter, Karin] Inst Pasteur, Sao Paulo, Brazil</t>
  </si>
  <si>
    <t>Nelson Mandela University; Nature Research Center - Lithuania; Universidade de Sao Paulo; Pasteur Network; Institut Pasteur Sao Paulo</t>
  </si>
  <si>
    <t>Vanstreels, RET (corresponding author), Nelson Mandela Univ, Dept Zool, Marine Apex Predator Res Unit MAPRU, Gqeberha, South Africa.</t>
  </si>
  <si>
    <t>ralph_vanstreels@yahoo.com.br</t>
  </si>
  <si>
    <t>Chagas, Carolina Romeiro Fernandes/C-2850-2017; Kirchgatter, Karin/D-8376-2013</t>
  </si>
  <si>
    <t>Chagas, Carolina Romeiro Fernandes/0000-0002-7884-9085; Kirchgatter, Karin/0000-0002-2449-2316; Anjos, Carolina/0000-0002-6391-6783</t>
  </si>
  <si>
    <t>ABAX Investments; Bristol Conservation Foundation; Cheyenne Mountain Zoo; Columbus Zoological Park; Georgia Aquarium; HansHoheisen Charitable Trust; International Fund for Animal Welfare; Leiden Conservation Foundation; National Lottery Distribution Trust Fund; Sea Research Foundation; Sea World and BuschGardens; CNPq [309396/2021-2]; National Research Foundation (NRF); South African National Antarctic Programme (SANAP)</t>
  </si>
  <si>
    <t>ABAX Investments; Bristol Conservation Foundation; Cheyenne Mountain Zoo; Columbus Zoological Park; Georgia Aquarium; HansHoheisen Charitable Trust; International Fund for Animal Welfare; Leiden Conservation Foundation; National Lottery Distribution Trust Fund; Sea Research Foundation; Sea World and BuschGardens; CNPq(Conselho Nacional de Desenvolvimento Cientifico e Tecnologico (CNPQ)); National Research Foundation (NRF); South African National Antarctic Programme (SANAP)</t>
  </si>
  <si>
    <t>SANCCOB is supported by a wide range of donors,including ABAX Investments, Bristol Conservation Foundation, Cheyenne Mountain Zoo, Columbus Zoological Park, Georgia Aquarium, HansHoheisen Charitable Trust, International Fund for Animal Welfare, Leiden Conservation Foundation, the National Lottery Distribution Trust Fund, Sea Research Foundation (Mystic Aquarium) and Sea World and BuschGardens. K. K. is a CNPq research fellow (309396/2021-2). Additionally,this study was supported by the National Research Foundation (NRF) and the South African National Antarctic Programme (SANAP)</t>
  </si>
  <si>
    <t>0031-1820</t>
  </si>
  <si>
    <t>1469-8161</t>
  </si>
  <si>
    <t>Parasitology</t>
  </si>
  <si>
    <t>10.1017/S003118202300029X</t>
  </si>
  <si>
    <t>HC5V4</t>
  </si>
  <si>
    <t>WOS:001157313600001</t>
  </si>
  <si>
    <t>Nousek-McGregor, A; Fisher, B; Baker, CA; Robinson, C; Damerell, GM; Liszka, CM; Fielding, S; Muschitiello, P</t>
  </si>
  <si>
    <t>Nousek-McGregor, Anna; Fisher, Ben; Baker, Chelsey A.; Robinson, Carol; Damerell, Gillian M.; Liszka, Cecilia M.; Fielding, Sophie; Muschitiello, Pilvi</t>
  </si>
  <si>
    <t>Fair Winds and Following Seas Remotely: Modifying Perceptions of Fieldwork as a Requirement in Marine Science to Aid in Diversifying the Discipline</t>
  </si>
  <si>
    <t>OCEANOGRAPHY</t>
  </si>
  <si>
    <t>[Nousek-McGregor, Anna] Univ Glasgow, Sch Biodivers One Hlth &amp; Vet Med, Glasgow, Lanark, Scotland; [Fisher, Ben] Univ Edinburgh, Sch GeoSci, Edinburgh, Midlothian, Scotland; [Baker, Chelsey A.] Natl Oceanog Ctr, Southampton, Hants, England; [Robinson, Carol] Univ East Anglia, Ctr Ocean &amp; Atmospher Sci, Sch Environm Sci, Norwich, Norfolk, England; [Damerell, Gillian M.] Univ East Anglia, Ctr Ocean &amp; Atmospher Sci, Sch Environm Sci, Norwich, Norfolk, England; [Damerell, Gillian M.] Univ Bergen, Geophys Inst, Bergen, Norway; [Damerell, Gillian M.] Bjerknes Ctr Climate Res, Bergen, Norway; [Liszka, Cecilia M.; Fielding, Sophie; Muschitiello, Pilvi] British Antarctic Survey, Cambridge, England</t>
  </si>
  <si>
    <t>University of Glasgow; University of Edinburgh; NERC National Oceanography Centre; University of East Anglia; University of East Anglia; University of Bergen; Bjerknes Centre for Climate Research; UK Research &amp; Innovation (UKRI); Natural Environment Research Council (NERC); NERC British Antarctic Survey</t>
  </si>
  <si>
    <t>Nousek-McGregor, A (corresponding author), Univ Glasgow, Sch Biodivers One Hlth &amp; Vet Med, Glasgow, Lanark, Scotland.</t>
  </si>
  <si>
    <t>anna.mcgregor@glasgow.ac.uk</t>
  </si>
  <si>
    <t>; Robinson, Carol/F-7649-2011</t>
  </si>
  <si>
    <t>Damerell, Gillian/0000-0001-5808-0822; Robinson, Carol/0000-0003-3033-4565</t>
  </si>
  <si>
    <t>University of Glasgow MVLS Ethics Committee [200210085]; UK Natural Environment Research Council (NERC) [2021EDIE036]</t>
  </si>
  <si>
    <t>University of Glasgow MVLS Ethics Committee; UK Natural Environment Research Council (NERC)(UK Research &amp; Innovation (UKRI)Natural Environment Research Council (NERC))</t>
  </si>
  <si>
    <t>The authors wish to thank all study participants for attending the workshop and contributing their views, and Eleni Christoforou for designing the project logo. These data were collected under approval from the University of Glasgow MVLS Ethics Committee no. 200210085. This study was funded by the UK Natural Environment Research Council (NERC) grant 2021EDIE036 Mcgregor awarded to ANM.</t>
  </si>
  <si>
    <t>OCEANOGRAPHY SOC</t>
  </si>
  <si>
    <t>ROCKVILLE</t>
  </si>
  <si>
    <t>P.O. BOX 1931, ROCKVILLE, MD USA</t>
  </si>
  <si>
    <t>1042-8275</t>
  </si>
  <si>
    <t>10.5670/oceanog.2024.131</t>
  </si>
  <si>
    <t>GK6Q7</t>
  </si>
  <si>
    <t>WOS:001152606900014</t>
  </si>
  <si>
    <t>Fisher, B; Hendry, K; Damerell, G; Baker, CA; Goddard-Dwyer, M; Joshi, S; Marzocchi, A; Nousek-McGregor, A; Robinson, C; Sieradzan, KR; Tagliabue, A; Van Landeghem, K</t>
  </si>
  <si>
    <t>Fisher, Ben; Hendry, Katharine; Damerell, Gillian; Baker, Chelsey A.; Goddard-Dwyer, Millie; Joshi, Siddhi; Marzocchi, Alice; Nousek-McGregor, Anna; Robinson, Carol; Sieradzan, Katie R.; Tagliabue, Alessandro; Van Landeghem, Katrien</t>
  </si>
  <si>
    <t>Challenger Society for Marine Science: Increasing Opportunity Through an Equity, Diversity, Inclusivity, and Accessibility Working Group</t>
  </si>
  <si>
    <t>[Fisher, Ben] Univ Edinburgh, Sch GeoSci, Edinburgh, Midlothian, Scotland; [Hendry, Katharine] British Antarctic Survey, Cambridge, England; [Damerell, Gillian; Baker, Chelsey A.] Univ East Anglia, Sch Environm Sci, Norwich, Norfolk, England; [Baker, Chelsey A.; Marzocchi, Alice] Natl Oceanog Ctr, Southampton, Hants, England; [Goddard-Dwyer, Millie; Tagliabue, Alessandro] Univ Liverpool, Sch Environm Sci, Liverpool, Merseyside, England; [Nousek-McGregor, Anna] Univ Glasgow, Sch Biodivers, Glasgow, Lanark, Scotland; [Sieradzan, Katie R.; Van Landeghem, Katrien] Bangor Univ, Sch Ocean Sci, Bangor, Gwynedd, Wales</t>
  </si>
  <si>
    <t>University of Edinburgh; UK Research &amp; Innovation (UKRI); Natural Environment Research Council (NERC); NERC British Antarctic Survey; University of East Anglia; NERC National Oceanography Centre; University of Liverpool; University of Glasgow; Bangor University</t>
  </si>
  <si>
    <t>Hendry, K (corresponding author), British Antarctic Survey, Cambridge, England.</t>
  </si>
  <si>
    <t>kathen@bas.ac.uk</t>
  </si>
  <si>
    <t>Joshi, Siddhi/GRS-6003-2022; Robinson, Carol/F-7649-2011</t>
  </si>
  <si>
    <t>Joshi, Siddhi/0000-0003-3084-1751; Robinson, Carol/0000-0003-3033-4565; Damerell, Gillian/0000-0001-5808-0822</t>
  </si>
  <si>
    <t>Natural Environment Research Council [NE/W007649/1]; Natural Environment Research Council (NERC) [NE/R015953/1]; NERC [NE/X008886/1]</t>
  </si>
  <si>
    <t>Natural Environment Research Council(UK Research &amp; Innovation (UKRI)Natural Environment Research Council (NERC)); Natural Environment Research Council (NERC)(UK Research &amp; Innovation (UKRI)Natural Environment Research Council (NERC)); NERC(UK Research &amp; Innovation (UKRI)Natural Environment Research Council (NERC))</t>
  </si>
  <si>
    <t>We are grateful to all past and present members of the Challenger EDIA working group for their work on the actions discussed in this article. The actions of the working group were supported by project funding from the Natural Environment Research Council, FindAScienceBerth (NE/W007649/1), and perceptions of fieldwork (2021EDIE036Mcgregor). CAB and AM were supported by Natural Environment Research Council (NERC) funding for the CLASS project through grant NE/R015953/1. KVL was supported by NERC funding through grant NE/X008886/1. All authors contributed to writing the manuscript; KS produced Figure 1.</t>
  </si>
  <si>
    <t>10.5670/oceanog.2024.110</t>
  </si>
  <si>
    <t>Green Submitted, Green Accepted, gold</t>
  </si>
  <si>
    <t>WOS:001152606900033</t>
  </si>
  <si>
    <t>Ryzhova, DA; Dubinin, EP; Kosnyreva, MV; Bulychev, AA</t>
  </si>
  <si>
    <t>Ryzhova, D. A.; Dubinin, E. P.; Kosnyreva, M. V.; Bulychev, A. A.</t>
  </si>
  <si>
    <t>The Structural Zoning of the African-Antarctic Sector of the Southern Ocean Based on the Analysis of Anomalous Gravity and Magnetic Fields</t>
  </si>
  <si>
    <t>RUSSIAN JOURNAL OF PACIFIC GEOLOGY</t>
  </si>
  <si>
    <t>anomalous gravity and magnetic fields; tectonosphere; structural zoning</t>
  </si>
  <si>
    <t>AGULHAS PLATEAU; INDIAN-OCEAN; ATLANTIC; RIDGE</t>
  </si>
  <si>
    <t>The African-Antarctic sector of the Southern Ocean is the least studied part of the World Ocean; its structure and evolution of the tectonosphere remains debatable. The complex development history of the region under study, accompanied by manifestations of intense magmatic and tectonic activity, has contributed to the formation of a number of large underwater ridges and rises. Identifying the features of the deep structure of the tectonosphere on the basis of the analysis of geophysical information and understanding the geodynamic nature of the morphostructures of the region under study is an urgent problem of marine geophysics and geodynamics. The structural analysis of the anomalous gravity and magnetic fields of the studied region was carried out. Zoning scheme by the anomalous fields as well as a generalized scheme have been constructed. The results of these studies made it possible to identify heterogeneous blocks of the lithosphere, which were formed on different spreading ridges and are separated by submarine rises.</t>
  </si>
  <si>
    <t>[Ryzhova, D. A.; Kosnyreva, M. V.; Bulychev, A. A.] Moscow MV Lomonosov State Univ, Geol Dept, Moscow 119991, Russia; [Dubinin, E. P.] Moscow MV Lomonosov State Univ, Earth Sci Museum, Moscow 119991, Russia</t>
  </si>
  <si>
    <t>Lomonosov Moscow State University; Lomonosov Moscow State University</t>
  </si>
  <si>
    <t>Ryzhova, DA (corresponding author), Moscow MV Lomonosov State Univ, Geol Dept, Moscow 119991, Russia.</t>
  </si>
  <si>
    <t>dasha_0292r@mail.ru</t>
  </si>
  <si>
    <t>Russian Science Foundation [22-27-00110]</t>
  </si>
  <si>
    <t>This work was supported by the Russian Science Foundation (project no. 22-27-00110).</t>
  </si>
  <si>
    <t>1819-7140</t>
  </si>
  <si>
    <t>1819-7159</t>
  </si>
  <si>
    <t>RUSS J PAC GEOL</t>
  </si>
  <si>
    <t>Russ. J. Pac. Geol.</t>
  </si>
  <si>
    <t>SUPPL 2</t>
  </si>
  <si>
    <t>S225</t>
  </si>
  <si>
    <t>S236</t>
  </si>
  <si>
    <t>10.1134/S1819714023080201</t>
  </si>
  <si>
    <t>HB6T2</t>
  </si>
  <si>
    <t>WOS:001157075200009</t>
  </si>
  <si>
    <t>Ryzhova, DA; Tolstova, AI; Dubinin, EP; Kosnyreva, MV; Bulychev, AA; Groholsky, AL</t>
  </si>
  <si>
    <t>Ryzhova, D. A.; Tolstova, A. I.; Dubinin, E. P.; Kosnyreva, M. V.; Bulychev, A. A.; Groholsky, A. L.</t>
  </si>
  <si>
    <t>The Tectonosphere and Formation of the Mozambique Ridge: Density and Physical Modeling</t>
  </si>
  <si>
    <t>Mozambique Ridge; tectonosphere; spreading; density and physical modeling</t>
  </si>
  <si>
    <t>INDIAN-OCEAN; AGULHAS PLATEAU; ANTARCTICA; EVOLUTION; AFRICA; ORIGIN; SOUTH</t>
  </si>
  <si>
    <t>The tectonosphere and formation conditions of the Mozambique Ridge are considered. The Mozambique Ridge is located in the southwestern part of the Indian Ocean between the Natal and the Mozambique Mesozoic basins. The formation of the ridge is still debatable issue. The anomalous structure of the crust of the Mozambique Ridge can be explained either by underplating (thickening of the oceanic crust from below due to magmatism) or by stretching and thinning of the continental crust. Based on gravity and magnetic field anomalies, seismotomography and other geological and geophysical data, density modeling along four profiles was carried out. Physical modeling determined the formation conditions of the Mozambique Ridge, which was formed due to the splitting of the African-Antarctic continent, the presence of structural heterogeneities in the lithosphere of the African continent, and the influence of the Karoo plume.</t>
  </si>
  <si>
    <t>[Ryzhova, D. A.; Tolstova, A. I.; Kosnyreva, M. V.; Bulychev, A. A.] Moscow MV Lomonosov State Univ, Geol Dept, Moscow 119991, Russia; [Dubinin, E. P.; Groholsky, A. L.] Moscow MV Lomonosov State Univ, Earth Sci Museum, Moscow 119991, Russia</t>
  </si>
  <si>
    <t>S178</t>
  </si>
  <si>
    <t>S189</t>
  </si>
  <si>
    <t>10.1134/S1819714023080195</t>
  </si>
  <si>
    <t>WOS:001157075200008</t>
  </si>
  <si>
    <t>Blagoveshchenskaya, NF; Kalishin, AS; Borisova, TD; Egorov, IM; Zagorskiy, GA</t>
  </si>
  <si>
    <t>Blagoveshchenskaya, N. F.; Kalishin, A. S.; Borisova, T. D.; Egorov, I. M.; Zagorskiy, G. A.</t>
  </si>
  <si>
    <t>Phenomena in the High-Latitude F Region of the Ionosphere under the Effect of Powerful HF Radio Waves at Frequencies above the Critical One of the F2 Layer</t>
  </si>
  <si>
    <t>GEOMAGNETISM AND AERONOMY</t>
  </si>
  <si>
    <t>EISCAT; MODE</t>
  </si>
  <si>
    <t>In this paper, we present the results of experimental studies of phenomena in the high-latitude upper (F-region) ionosphere caused by the impact of high-power HF radio waves of ordinary (O-mode) polarization at heating frequencies f(H) that significantly exceed the critical frequency of the F2 layer (f(H) - f &amp; ocy;F2 = 0.9-1.1 MHz). The results are based on experimental data obtained at the EISCAT/Heating HF heating facility in Troms empty set, northern Norway (69.6 degrees N, 19.2 degrees E). In the experiments, a high-power HF radio wave of the O-polarization range was emitted in the direction of the magnetic zenith with a maximum effective radiation power of 350-550 MW. It was found for the first time that under conditions when a powerful HF radio wave of the O-polarization was not reflected from the ionosphere, ducts of increased electron density Ne are formed, and small-scale artificial ionospheric inhomogeneities and narrow-band (within a +/- 1-kHz band relative to the heating frequency) artificial radio emission of the ionosphere that are recorded at a distance of similar to 1200 km from the heating facility are generated. The characteristics of small-scale artificial ionospheric irregularities and the spectral structure of artificial radio emission of the ionosphere with alternative O/X heating to the magnetic zenith at frequencies significantly exceeding the critical frequency of the F2 layer are compared. It was established that, in general, their behavior has the same character, but the evolution of the development of the considered phenomena during O and X heating is different.</t>
  </si>
  <si>
    <t>[Blagoveshchenskaya, N. F.; Kalishin, A. S.; Borisova, T. D.; Egorov, I. M.; Zagorskiy, G. A.] Arctic &amp; Antarctic Res Inst Roshydromet, St Petersburg 199397, Russia</t>
  </si>
  <si>
    <t>Blagoveshchenskaya, NF (corresponding author), Arctic &amp; Antarctic Res Inst Roshydromet, St Petersburg 199397, Russia.</t>
  </si>
  <si>
    <t>nataly@aari.nw.ru</t>
  </si>
  <si>
    <t>Russian Science Foundation [22-17-00020]</t>
  </si>
  <si>
    <t>This work was supported by the Russian Science Foundation, project no. 22-17-00020 (https://rscf.ru/project/22-17-00020/).</t>
  </si>
  <si>
    <t>0016-7932</t>
  </si>
  <si>
    <t>1555-645X</t>
  </si>
  <si>
    <t>GEOMAGN AERONOMY+</t>
  </si>
  <si>
    <t>Geomagn. Aeron.</t>
  </si>
  <si>
    <t>10.1134/S0016793223600467</t>
  </si>
  <si>
    <t>DP1B4</t>
  </si>
  <si>
    <t>WOS:001133157100017</t>
  </si>
  <si>
    <t>Avanesov, GA; Zhukov, BS; Mikhailov, MV; Sherstyukov, BG</t>
  </si>
  <si>
    <t>Avanesov, G. A.; Zhukov, B. S.; Mikhailov, M. V.; Sherstyukov, B. G.</t>
  </si>
  <si>
    <t>Cosmic Regulators of the Earth's Climate</t>
  </si>
  <si>
    <t>SOLAR SYSTEM RESEARCH</t>
  </si>
  <si>
    <t>climate; global warming; orbital parameters; insolation; ice age; greenhouse effect; Milankovitch cycles; orbital theory of paleoclimate</t>
  </si>
  <si>
    <t>RECORD</t>
  </si>
  <si>
    <t>A discussion is presented of the effects generated by the imbalance between the insolation energy of polar-day zones and the radiation energy of polar-night zones on multicentennial changes in the Earth's climate. The dependence of this imbalance on the Earth's orbital parameters is determined. The energy imbalance curves are compared with the known temperature curves for the polar regions, which have been estimated from the results of an analysis of ice cores taken in Antarctica and Greenland. The curves clearly reveal a difference between the contributions of cosmic and terrestrial factors to the temperature profiles for the regions in question and demonstrate a synchronicity of these factors. Algorithms are obtained for calculating the magnitude of fluctuations in the size of the Earth's polar caps relative to their averages. The results obtained within the assumptions taken in this work enable predictions to be made about the development of the current global warming and about changes in the size of the Arctic and Antarctic polar caps. It is predicted that over the next three millennia, changes in the Earth's orbital parameters will contribute to the slow melting of the northern polar cap. Then, the trend for a new growth of the northern polar cap will again manifest itself. In the Southern Hemisphere, a trend towards increased glaciation has already formed. Influenced by the cosmic factor, it will intensify over the next 20000 years.</t>
  </si>
  <si>
    <t>[Avanesov, G. A.; Zhukov, B. S.] Russian Acad Sci, Space Res Inst, Moscow, Russia; [Mikhailov, M. V.] Korolev Rocket &amp; Space Corp Energia, Korolev, Russia; [Sherstyukov, B. G.] All Russian Res Inst Hydrometeorol Informat, World Data Ctr, Obninsk, Kaluga Oblast, Russia</t>
  </si>
  <si>
    <t>Russian Academy of Sciences; Space Research Institute of the Russian Academy of Sciences; Roscosmos; Central Research Institute for Machine Building; United Rocket &amp; Space Corporation; S.P. Korolev Rocket &amp; Space Corporation - Energia</t>
  </si>
  <si>
    <t>Avanesov, GA (corresponding author), Russian Acad Sci, Space Res Inst, Moscow, Russia.</t>
  </si>
  <si>
    <t>genrikh-avanesov@yandex.ru</t>
  </si>
  <si>
    <t>0038-0946</t>
  </si>
  <si>
    <t>1608-3423</t>
  </si>
  <si>
    <t>SOLAR SYST RES+</t>
  </si>
  <si>
    <t>Solar Syst. Res.</t>
  </si>
  <si>
    <t>10.1134/S0038094623060011</t>
  </si>
  <si>
    <t>FA0W0</t>
  </si>
  <si>
    <t>WOS:001142914200004</t>
  </si>
  <si>
    <t>Kabanov, DM; Maslovsky, AS; Radionov, VF; Sakerin, SM; Sidorova, OR; Chernov, DG</t>
  </si>
  <si>
    <t>Kabanov, D. M.; Maslovsky, A. S.; Radionov, V. F.; Sakerin, S. M.; Sidorova, O. R.; Chernov, D. G.</t>
  </si>
  <si>
    <t>Seasonal and Interannual Variability of Aerosol Characteristics According to the Data of Long-Term (2011-2021) Measurements at the Russian Scientific Center on the Spitzbergen Archipelago</t>
  </si>
  <si>
    <t>ATMOSPHERIC AND OCEANIC OPTICS</t>
  </si>
  <si>
    <t>aerosol optical depth of the atmosphere; aerosol concentration; content of absorbing matter; annual variation; interannual variability; Spitsbergen archipelago</t>
  </si>
  <si>
    <t>BLACK CARBON; OPTICAL-PROPERTIES; ARCTIC HAZE; TRANSPORT; ATMOSPHERE; REGION; TRENDS; DEPTH; SMOKE; PHASE</t>
  </si>
  <si>
    <t>The results of the analysis of seasonal and interannual variability of the aerosol optical depth of the atmosphere (AOD), the aerosol volume concentration, and the mass concentration of black carbon in the surface layer obtained at observations in Barentsburg (Spitzbergen archipelago) in 2011-2021 are presented. The annual behavior of all parameters is characterized by two maxima: spring (or winter-spring) and summer, apparently due to the transport of pollutants from the middle latitudes in the winter-spring period and smoke aerosol in summer. In the interannual variability, there are significant negative trends in the fine AOD component (-0.012 over 11 years) and the mass concentration of the absorbing substance (by 46.7 ng/m(3) over 10 years).</t>
  </si>
  <si>
    <t>[Kabanov, D. M.; Sakerin, S. M.; Chernov, D. G.] Russian Acad Sci, Siberian Branch, VE Zuev Inst Atmospher Opt, Tomsk 634055, Russia; [Maslovsky, A. S.; Radionov, V. F.; Sidorova, O. R.] Arctic &amp; Antarctic Res Inst, St Petersburg 199397, Russia</t>
  </si>
  <si>
    <t>Russian Academy of Sciences; Zuev Institute of Atmospheric Optics, Siberian Branch of the Russian Academy of Sciences; Arctic &amp; Antarctic Research Institute</t>
  </si>
  <si>
    <t>Kabanov, DM (corresponding author), Russian Acad Sci, Siberian Branch, VE Zuev Inst Atmospher Opt, Tomsk 634055, Russia.</t>
  </si>
  <si>
    <t>dkab@iao.ru</t>
  </si>
  <si>
    <t>Ministry of Sciences and Higher Education of the Russian Federation [121031500342-0]; Ministry of Science and Higher Education of the Russian Federation [075-15-2021-661]</t>
  </si>
  <si>
    <t>Ministry of Sciences and Higher Education of the Russian Federation; Ministry of Science and Higher Education of the Russian Federation</t>
  </si>
  <si>
    <t>The work was supported by the Ministry of Sciences andHigher Education of the Russian Federation (projectno. 121031500342-0 of V.E. Zuev Institute of AtmosphericOptics, Siberian Branch, Russian Academy of Sciences).The calculation of AOD was carried out using the methodsand equipment of the Atmosfera Collective Use Center withthe financial support of the Ministry of Science and HigherEducation of the Russian Federation (agreement no. 075-15-2021-661)</t>
  </si>
  <si>
    <t>1024-8560</t>
  </si>
  <si>
    <t>2070-0393</t>
  </si>
  <si>
    <t>ATMOS OCEAN OPT</t>
  </si>
  <si>
    <t>Atmos. Ocean. Opt.</t>
  </si>
  <si>
    <t>10.1134/S1024856023060106</t>
  </si>
  <si>
    <t>Optics</t>
  </si>
  <si>
    <t>GE2R5</t>
  </si>
  <si>
    <t>WOS:001150929900009</t>
  </si>
  <si>
    <t>Kuznetsova, IG; Karlov, DS; Sazanova, AL; Guro, PV; Alekhina, IA; Tikhomirova, NY; Pospelov, IN; Pospelova, EB; Belimov, AA; Safronova, VI</t>
  </si>
  <si>
    <t>Kuznetsova, I. G.; Karlov, D. S.; Sazanova, A. L.; Guro, P. V.; Alekhina, I. A.; Tikhomirova, N. Yu.; Pospelov, I. N.; Pospelova, E. B.; Belimov, A. A.; Safronova, V. I.</t>
  </si>
  <si>
    <t>Genetic Diversity of Microsymbionts of Legumes Lathyrus pratensis L., Vicia cracca L., Trifolium repens L., and Astragalus schelichowii Turcz. Growing Near Norilsk in Arctic Russia</t>
  </si>
  <si>
    <t>RUSSIAN JOURNAL OF PLANT PHYSIOLOGY</t>
  </si>
  <si>
    <t>Lathyrus pratensis; Vicia cracca; Trifolium repens; Astragalus schelichowii; Arctic legumes; nodule bacteria; ribosomal RNA genes</t>
  </si>
  <si>
    <t>GEN. NOV.; EFFICIENCY; PHYLOGENY; EVOLUTION</t>
  </si>
  <si>
    <t>The paper studies the genetic diversity of microorganisms isolated from root nodules of wild populations of the legumes Lathyrus pratensis L., Vicia cracca L., Trifolium repens L., and Astragalus schelichowii Turcz. collected near Norilsk (Arctic Russia). The taxonomic position of the 19 isolates obtained was determined by sequencing the 16S rRNA gene (rrs). The isolates were assigned to four genera of the order Hyphomicrobiales: Rhizobium, Pararhizobium, Bosea and Tardiphaga. Nine fast-growing isolates belonged to the genera Rhizobium and Pararhizobium. ITS region sequencing clarified the species identity of 6 rhizobial isolates. Isolates from V. cracca nodules were identified as Pararhizobium sp., P. herbae. Microsymbionts from T. repens were assigned to Rhizobium sp. and to the species R. beringeri, while isolates from L. pratensis were identified as P. herbae and R. beringeri. Symbiotic nodA and nodC genes were found in the Rhizobium strains P8/5-2, P9/1-1 and P9/3-2 from L. pratensis and T. repens nodules, nodA gene was detected in the Pararhizobium strains P7/3-1, P7/4-1, P7/5-1 from V. cracca nodules. Nine out of ten slow-growing isolates were assigned to the genus Bosea. Three isolates from the nodules of V. cracca were assigned to the species B. psychrotolerans. Six isolates from the nodules of A. schelichowii were identified as B. vaviloviae, B. lathyri and Bosea sp. The strain P22/3-5 isolated from the nodule of A. schelichowii was identified as Tardiphaga robiniae. Simultaneous presence of strains belonging to different genera of the order Hyphomicrobiales was detected in the nodules of V. cracca and A. schelichowii.</t>
  </si>
  <si>
    <t>[Kuznetsova, I. G.; Karlov, D. S.; Sazanova, A. L.; Guro, P. V.; Tikhomirova, N. Yu.; Belimov, A. A.; Safronova, V. I.] All Russia Res Inst Agr Microbiol, St Petersburg 196608, Russia; [Alekhina, I. A.] Arctic &amp; Antarctic Res Inst, St Petersburg 199397, Russia; [Pospelov, I. N.] AN Severtsov Inst Ecol &amp; Evolut, Moscow 119071, Russia; [Pospelova, E. B.] Reserv Taimyr, Norilsk 663305, Russia</t>
  </si>
  <si>
    <t>Arctic &amp; Antarctic Research Institute; Russian Academy of Sciences; Saratov Scientific Center of the Russian Academy of Sciences; Severtsov Institute of Ecology &amp; Evolution</t>
  </si>
  <si>
    <t>Kuznetsova, IG (corresponding author), All Russia Res Inst Agr Microbiol, St Petersburg 196608, Russia.</t>
  </si>
  <si>
    <t>Kuznetsova_rina@mail.ru</t>
  </si>
  <si>
    <t>Russian Foundation for Basic Research [20-76-10042-P]</t>
  </si>
  <si>
    <t>Russian Foundation for Basic Research(Russian Foundation for Basic Research (RFBR)Spanish Government)</t>
  </si>
  <si>
    <t>The work was carried out using the equipment of the collective center Genomic technologies, proteomics and cell biology of the All-Russia Research Institute for Agricultural Microbiology.This work was supported by the Russian Foundation for Basic Research project no. 20-76-10042-P.</t>
  </si>
  <si>
    <t>1021-4437</t>
  </si>
  <si>
    <t>1608-3407</t>
  </si>
  <si>
    <t>RUSS J PLANT PHYSL+</t>
  </si>
  <si>
    <t>Russ. J. Plant Physiol.</t>
  </si>
  <si>
    <t>10.1134/S1021443723602161</t>
  </si>
  <si>
    <t>GD9Z4</t>
  </si>
  <si>
    <t>WOS:001150859100002</t>
  </si>
  <si>
    <t>Fang, Y; Sun, XB; Ti, RF; Huang, HL; Liu, X; Wang, YY</t>
  </si>
  <si>
    <t>Fang Ying; Sun Xiaobing; Ti Rufang; Huang Honglian; Liu Xiao; Wang Yuyao</t>
  </si>
  <si>
    <t>Cloud detection algorithm over Ice-Snow Based on Polarization Sensor of Gaofen-5(02) Satellite</t>
  </si>
  <si>
    <t>ACTA OPTICA SINICA</t>
  </si>
  <si>
    <t>Chinese</t>
  </si>
  <si>
    <t>cloud detection; ice-snow; remote sensing; multi angle; polarization detection</t>
  </si>
  <si>
    <t>VALIDATION</t>
  </si>
  <si>
    <t>Objective Satellite remote sensing characterizes fine surface information and is widely employed in military surveys, agriculture, human activity research, and other fields. Clouds cover about 60% of the sky on Earth and can block the imaging channels of optical satellites and reduce the number and quality of available pixels in images. As a special surface landform, ice-snow covers more than 40% of the northern hemisphere in winter. Both cloud and ice-snow will greatly affect the processing and analysis of remote sensing images. The spectral characteristics of clouds and ice-snow are similar in the visible light bands, which will result in unsatisfactory cloud detection over ice-snow, and misjudgment of clouds and ice-snow. In recent years, polarization detection technology has become a rapidly developing research field globally. Two polarization-loaded atmospheric aerosols directional polarized camera (DPC) and particulate observing scanning polarimeter (POSP) are carried on the hyperspectral observation satellite [Gaofen-5(02) satellite]. The polarization crossfire scheme of the two polarization loads has multi-angle and multi-spectrum observation capabilities with high-precision polarization and wide-swath imaging. Polar regions are covered by ice-snow all year round, and the reflectivity of clouds and ice-snow is high in the visible light bands, which makes it difficult to detect clouds in these regions. Therefore, it is of significance to conduct cloud detection research in typical regions such as polar regions based on the Gaofen-5(02) satellite data. Methods We employ both DPC and POSP data to perform cloud detection. First, DPC multi-angle polarimetric observations are adopted for the apparent pressure detection in the oxygen A-band. Next, multi-angle polarimetric signal clouds are added to examine water clouds over ice-snow, improving the accuracy of water cloud detection. Then, the cirrus cloud detection over ice-snow is improved by the detection of cirrus cloud bands. Finally, by analyzing the reflection properties of water clouds, ice clouds, and ice-snow in different wavebands, the waveband for the commonly utilized NDSI normalized snow index is increased to improve the detection accuracy of ice clouds over ice-snow. The optimal threshold values for each detection criterion are determined through a large number of statistical analyses of multiple regions sampled in different months. Result and Discussions To verify the effectiveness of the algorithm, we apply it to cloud detection over ice-snow. A total of two sample regions including the Greenland region and the Antarctic region are selected, and they are covered with ice-snow all year round. The DPC/POSP cloud detection results are in good agreement with the spatial distribution of cloud pixels from the MOD35 product [Figs. 9(b) and 9(c)]. The number of pixels is 17589. The pixel-by-pixel comparison shows that the consistency of the two products is approximately 83. 3%. Among the DPC/POSP discrimination results, 26. 6% are cloudy and 73. 3% are clear sky, while 29. 7% are MODIS cloudy and 70. 2% are clear sky. This indicates that the employed DPC/POSP data are consistent with the MODIS cloud identification results when applied to cloud detection over ice-snow. In the Antarctic region [Figs. 10(b) and 10(c)] which is covered by both datasets, the DPC/POSP cloud detection results are more consistent with the spatial distribution of cloud pixels from the MOD35 product. The number of pixels is 395991. The pixel-by-pixel comparison shows that the consistency of the two products is about 94. 4%. The DPC/POSP cloud detection results include 9% cloudy and 90. 9% clear sky, while the MODIS cloud results contain 13% clear sky and 86. 9% clear sky. 86% of the MOD35 cloud mask results are above clear sky to verify the algorithm reliability. Conclusions We propose the algorithm of cloud detection over ice-snow based on the data characteristics of polarization loads DPC and POSP in the Gaofen-5(02) satellite. The algorithm mainly includes cloud-based cloud detection, DPC multi-angle polarization signal test, cirrus cloud band detection, and improved NDSI detection. Based on the strong detection of oxygen A-band, the multi-angle polarization signal cloud is increased to test the water cloud over ice-snow, with improved accuracy of water cloud detection. Cirrus cloud bands are employed to improve the cirrus cloud detection over ice-snow. Finally, by analyzing the reflection characteristics of water cloud, ice cloud, and ice-snow in different bands, the bands leveraged by the commonly leveraged NDSI normalized snow index are improved to increase the detection accuracy of ice clouds over ice-snow. A large number of statistical analysis of multiple samples in different months helps determine the best threshold for each test judgment of each test. Greenland and Antarctic regions covered with all year round of ice-snow are selected for the algorithm verification. The consistency between cloud detection results of the proposed design algorithm and MOD35 cloud products is 83. 3% and 94. 4%. This indicates that this algorithm can better detect the cloud pixel over ice-snow, verifying its effectiveness.</t>
  </si>
  <si>
    <t>[Fang Ying; Sun Xiaobing; Ti Rufang; Huang Honglian; Liu Xiao; Wang Yuyao] Chinese Acad Sci, Heifei Inst Pys Sci, Anhui Inst Opt &amp; Fine Mech, Key Lab Opt Calibrat &amp; Characterizat, Hefei 230031, Anhui, Peoples R China; [Fang Ying; Wang Yuyao] Univ Sci &amp; Technol China, Hefei 230026, Anhui, Peoples R China; [Sun Xiaobing; Huang Honglian; Liu Xiao] Hefei Chief Expert Studio Agr Ind, Hefei 230012, Anhui, Peoples R China</t>
  </si>
  <si>
    <t>Chinese Academy of Sciences; Hefei Institutes of Physical Science, CAS; Anhui Institute of Optics &amp; Fine Mechanics (AIOFM), CAS; Chinese Academy of Sciences; University of Science &amp; Technology of China, CAS</t>
  </si>
  <si>
    <t>Sun, XB (corresponding author), Chinese Acad Sci, Heifei Inst Pys Sci, Anhui Inst Opt &amp; Fine Mech, Key Lab Opt Calibrat &amp; Characterizat, Hefei 230031, Anhui, Peoples R China.;Sun, XB (corresponding author), Hefei Chief Expert Studio Agr Ind, Hefei 230012, Anhui, Peoples R China.</t>
  </si>
  <si>
    <t>xbsun@aiofm.ac.cn</t>
  </si>
  <si>
    <t>CHINESE LASER PRESS</t>
  </si>
  <si>
    <t>SHANGHAI</t>
  </si>
  <si>
    <t>PO BOX 800-211, SHANGHAI, 201800, PEOPLES R CHINA</t>
  </si>
  <si>
    <t>0253-2239</t>
  </si>
  <si>
    <t>ACTA OPT SIN</t>
  </si>
  <si>
    <t>Acta Opt. Sin.</t>
  </si>
  <si>
    <t>10.3788/AOS230494</t>
  </si>
  <si>
    <t>EV6M8</t>
  </si>
  <si>
    <t>WOS:001141747200028</t>
  </si>
  <si>
    <t>Kuklin, VV; Kuklina, MM; Ezhov, AV</t>
  </si>
  <si>
    <t>Kuklin, V. V.; Kuklina, M. M.; Ezhov, A. V.</t>
  </si>
  <si>
    <t>Helminth Fauna of Black-Legged Kittiwakes (Rissa tridactyla, Laridae, Charadriiformes) in the Northern Part of the Kara Sea</t>
  </si>
  <si>
    <t>BIOLOGY BULLETIN</t>
  </si>
  <si>
    <t>seabirds; parasitic worms; Kara Sea; life cycle</t>
  </si>
  <si>
    <t>SEVERNAYA-ZEMLYA; SABLE-ISLAND; PARASITES; GULLS; TRANSMISSION; COMMUNITIES; CRUSTACEANS; LARVAE; DIET</t>
  </si>
  <si>
    <t>The results of original studies on the helminth fauna of the black-legged kittiwake (Rissa tridactyla L.) (ten ad. and ten juv.) in the northern part of the Kara Sea (Severnaya Zemlya Archipelago and Wiese Island) carried out in the years 2019-2020 are presented. Eight species of helminths (one trematode, four cestodes, and three nematodes) have been registered. For the first time in seabirds in the high latitudes of the Arctic, the trematode Diplostomum sp. and the nematode Paracuaria adunca have been recorded. Adult birds have been established to be infected mainly with cestodes of the family Dilepididae while nestlings mainly have cestodes of the family Tetrabothriidae. The presence of five common species in the helminth fauna of kittiwakes in the northern part of the Kara Sea and in the northern part of Novaya Zemlya (Severnyi Island) has been noted due to the similarity of the feeding range of the birds in these areas. Possible causes for the features revealed in the infection of kittiwakes (food preferences, distribution of the foci of invasion, and the influence of abiotic factors) are analyzed.</t>
  </si>
  <si>
    <t>[Kuklin, V. V.; Kuklina, M. M.; Ezhov, A. V.] Russian Acad Sci, Murmansk Marine Biol Inst, Murmansk 183010, Russia</t>
  </si>
  <si>
    <t>Russian Academy of Sciences</t>
  </si>
  <si>
    <t>Kuklin, VV (corresponding author), Russian Acad Sci, Murmansk Marine Biol Inst, Murmansk 183010, Russia.</t>
  </si>
  <si>
    <t>VV_Kuklin@mail.ru</t>
  </si>
  <si>
    <t>Antarctic Research Institute, Russian Academy of Sciences</t>
  </si>
  <si>
    <t>The authors express deep gratitude to M.V. Gavrilo (Arctic and Antarctic Research Institute, Russian Academy of Sciences, St. Petersburg) for their help in collecting material on Weise Island.</t>
  </si>
  <si>
    <t>1062-3590</t>
  </si>
  <si>
    <t>1608-3059</t>
  </si>
  <si>
    <t>BIOL BULL+</t>
  </si>
  <si>
    <t>Biol. Bull</t>
  </si>
  <si>
    <t>10.1134/S1062359023090194</t>
  </si>
  <si>
    <t>Biology</t>
  </si>
  <si>
    <t>Life Sciences &amp; Biomedicine - Other Topics</t>
  </si>
  <si>
    <t>EX7G6</t>
  </si>
  <si>
    <t>WOS:001142292100038</t>
  </si>
  <si>
    <t>Demidov, NE; Guzeva, AV; Nikulina, AL; Wetterich, S; Schirrmeister, L</t>
  </si>
  <si>
    <t>Demidov, N. E.; Guzeva, A. V.; Nikulina, A. L.; Wetterich, S.; Schirrmeister, L.</t>
  </si>
  <si>
    <t>Mercury in Frozen Quaternary Sediments of the Spitsbergen Archipelago</t>
  </si>
  <si>
    <t>mercury; permafrost; organic carbon; Spitsbergen</t>
  </si>
  <si>
    <t>ACTIVE-LAYER; PERMAFROST; SOILS; ICE</t>
  </si>
  <si>
    <t>The climate warming-related degradation of permafrost can lead to the entry of climatically and biologically active substances, including mercury, into the biosphere; this work focuses on the analysis of the total content of mercury and organic carbon in 15 cores drilled in frozen Quaternary deposits of the Arctic Archipelago of Spitsbergen. The mercury content was additionally analyzed in bedrock samples, because the studied Quaternary deposits are formed by the weathering of the bedrock of the area. The results show that mercury concentrations in 157 studied samples of frozen Quaternary deposits range from 21 to 94 ng/g, with an average value of 40 ng/g. The expected correlation of mercury content with organic carbon content is not revealed. There are no trends in the accumulation of mercury depending on the lithological facies, geomorphological position, the time of sedimentation, or the freezing conditions. The average content of mercury in bedrock is relatively low, with a mean value of 8 ng/g. This means that the main source of mercury in frozen Quaternary deposits is not bedrock, but the formation of organic matter complexes or sorption on clay particles. In terms of the ongoing discussion about mercury input from permafrost to ecosystems, the results obtained from boreholes can be considered preindustrial background values.</t>
  </si>
  <si>
    <t>[Demidov, N. E.; Guzeva, A. V.; Nikulina, A. L.] Arctic &amp; Antarctic Res Inst, State Sci Ctr, St Petersburg 199397, Russia; [Guzeva, A. V.] Russian Acad Sci, St Petersburg Fed Res Ctr, Inst Limnol, St Petersburg 196105, Russia; [Wetterich, S.; Schirrmeister, L.] Wegener Inst, Ctr Polar &amp; Marine Res Helmholtz, Dept Permafrost Res, D-14401 Potsdam, Germany; [Wetterich, S.] Tech Univ Dresden, Inst Geog, D-01069 Dresden, Germany</t>
  </si>
  <si>
    <t>Arctic &amp; Antarctic Research Institute; Russian Academy of Sciences; St. Petersburg Federal Research Center of the Russian Academy of Sciences; St. Petersburg Scientific Centre of the Russian Academy of Sciences; Technische Universitat Dresden</t>
  </si>
  <si>
    <t>Demidov, NE (corresponding author), Arctic &amp; Antarctic Res Inst, State Sci Ctr, St Petersburg 199397, Russia.</t>
  </si>
  <si>
    <t>nikdemidov@mail.ru</t>
  </si>
  <si>
    <t>10.1134/S0001433823080054</t>
  </si>
  <si>
    <t>FB5S8</t>
  </si>
  <si>
    <t>WOS:001143309100002</t>
  </si>
  <si>
    <t>Dergachev, VA</t>
  </si>
  <si>
    <t>Dergachev, V. A.</t>
  </si>
  <si>
    <t>Climate Variations in the Antarctic Region on a Long Time Scale and Current Climate Changes</t>
  </si>
  <si>
    <t>CO2; TEMPERATURE</t>
  </si>
  <si>
    <t>The Antarctic is a highly connected system with nonlinear interactions between the atmosphere, ocean, ice, and biota, as well as complex connections to the rest of the Earth system. Antarctica and the Southern Ocean make up the most important part of the Earth system. Antarctica is the coldest, driest, and most remote continent and is undergoing a variety of environmental changes in response to climate change, in particular modern warming, which is the subject of intense scientific debate. Almost all of Antarctica is located south of the Antarctic Circle (66 degrees 33 ' S). The question remains as to whether the recent and accelerating warming trend is part of natural climate variability or the result of anthropogenic activities. We may not get an unambiguous answer if we do not decipher how climate processes changed in the distant past. Long-term trends (ups and downs) in continental ice deposits in the Antarctic region and in carbon dioxide content can be distinguished over the interval of approximately the last 500 Ma. Nearly 60-50 million years ago there was a long trend of decreasing carbon dioxide concentration, average temperature and lowering of the ocean level. Over the last million and hundreds of thousands of years, the history of the Earth has been characterized by alternating cycles of cold (glacial) and warm (interglacial) climatic fluctuations, which led to a number of large-scale environmental and atmospheric changes, in particular, the formation and melting of huge ice sheets, dramatic changes in global sea level, etc. This article examines long-term trends in climate change in various regions of Antarctica in the past, climate change since the end of the last ice age, and current climate change, and the relationship of these changes with the causes that give rise to them. The main attention is drawn to the changes in climatic characteristics during the Holocene and the features of changes in recent decades. The results we obtained are important for understanding past and future climate variability.</t>
  </si>
  <si>
    <t>[Dergachev, V. A.] Ioffe Inst, St Petersburg, Russia</t>
  </si>
  <si>
    <t>Russian Academy of Sciences; St. Petersburg Scientific Centre of the Russian Academy of Sciences; Ioffe Physical Technical Institute</t>
  </si>
  <si>
    <t>Dergachev, VA (corresponding author), Ioffe Inst, St Petersburg, Russia.</t>
  </si>
  <si>
    <t>v.dergachev@mail.ioffe.ru</t>
  </si>
  <si>
    <t>10.1134/S0016793223080066</t>
  </si>
  <si>
    <t>FA1A1</t>
  </si>
  <si>
    <t>WOS:001142918300006</t>
  </si>
  <si>
    <t>Kirillova, OI</t>
  </si>
  <si>
    <t>Kirillova, O. I.</t>
  </si>
  <si>
    <t>Species Composition and Distribution of Cetaceans in the Atlantic and Indian Sectors of the Southern Ocean</t>
  </si>
  <si>
    <t>Antarctica; Southern ocean; fin whale; humpback whale; Antarctic minke whale; dolphins; seasonal distribution; occurrence</t>
  </si>
  <si>
    <t>HUMPBACK WHALES; SEA-ICE; MEGAPTERA-NOVAEANGLIAE; SEASONAL VARIABILITY; EUPHAUSIA-SUPERBA; ANTARCTIC KRILL; CLIMATE-CHANGE; BALEEN WHALES; FIN WHALES; SCOTIA SEA</t>
  </si>
  <si>
    <t>The data of accompanying observations of the spatial distribution, species composition, and abundance of cetaceans in the southern part of the Atlantic and Indian oceans and in the coastal waters of Antarctica in the austral autumn of 2021 are presented. In total, 3 species of whales (82 sightings, 136 individuals), 1 species of beaked (1 sighting, 4 individuals), and 6 species of dolphins (15 sightings, 324 individuals) were recorded in the research area. In total, cetaceans were observed 98 times and 464 individuals were recorded. As in previous years, humpback whales Megaptera novaeangliae predominated (58.82%); they are successfully restoring their numbers, although they suffered greatly during whaling in the 18th-20th centuries. Antarctic minke whales Balaenoptera bonaerensis made up 21.32%, and fin whales Balaenoptera physalus, 19.85% of all whales. Southern right whale dolphins (83.33%) prevailed among all dolphins.</t>
  </si>
  <si>
    <t>[Kirillova, O. I.] Russian Acad Sci, Shirshov Inst Oceanol, Moscow, Russia</t>
  </si>
  <si>
    <t>Kirillova, OI (corresponding author), Russian Acad Sci, Shirshov Inst Oceanol, Moscow, Russia.</t>
  </si>
  <si>
    <t>olga.kirillova@mail.ru</t>
  </si>
  <si>
    <t>AARI:fixed-term employment [66/148]</t>
  </si>
  <si>
    <t>AARI:fixed-term employment</t>
  </si>
  <si>
    <t>The study was carried out under a contract with AARI:fixed-term employment contract no. 66/148 of December 24,2020.</t>
  </si>
  <si>
    <t>10.1134/S0001437023060061</t>
  </si>
  <si>
    <t>EG0I4</t>
  </si>
  <si>
    <t>WOS:001137647600014</t>
  </si>
  <si>
    <t>Ivanova, EV; Borisov, DG; Gavrikov, AV; Demidov, AN; Ivanenko, AN; Kirillova, OI; Krasheninnikova, SB; Levchenko, OV; Shulga, NA</t>
  </si>
  <si>
    <t>Ivanova, E. V.; Borisov, D. G.; Gavrikov, A. V.; Demidov, A. N.; Ivanenko, A. N.; Kirillova, O. I.; Krasheninnikova, S. B.; Levchenko, O. V.; Shulga, N. A.</t>
  </si>
  <si>
    <t>Investigations of the Transform Faults' Sediment Infill, Water Masses in the Eastern Tropical Atlantic during Cruise 63 of the R/V Akademik Ioffe</t>
  </si>
  <si>
    <t>Mid-Atlantic Ridge; Antarctic Bottom Water; transform faults Romanche and Chain; contourites; gravitites; sub-bottom profiling; magnetic anomalies; CTD sounding</t>
  </si>
  <si>
    <t>This paper provides information on the integrated geophysical, sedimentological, and hydrophysical investigations, passing meteorological and biological observations in the Eastern Tropical Atlantic during the cruise 63 of the R/V Akademik Ioffe in October-December 2022. The preliminary scientific results are discussed.</t>
  </si>
  <si>
    <t>[Ivanova, E. V.; Borisov, D. G.; Gavrikov, A. V.; Ivanenko, A. N.; Kirillova, O. I.; Levchenko, O. V.; Shulga, N. A.] Russian Acad Sci, Shirshov Inst Oceanol, Moscow, Russia; [Demidov, A. N.] Moscow MV Lomonosov State Univ, Dept Geog, Moscow, Russia; [Krasheninnikova, S. B.] Russian Acad Sci, Kovalevsky Inst Biol Southern Seas, Sevastopol, Russia</t>
  </si>
  <si>
    <t>Russian Academy of Sciences; Shirshov Institute of Oceanology; Lomonosov Moscow State University; Russian Academy of Sciences; AO Kovalevsky Institute of Biology of the Southern Seas of RAS (IBSS)</t>
  </si>
  <si>
    <t>Ivanova, EV (corresponding author), Russian Acad Sci, Shirshov Inst Oceanol, Moscow, Russia.</t>
  </si>
  <si>
    <t>e_v_ivanova@ocean.ru</t>
  </si>
  <si>
    <t>IO RAS [FMWE-2021-0006, FMWE-2022-0004]; MSU [121031900090-6]; IBSS RAS [1210 41400077-1, 121030300149-0, 121040500247-0]; Russian Science Foundation [22-27-00421, 19-17-00110-P]; Russian Foundation for Basic Research [20-05-00244A]; Ministry of Science and Higher Education [075-15-2021-1398]</t>
  </si>
  <si>
    <t>IO RAS; MSU; IBSS RAS; Russian Science Foundation(Russian Science Foundation (RSF)); Russian Foundation for Basic Research(Russian Foundation for Basic Research (RFBR)Spanish Government); Ministry of Science and Higher Education(Ministry of Science and Higher Education, Poland)</t>
  </si>
  <si>
    <t>The expedition was funded by State Assignments nos.FMWE-2021-0006 and FMWE-2022-0004 of IO RAS; State Assignments nos. 121031900090-6 of MSU; State Assignments nos. 1210 41400077-1, 121030300149-0 and 121040500247-0 of IBSS RAS; the Russian Science Foundation, projects no. 22-27-00421 and 19-17-00110-P; the Russian Foundation for Basic Research, project no. 20-05-00244A; and the Agreement with the Ministry of Science and Higher Education no 075-15-2021-1398. Ship time was paid at the expense of the State Assignment of the Ministry of Science and Higher Education.</t>
  </si>
  <si>
    <t>10.1134/S0001437023060048</t>
  </si>
  <si>
    <t>WOS:001137647600010</t>
  </si>
  <si>
    <t>Shapovalov, SN</t>
  </si>
  <si>
    <t>Shapovalov, S. N.</t>
  </si>
  <si>
    <t>The Temporal Characteristics of the UVB-UVA Solar Radiation during Seasonal Observation Periods in Antarctica and the Arctic</t>
  </si>
  <si>
    <t>UV radiation; temporal characteristics; solar activity; solar oscillations; Earth's magnetic field full vector magnitude; mean magnetic field of the Sun</t>
  </si>
  <si>
    <t>This study presents the results of spectral observations of solar radiation in the UVB (280-315 nm) and UVA (315-400 nm) range conducted at Novolazarevskaya Station (Antarctica), Polar Station Cape Baranov (Severnaya Zemlya Archipelago), and Russian Arctic Scientific Expedition on Spitsbergen. The aim of these observations is to investigate the temporal characteristics of the UV radiation reaching the Earth's surface during the 11-year solar activity cycle. Control measurements of the UVB-UVA intensity were conducted using AvaSpec-2048 (3648) fiber optic spectrometers on the solstice dates of December 21 between 2008 and 2019 in Antarctica, as well as on June 22, 2019, in the Arctic. The results indicate that the temporal range of the incoming UV radiation is formed by various mechanisms on the Sun. Regardless of the geographical location of the observation point, groups of oscillations with periods of 3-10 min and approximately 20 min are identified in all periodograms of the Fourier analysis. These oscillations are identical to the harmonics of the frequency spectrum of solar oscillations in the range of 2-7 mHz. The periodograms of the near-surface atmospheric pressure (in hPa) at Novolazarevskaya weather station reveal the presence of the same periods. Based on seasonal observations conducted on Severnaya Zemlya Archipelago between March 1, 2019 and August 31, 2019, we have identified a correlation between the solar radiation intensity in the NUV range (297-330 nm) and the magnitude of the full vector of the Earth's magnetic field (F). The changes in F are known to be closely related to the mean magnetic field of the Sun. It is concluded that the UVB-UVA radiation, as well as solar oscillations and the mean magnetic field of the Sun, affect the temporal characteristics of parameters in the lower atmosphere, from minutes to the Hale cycle (similar to 22 years). In the Conclusions, a diagram illustrating the relationship between meteorological parameters in the near-surface layer of the atmosphere and the influx of UVB-UVA radiation is presented.</t>
  </si>
  <si>
    <t>[Shapovalov, S. N.] Arctic &amp; Antarctic Res Inst, St Petersburg, Russia</t>
  </si>
  <si>
    <t>Shapovalov, SN (corresponding author), Arctic &amp; Antarctic Res Inst, St Petersburg, Russia.</t>
  </si>
  <si>
    <t>shapovalov@aari.ru</t>
  </si>
  <si>
    <t>10.1134/S0016793223070204</t>
  </si>
  <si>
    <t>DD9B7</t>
  </si>
  <si>
    <t>WOS:001130199800030</t>
  </si>
  <si>
    <t>Ravindra, R</t>
  </si>
  <si>
    <t>Ravindra, Rasik</t>
  </si>
  <si>
    <t>Indian Endeavour in Antarctic Geoscience</t>
  </si>
  <si>
    <t>JOURNAL OF THE GEOLOGICAL SOCIETY OF INDIA</t>
  </si>
  <si>
    <t>EAST ANTARCTICA; SCHIRMACHER HILLS; GRANULITES; EVOLUTION; LAND</t>
  </si>
  <si>
    <t>[Ravindra, Rasik] Natl Ctr Polar &amp; Ocean Res, Mormugao, Goa, India</t>
  </si>
  <si>
    <t>Ravindra, R (corresponding author), Natl Ctr Polar &amp; Ocean Res, Mormugao, Goa, India.</t>
  </si>
  <si>
    <t>rasik@ncaor.org</t>
  </si>
  <si>
    <t>SPRINGER INDIA</t>
  </si>
  <si>
    <t>NEW DELHI</t>
  </si>
  <si>
    <t>7TH FLOOR, VIJAYA BUILDING, 17, BARAKHAMBA ROAD, NEW DELHI, 110 001, INDIA</t>
  </si>
  <si>
    <t>0016-7622</t>
  </si>
  <si>
    <t>0974-6889</t>
  </si>
  <si>
    <t>J GEOL SOC INDIA</t>
  </si>
  <si>
    <t>J. Geol. Soc. India</t>
  </si>
  <si>
    <t>10.1007/s12594-023-2534-3</t>
  </si>
  <si>
    <t>DK3L6</t>
  </si>
  <si>
    <t>WOS:001131892800010</t>
  </si>
  <si>
    <t>ZiAng, C; Peng, TC; Yin, FH; Paris, L; Ling, WCMV</t>
  </si>
  <si>
    <t>ZiAng, Chen; Peng, Teoh Chui; Yin, Fan Hui; Paris, Lavin; Ling, Wong Clemente Michael Vui</t>
  </si>
  <si>
    <t>Antimicrobial activity of two Antarctic Streptomyces strains</t>
  </si>
  <si>
    <t>MALAYSIAN JOURNAL OF MICROBIOLOGY</t>
  </si>
  <si>
    <t>Actinobacteria; antarctic bacteria; antimicrobial compounds; bioactive compounds; Streptomyces</t>
  </si>
  <si>
    <t>AGENT</t>
  </si>
  <si>
    <t>Aims: The search for new antibiotics is an ongoing effort and has expanded to pristine niche areas in the Antarctic in recent years due to the emergence of multi-drug resistant pathogens that outpaced the discovery of new antibiotics. We have recently isolated two new actinomycetes strains, INACH3013a and INACH3013b, which displayed antimicrobial properties from soil samples collected from Ardley Island, Antarctica. Hence, an investigation was carried out to identify them and to characterise the antimicrobial compounds produced. Methodology and results: Strains, INACH3013a and INACH3013b were identified based on their 16S rDNA sequence alignment to those in the GenBank. The results showed that strain INACH3013a was closest to Streptomyces spp. while strain INACH3013b was closest to Streptomyces corallincola and Streptomyces bullii. The extracellular compounds they produced were extracted using various solvents and the extracted compounds were tested against the test pathogens. The dichloromethane extracts from strains, INACH3013a and INACH3013b inhibited mainly Gram-positive pathogens that include Listeria monocytogenes, Staphylococcus aureus, Staphylococcus haemolyticus, Staphylococcus equorum, Bacillus cereus K3 and Enterococcus faecalis while extracts from strain INACH3013b also inhibited a Gram-negative pathogen, Klebsiella pneumonia 14x. Predominantly non-polar constituents seem responsible for antibacterial effects, with dichloromethane extracts proving most efficacious, followed by chloroform and ethyl acetate. Conclusion, significance and impact of study: The research highlights the potential of Streptomyces spp. INACH3013a and INACH3013b as a source of potential novel antibiotics. This research explores Antarctic Streptomyces strains' antimicrobial capabilities, enabling the potential for the discovery of novel antibiotics and revealing how these compounds may have helped them to compete and survive in nutrient-deficient Antarctic niches.</t>
  </si>
  <si>
    <t>[ZiAng, Chen; Peng, Teoh Chui; Ling, Wong Clemente Michael Vui] Univ Malaysia Sabah, Biotechnol Res Inst, Kota Kinabalu 88400, Sabah, Malaysia; [Yin, Fan Hui] Univ Malaysia Sabah, Fac Food Sci &amp; Nutr, Food Safety &amp; Secur Res Grp, Jalan UMS, Kota Kinabalu 88400, Sabah, Malaysia; [Paris, Lavin] Univ Antofagasta, Fac Ciencias Mar &amp; Recursos Biol, Dept Biotecnol, 601 Ave Angamos, Antofagasta 1270300, Chile</t>
  </si>
  <si>
    <t>Universiti Malaysia Sabah; Universiti Malaysia Sabah; Universidad de Antofagasta</t>
  </si>
  <si>
    <t>Ling, WCMV (corresponding author), Univ Malaysia Sabah, Biotechnol Res Inst, Kota Kinabalu 88400, Sabah, Malaysia.</t>
  </si>
  <si>
    <t>Lavin, Paris/0000-0002-8893-526X</t>
  </si>
  <si>
    <t>Yayasan Penyelidikan Antartika Sultan Mizan (YPASM) [INACH3013]</t>
  </si>
  <si>
    <t>Yayasan Penyelidikan Antartika Sultan Mizan (YPASM)</t>
  </si>
  <si>
    <t>The funding support from the Yayasan Penyelidikan Antartika Sultan Mizan (YPASM) for the project entitled Elucidating the Antarctic Streptomyces sp. INACH3013 Antimicrobial Compound Mechanisms -of -Action Through Global Transcriptome Profiling is gratefully acknowledged.</t>
  </si>
  <si>
    <t>MALAYSIAN SOC MICROBIOLOGY</t>
  </si>
  <si>
    <t>PENANG</t>
  </si>
  <si>
    <t>UNIV SAINS MALAYSIA, SCHOOL BIOLOGICAL SCIENCES, PENANG, 11800, MALAYSIA</t>
  </si>
  <si>
    <t>1823-8262</t>
  </si>
  <si>
    <t>2231-7538</t>
  </si>
  <si>
    <t>MALAYS J MICROBIOL</t>
  </si>
  <si>
    <t>Malays. J. Microbiol.</t>
  </si>
  <si>
    <t>10.21161/mjm.230013</t>
  </si>
  <si>
    <t>DR6V3</t>
  </si>
  <si>
    <t>WOS:001133842900012</t>
  </si>
  <si>
    <t>Masnoddin, M; Ling, CMWV; Yusof, NA</t>
  </si>
  <si>
    <t>Masnoddin, Makdi; Ling, Clemente Michael Wong Vui; Yusof, Nur Athirah</t>
  </si>
  <si>
    <t>Functional analysis of conserved hypothetical proteins from the Antarctic yeast, Glaciozyma antarctica PI12</t>
  </si>
  <si>
    <t>Antarctic yeast; cold adaptation; conserved hypothetical protein; quantitative PCR</t>
  </si>
  <si>
    <t>PSYCHROPHILIC YEAST; UCSF CHIMERA; ACTIVE-SITE; COLD; TARGETS; ADAPTATIONS; ANNOTATION; RESPONSES; DATABASE; ENZYMES</t>
  </si>
  <si>
    <t>Aims: Recent discoveries have revealed that Glaciozyma antarctica PI12 has been discovered to encode numerous protein-coding genes that are crucial for thermal adaptation. However, more than 35% of the protein-coding genes for this species were identified as hypothetical proteins (HP). Nevertheless, over 35% of the protein-coding genes for this species were classified as hypothetical proteins (HP). Previous studies have documented the role of these uncharacterized proteins in the physiological regulation and cold adaptation of psychrophilic microorganisms. Thus, we aim to identify the structural features of the conserved HPs that were ideal for their function in response to temperature stress. Methodology and results: Three conserved HPs of G. antarctica, designated GaHP2, GaHP3 and GaHP4, were cloned, expressed purified and their function and structure were evaluated. Functional analysis showed that these proteins maintained their activities at low temperatures below 25 degrees C, but at a lower reaction rate. Meanwhile, thermal unfolding assays revealed the stability of GaHP2 and GaHP4 at high temperatures (43 degrees C), suggesting their non-ATPbinding chaperone activity. The comparative structural analysis demonstrated that the HPs exhibited cold-adapted traits, most notably increased flexibility in their 3D structures. For GaHP2, the aromatic residues can be linked to its heat stability. GaHP4's cold shock domain implies it regulates gene transcription and translation during temperature fluctuations. Conclusion, significance and impact of study: This study has established the structure-function relationships of the G. antarctica HPs and provided fundamental experimental data highlighting their importance in thermal stress response by maintaining a balance between molecular stability and structural flexibility.</t>
  </si>
  <si>
    <t>[Masnoddin, Makdi; Ling, Clemente Michael Wong Vui; Yusof, Nur Athirah] Univ Malaysia Sabah, Biotechnol Res Inst, Jalan UMS, Kota Kinabalu 88400, Sabah, Malaysia; [Masnoddin, Makdi] Univ Malaysia Sabah, Preparatory Ctr Sci &amp; Technol, Jalan UMS, Kota Kinabalu 88400, Sabah, Malaysia</t>
  </si>
  <si>
    <t>Universiti Malaysia Sabah; Universiti Malaysia Sabah</t>
  </si>
  <si>
    <t>Yusof, NA (corresponding author), Univ Malaysia Sabah, Biotechnol Res Inst, Jalan UMS, Kota Kinabalu 88400, Sabah, Malaysia.</t>
  </si>
  <si>
    <t>nrathirah.yusof@ums.edu.my</t>
  </si>
  <si>
    <t>Yusof, Nur Athirah/ABD-6881-2021</t>
  </si>
  <si>
    <t>Yusof, Nur Athirah/0000-0002-9298-7425</t>
  </si>
  <si>
    <t>Yayasan Penyelidikan Antartika Sultan Mizan (YPASM) grant [GLS0032-2019]; Malaysian Ministry of Higher Education (MOHE) [FRGS/1/2017/STG05/UMS/02/2, FRGS0463- 2017]</t>
  </si>
  <si>
    <t>Yayasan Penyelidikan Antartika Sultan Mizan (YPASM) grant; Malaysian Ministry of Higher Education (MOHE)</t>
  </si>
  <si>
    <t>This research was funded by the Yayasan Penyelidikan Antartika Sultan Mizan (YPASM) grant (Ref UMS Code: GLS0032-2019) which provided the primary source of funding for the project. Additionally, we appreciate the support from the Malaysian Ministry of Higher Education (MOHE) , grant number FRGS/1/2017/STG05/UMS/02/2 and registered in UMS with the code number FRGS0463- 2017.</t>
  </si>
  <si>
    <t>10.21161/mjm.230024</t>
  </si>
  <si>
    <t>WOS:001133842900009</t>
  </si>
  <si>
    <t>Pitulko, VV; Pavlova, EY</t>
  </si>
  <si>
    <t>Pitulko, Vladimir V.; Pavlova, Elena Y.</t>
  </si>
  <si>
    <t>Ecological Constraints and Drivers for Human Dispersals and Adaptations in the Late Pleistocene and Early Holocene Environments of the East Siberian Arctic</t>
  </si>
  <si>
    <t>QUATERNARY</t>
  </si>
  <si>
    <t>arctic Siberia; late Pleistocene; early Holocene; Stone Age; Upper Palaeolithic; human dispersal; adaptations; mammoth; critical technology; complex human behavior</t>
  </si>
  <si>
    <t>YANA-INDIGHIRKA LOWLAND; LAST GLACIAL MAXIMUM; ARCHAEOLOGICAL RECORD; NORTHERN EURASIA; CLIMATIC CHANGES; WOOLLY MAMMOTH; ICE SHEETS; RHS SITE; HISTORY; VEGETATION</t>
  </si>
  <si>
    <t>Starting roughly 50,000 years ago, the Arctic region of East Siberia remained continuously populated by groups of anatomically modern humans including the most uncomfortable episodes in the development of the late Quaternary environment; for some of them, human presence in the area became ephemeral. At present, archaeological fossil records allow for distinguishing three main stages in human occupation of the area: Early (similar to 50 to similar to 29 ka, MIS 3), middle (similar to 29 to similar to 11.7 ka, MIS 2), and late (from 11.7 to similar to 8 ka). For most of the time, they the populated open landscapes of the Mammoth Steppe, which declined at the onset of the Holocene. Human settlement of the Arctic was driven by various abiotic and biotic factors and thus archaeologically visible cardinal cultural and technological changes correspond to the most important paleoclimatic and habitat changes in the late Pleistocene and early Holocene. Successful peopling of the Arctic was largely facilitated by the adoption of critically important innovations such as sewing technology based on the use of the eyed bone needle and the manufacture of long shafts and pointed implements made of mammoth tusks. Mammoth exploitation is seen in mass accumulations of mammoths formed by hunting. An obvious connection between archaeological materials and such accumulations is observed in the archaeological record. In the lithic technology, the early stage is presented by archaic-looking flake industries. Starting the LGM, the wedge-core based-microblade technology known as the Beringian microblade tradition spread widely following the shrinkage of the mammoth range. At the late stage, starting at the Holocene boundary, microprismatic blade technology occurs. In all stages, the complex social behavior of the ancient Arctic settlers is revealed. The long-distance transport of products, knowledge, and genes occurs due to the introduction of the land transportation system. Initial human settlement of this region is associated with carriers of the West Eurasian genome who became replaced by the population with East Asian ancestry constantly moving North under the pressure of climate change.</t>
  </si>
  <si>
    <t>[Pitulko, Vladimir V.] Russian Acad Sci, Inst Hist Mat Culture, 18 Dvortsovaya Nab, St Petersburg 191186, Russia; [Pitulko, Vladimir V.] Russian Acad Sci, Peter Great Museum Anthropol &amp; Ethnog Kunstkamera, 3 Univ Skaya Nab, St Petersburg 199034, Russia; [Pavlova, Elena Y.] Arctic &amp; Antarctic Res Inst, 35 Bering St, St Petersburg 199397, Russia</t>
  </si>
  <si>
    <t>Russian Academy of Sciences; St. Petersburg Scientific Centre of the Russian Academy of Sciences; Institute for the History of Material Culture, Russian Academy of Sciences; Russian Academy of Sciences; The Kunstkamera; Arctic &amp; Antarctic Research Institute</t>
  </si>
  <si>
    <t>Pitulko, VV (corresponding author), Russian Acad Sci, Inst Hist Mat Culture, 18 Dvortsovaya Nab, St Petersburg 191186, Russia.;Pitulko, VV (corresponding author), Russian Acad Sci, Peter Great Museum Anthropol &amp; Ethnog Kunstkamera, 3 Univ Skaya Nab, St Petersburg 199034, Russia.;Pavlova, EY (corresponding author), Arctic &amp; Antarctic Res Inst, 35 Bering St, St Petersburg 199397, Russia.</t>
  </si>
  <si>
    <t>pitulko.vladimir@gmail.com; pavloval@rambler.ru</t>
  </si>
  <si>
    <t>Russian Science Foundation [21-18-00457]</t>
  </si>
  <si>
    <t>The present study was funded by the Russian Science Foundation project no. 21-18-00457.</t>
  </si>
  <si>
    <t>MDPI</t>
  </si>
  <si>
    <t>BASEL</t>
  </si>
  <si>
    <t>ST ALBAN-ANLAGE 66, CH-4052 BASEL, SWITZERLAND</t>
  </si>
  <si>
    <t>2571-550X</t>
  </si>
  <si>
    <t>Quaternary</t>
  </si>
  <si>
    <t>10.3390/quat6040056</t>
  </si>
  <si>
    <t>DN6M5</t>
  </si>
  <si>
    <t>WOS:001132766100001</t>
  </si>
  <si>
    <t>Sandino, J; Bollard, B; Doshi, A; Randall, K; Barthelemy, J; Robinson, SA; Gonzalez, F; Dominguez, MB; Prates, G</t>
  </si>
  <si>
    <t>Sandino, Juan; Bollard, Barbara; Doshi, Ashray; Randall, Krystal; Barthelemy, Johan; Robinson, Sharon A.; Gonzalez, Felipe; Berrocoso Dominguez, Manuel; Prates, Goncalo</t>
  </si>
  <si>
    <t>A Green Fingerprint of Antarctica: Drones, Hyperspectral Imaging, and Machine Learning for Moss and Lichen Classification</t>
  </si>
  <si>
    <t>REMOTE SENSING</t>
  </si>
  <si>
    <t>Antarctic Specially Protected Area (ASPA); data fusion; environmental monitoring; hyperspectral imaging (HSI); unmanned aerial system (UAS); unmanned aerial vehicle (UAV)</t>
  </si>
  <si>
    <t>CHLOROPHYLL CONCENTRATION; TERRESTRIAL VEGETATION; REFLECTANCE INDEX; UAV; ECOSYSTEMS; HEALTH; COLOR; LEAF; SOIL</t>
  </si>
  <si>
    <t>Mapping Antarctic Specially Protected Areas (ASPAs) remains a critical yet challenging task, especially in extreme environments like Antarctica. Traditional methods are often cumbersome, expensive, and risky, with limited satellite data further hindering accuracy. This study addresses these challenges by developing a workflow that enables precise mapping and monitoring of vegetation in ASPAs. The processing pipeline of this workflow integrates small unmanned aerial vehicles (UAVs)-or drones-to collect hyperspectral and multispectral imagery (HSI and MSI), global navigation satellite system (GNSS) enhanced with real-time kinematics (RTK) to collect ground control points (GCPs), and supervised machine learning classifiers. This workflow was validated in the field by acquiring ground and aerial data at ASPA 135, Windmill Islands, East Antarctica. The data preparation phase involves a data fusion technique to integrate HSI and MSI data, achieving the collection of georeferenced HSI scans with a resolution of up to 0.3 cm/pixel. From these high-resolution HSI scans, a series of novel spectral indices were proposed to enhance the classification accuracy of the model. Model training was achieved using extreme gradient boosting (XGBoost), with four different combinations tested to identify the best fit for the data. The research results indicate the successful detection and mapping of moss and lichens, with an average accuracy of 95%. Optimised XGBoost models, particularly Model 3 and Model 4, demonstrate the applicability of the custom spectral indices to achieve high accuracy with reduced computing power requirements. The integration of these technologies results in significantly more accurate mapping compared to conventional methods. This workflow serves as a foundational step towards more extensive remote sensing applications in Antarctic and ASPA vegetation mapping, as well as in monitoring the impact of climate change on the Antarctic ecosystem.</t>
  </si>
  <si>
    <t>[Sandino, Juan; Gonzalez, Felipe] Queensland Univ Technol, Securing Antarct Environm Future, 2 George St, Brisbane, Qld 4000, Australia; [Sandino, Juan; Gonzalez, Felipe] Queensland Univ Technol, QUT Ctr Robot, 2 George St, Brisbane, Qld 4000, Australia; [Bollard, Barbara; Doshi, Ashray; Randall, Krystal; Barthelemy, Johan; Robinson, Sharon A.] Univ Wollongong, Securing Antarcticas Environm Future, Northfields Ave, Wollongong, NSW 2522, Australia; [Bollard, Barbara; Randall, Krystal; Robinson, Sharon A.] Univ Wollongong, Sch Earth Atmospher &amp; Life Sci, Northfields Ave, Wollongong, NSW 2522, Australia; [Barthelemy, Johan] NVIDIA, Santa Clara, CA 95051 USA</t>
  </si>
  <si>
    <t>Queensland University of Technology (QUT); Queensland University of Technology (QUT); University of Wollongong; University of Wollongong; Nvidia Corporation</t>
  </si>
  <si>
    <t>Sandino, J (corresponding author), Queensland Univ Technol, Securing Antarct Environm Future, 2 George St, Brisbane, Qld 4000, Australia.;Sandino, J (corresponding author), Queensland Univ Technol, QUT Ctr Robot, 2 George St, Brisbane, Qld 4000, Australia.</t>
  </si>
  <si>
    <t>j.sandino@qut.edu.au</t>
  </si>
  <si>
    <t>Randall, Krystal L./KHY-2384-2024; Gonzalez, Felipe/G-7661-2011; Sandino, Juan/U-2153-2018</t>
  </si>
  <si>
    <t>Randall, Krystal L./0000-0003-2507-1000; Gonzalez, Felipe/0000-0002-4342-3682; Sandino, Juan/0000-0002-6780-2425; Bollard, Barbara/0000-0003-2103-8561</t>
  </si>
  <si>
    <t>Australian Research Council (ARC) SRIEAS; Australian Antarctic Division (AAD) [4628]; AAS Project; NVIDIA [A6000]; ARC SRI SAEF via a Strategic Researcher Engagement grant</t>
  </si>
  <si>
    <t>Australian Research Council (ARC) SRIEAS(Australian Research Council); Australian Antarctic Division (AAD); AAS Project; NVIDIA(Nvidia Corporation); ARC SRI SAEF via a Strategic Researcher Engagement grant</t>
  </si>
  <si>
    <t>We would like to acknowledge the Australian Antarctic Division (AAD) for field and other support through AAS Project 4628. Special thanks to Gideon Geerling for their leadership and technical support as field trip officer. We are immensely grateful to the Queensland University of Technology (QUT) Research Engineering Facility (REF) operations team (Dean Gilligan, Gavin Broadbent, and Dmitry Bratanov) for the training and support they provided on the equipment utilised in Antarctica. We would like to thank NVIDIA for supporting the ARC SRI SAEF via a Strategic Researcher Engagement grant, and the donation of the A6000 and A100 GPUs used to analyse and visualise the data. A huge thanks to SaiDynamics Australia for donating the BMR3.9RTK drones, which were crucial to this research.</t>
  </si>
  <si>
    <t>2072-4292</t>
  </si>
  <si>
    <t>REMOTE SENS-BASEL</t>
  </si>
  <si>
    <t>Remote Sens.</t>
  </si>
  <si>
    <t>10.3390/rs15245658</t>
  </si>
  <si>
    <t>Environmental Sciences; Geosciences, Multidisciplinary; Remote Sensing; Imaging Science &amp; Photographic Technology</t>
  </si>
  <si>
    <t>Environmental Sciences &amp; Ecology; Geology; Remote Sensing; Imaging Science &amp; Photographic Technology</t>
  </si>
  <si>
    <t>DF7N8</t>
  </si>
  <si>
    <t>WOS:001130681200001</t>
  </si>
  <si>
    <t>Mikryukov, V; Dulya, O; Zizka, A; Bahram, M; Hagh-Doust, N; Anslan, S; Prylutskyi, O; Delgado-Baquerizo, M; Maestre, FT; Nilsson, H; Pärn, J; Öpik, M; Moora, M; Zobel, M; Espenberg, M; Mander, Ü; Khalid, AN; Corrales, A; Agan, A; Vasco-Palacios, AM; Saitta, A; Rinaldi, A; Verbeken, A; Sulistyo, B; Tamgnoue, B; Furneaux, B; Ritter, CD; Nyamukondiwa, C; Sharp, C; Marín, C; Gohar, D; Klavina, D; Sharmah, D; Dai, DQ; Nouhra, E; Biersma, EM; Rähn, E; Cameron, E; De Crop, E; Otsing, E; Davydov, E; Albornoz, F; Brearley, F; Buegger, F; Zahn, G; Bonito, G; Hiiesalu, I; Barrio, I; Heilmann-Clausen, J; Ankuda, J; Dolezal, J; Kupagme, J; Maciá-Vicente, J; Fovo, JD; Geml, J; Alatalo, J; Alvarez-Manjarrez, J; Poldmaa, K; Runnel, K; Adamson, K; Bråthen, KA; Pritsch, K; Issifou, KT; Armolaitis, K; Hyde, K; Newsham, KK; Panksep, K; Lateef, AA; Hansson, L; Lamit, L; Saba, M; Tuomi, M; Gryzenhout, M; Bauters, M; Piepenbring, M; Wijayawardene, NN; Yorou, N; Kurina, O; Mortimer, P; Meidl, P; Kohout, P; Puusepp, R; Drenkhan, R; Garibay-Orijel, R; Godoy, R; Alkahtani, S; Rahimlou, S; Dudov, S; Polme, S; Ghosh, S; Mundra, S; Ahmed, T; Netherway, T; Henkel, T; Roslin, T; Nteziryayo, V; Fedosov, V; Onipchenko, V; Yasanthika, WAE; Lim, Y; Van Nuland, M; Soudzilovskaia, N; Antonelli, A; Koljalg, U; Abarenkov, K; Tedersoo, L</t>
  </si>
  <si>
    <t>Mikryukov, Vladimir; Dulya, Olesya; Zizka, Alexander; Bahram, Mohammad; Hagh-Doust, Niloufar; Anslan, Sten; Prylutskyi, Oleh; Delgado-Baquerizo, Manuel; Maestre, Fernando T.; Nilsson, Henrik; Parn, Jaan; Opik, Maarja; Moora, Mari; Zobel, Martin; Espenberg, Mikk; Mander, Ulo; Khalid, Abdul Nasir; Corrales, Adriana; Agan, Ahto; Vasco-Palacios, Aida-M.; Saitta, Alessandro; Rinaldi, Andrea; Verbeken, Annemieke; Sulistyo, Bobby; Tamgnoue, Boris; Furneaux, Brendan; Duarte Ritter, Camila; Nyamukondiwa, Casper; Sharp, Cathy; Marin, Cesar; Gohar, Daniyal; Klavina, Darta; Sharmah, Dipon; Dai, Dong-Qin; Nouhra, Eduardo; Biersma, Elisabeth Machteld; Rahn, Elisabeth; Cameron, Erin; De Crop, Eske; Otsing, Eveli; Davydov, Evgeny; Albornoz, Felipe; Brearley, Francis; Buegger, Franz; Zahn, Geoffrey; Bonito, Gregory; Hiiesalu, Inga; Barrio, Isabel; Heilmann-Clausen, Jacob; Ankuda, Jelena; Dolezal, Jiri; Kupagme, John; Macia-Vicente, Jose; Djeugap Fovo, Joseph; Geml, Jozsef; Alatalo, Juha; Alvarez-Manjarrez, Julieta; Poldmaa, Kadri; Runnel, Kadri; Adamson, Kalev; Brathen, Kari-Anne; Pritsch, Karin; Tchan Issifou, Kassim; Armolaitis, Kestutis; Hyde, Kevin; Newsham, Kevin K.; Panksep, Kristel; Lateef, Adebola Azeez; Hansson, Linda; Lamit, Louis; Saba, Malka; Tuomi, Maria; Gryzenhout, Marieka; Bauters, Marijn; Piepenbring, Meike; Wijayawardene, Nalin N.; Yorou, Nourou; Kurina, Olavi; Mortimer, Peter; Meidl, Peter; Kohout, Petr; Puusepp, Rasmus; Drenkhan, Rein; Garibay-Orijel, Roberto; Godoy, Roberto; Alkahtani, Saad; Rahimlou, Saleh; Dudov, Sergey; Polme, Sergei; Ghosh, Soumya; Mundra, Sunil; Ahmed, Talaat; Netherway, Tarquin; Henkel, Terry; Roslin, Tomas; Nteziryayo, Vincent; Fedosov, Vladimir; Onipchenko, Vladimir; Yasanthika, Weeragalle Arachchillage Erandi; Lim, Young; Van Nuland, Michael; Soudzilovskaia, Nadejda; Antonelli, Alexandre; Koljalg, Urmas; Abarenkov, Kessy; Tedersoo, Leho</t>
  </si>
  <si>
    <t>Connecting the multiple dimensions of global soil fungal diversity</t>
  </si>
  <si>
    <t>SPECIES RICHNESS; WATER; LIFE</t>
  </si>
  <si>
    <t>How the multiple facets of soil fungal diversity vary worldwide remains virtually unknown, hindering the management of this essential species-rich group. By sequencing high-resolution DNA markers in over 4000 topsoil samples from natural and human-altered ecosystems across all continents, we illustrate the distributions and drivers of different levels of taxonomic and phylogenetic diversity of fungi and their ecological groups. We show the impact of precipitation and temperature interactions on local fungal species richness (alpha diversity) across different climates. Our findings reveal how temperature drives fungal compositional turnover (beta diversity) and phylogenetic diversity, linking them with regional species richness (gamma diversity). We integrate fungi into the principles of global biodiversity distribution and present detailed maps for biodiversity conservation and modeling of global ecological processes.</t>
  </si>
  <si>
    <t>[Mikryukov, Vladimir; Dulya, Olesya; Hagh-Doust, Niloufar; Anslan, Sten; Parn, Jaan; Opik, Maarja; Moora, Mari; Zobel, Martin; Espenberg, Mikk; Mander, Ulo; Hiiesalu, Inga; Poldmaa, Kadri; Runnel, Kadri; Koljalg, Urmas] Univ Tartu, Inst Ecol &amp; Earth Sci, EE-51014 Tartu, Estonia; [Zizka, Alexander] Philipps Univ, Dept Biol, D-35032 Marburg, Germany; [Bahram, Mohammad; Netherway, Tarquin; Roslin, Tomas] Swedish Univ Agr Sci, Dept Ecol, S-75007 Uppsala, Sweden; [Prylutskyi, Oleh] Kharkov Natl Univ, Dept Mycol &amp; Plant Resistance, Sch Biol, UA-61022 Kharkiv, Ukraine; [Delgado-Baquerizo, Manuel] CSIC, Inst Recursos Nat &amp; Agrobiol Sevilla, Lab Biodiversidad &amp; Funcionamiento Ecosistem, Seville 41012, Spain; [Maestre, Fernando T.] Univ Alicante, Inst Multidisciplinar Estudios Medio Ramon Margal, Alicante 03690, Spain; [Maestre, Fernando T.] Univ Alicante, Dept Ecol, Alicante 03690, Spain; [Nilsson, Henrik] Univ Gothenburg, Gothenburg Global Biodivers Ctr, S-40530 Gothenburg, Sweden; [Khalid, Abdul Nasir] Univ Punjab, Inst Bot, Lahore 54590, Pakistan; [Corrales, Adriana] Univ Rosario, Ctr Invest Microbiol &amp; Biotecnol UR CIMBIUR, Fac Ciencias Nat, Bogota 111221, Colombia; [Agan, Ahto; Rahn, Elisabeth; Adamson, Kalev; Drenkhan, Rein] Estonian Univ Life Sci, Inst Forestry &amp; Engn, EE-51006 Tartu, Estonia; [Vasco-Palacios, Aida-M.] Univ Antioquia UdeA, Escuela Microbiol, Grp BioMicro &amp; Microbiol Ambiental, Medellin 050010, Colombia; [Saitta, Alessandro] Univ Palermo, Dept Agr Food &amp; Forest Sci, I-90128 Palermo, Italy; [Rinaldi, Andrea] Univ Cagliari, Dept Biomed Sci, I-09124 Cagliari, Italy; [Verbeken, Annemieke; Sulistyo, Bobby; De Crop, Eske] Univ Ghent, Dept Biol, B-9000 Ghent, Belgium; [Tamgnoue, Boris; Djeugap Fovo, Joseph] Univ Dschang, Dept Crop Sci, Dschang, Cameroon; [Furneaux, Brendan] Univ Jyvaskyla, Dept Biol &amp; Environm Sci, Jyvaskyla 40014, Finland; [Duarte Ritter, Camila] Inst Jurua, BR-69083 Manaus, Brazil; [Nyamukondiwa, Casper] Botswana Int Univ Sci &amp; Technol, Dept Biol Sci &amp; Biotechnol, Palapye 10071, Botswana; [Sharp, Cathy] Nat Hist Museum Zimbabwe, Bulawayo, Zimbabwe; [Marin, Cesar] Univ SantoTomas, Ctr Invest &amp; Innovac Cambio Climat CiiCC, Valdivia, Chile; [Gohar, Daniyal; Otsing, Eveli; Kupagme, John; Puusepp, Rasmus; Rahimlou, Saleh; Polme, Sergei; Tedersoo, Leho] Univ Tartu, Mycol &amp; Microbiol Ctr, Juhan Liivi 2, EE-50409 Tartu, Estonia; [Klavina, Darta] Latvian State Forest Res Inst Silava, LV-2169 Salaspils, Latvia; [Sharmah, Dipon] Pondicherry Univ, Dept Bot, Jawaharlal Nehru Rajkeeya Mahavidyalaya, Port Blair 744101, India; [Dai, Dong-Qin] Qujing Normal Univ, Coll Biol Resource &amp; Food Engn, Qujing 655011, Yunnan, Peoples R China; [Nouhra, Eduardo] Univ Nacl Cordoba, Inst Multidisciplinario Biol Vegetal, CONICET, RA-5000 Cordoba, Argentina; [Biersma, Elisabeth Machteld] Nat Hist Museum Denmark, DK-1123 Copenhagen, Denmark; [Biersma, Elisabeth Machteld; Newsham, Kevin K.] British Antarctic Survey, NERC, High Cross, Cambridge CB3 0ET, England; [Cameron, Erin] St Marys Univ, Dept Environm Sci, Halifax, NS B3H 3C3, Canada; [Davydov, Evgeny] Altai State Univ, Barnaul 656049, Russia; [Albornoz, Felipe] Commonwealth Sci &amp; Ind Res Org CSIRO, Land &amp; Water, Wembley, WA 6014, Australia; [Brearley, Francis] Manchester Metropolitan Univ, Dept Nat Sci, Manchester M1 5GD, Lancs, England; [Buegger, Franz; Pritsch, Karin] Helmholtz Zentrum Munchen, D-85764 Neuherberg, Germany; [Zahn, Geoffrey] Utah Valley Univ, Biol Dept, Orem, UT 84058 USA; [Bonito, Gregory] Michigan State Univ, Plant Soil &amp; Microbial Sci, E Lansing, MI 48824 USA; [Barrio, Isabel] Agr Univ Iceland, Fac Nat &amp; Environm Sci, IS-112 Reykjavik, Iceland; [Heilmann-Clausen, Jacob] Univ Copenhagen, Ctr Macroecol Evolut &amp; Climate, DK-1350 Copenhagen, Denmark; [Ankuda, Jelena] Lithuanian Res Ctr Agr &amp; Forestry LAMMC, Voke Branch, Inst Agr, LT-02232 Vilnius, Lithuania; [Dolezal, Jiri] Univ South Bohemia, Fac Sci, Dept Bot, Ceske Budejovice 37005, Czech Republic; [Macia-Vicente, Jose] Wageningen Univ &amp; Res, Dept Environm Sci Plant Ecol &amp; Nat Conservat, NL-6708 PD Wageningen, Netherlands; [Geml, Jozsef] Eszterhazy Karoly Catholic Univ, ELKH EKKE Lendulet Environm Microbiome Res Grp, H-3300 Eger, Hungary; [Alatalo, Juha; Ahmed, Talaat] Qatar Univ, Environm Sci Ctr, Doha, Qatar; [Alvarez-Manjarrez, Julieta; Garibay-Orijel, Roberto] Univ Nacl Autonoma Mexico, Inst Biol, Mexico City 04510, Mexico; [Poldmaa, Kadri; Polme, Sergei; Koljalg, Urmas; Abarenkov, Kessy] Univ Tartu, Nat Hist Museum, EE-51003 Tartu, Estonia; [Brathen, Kari-Anne; Tuomi, Maria] Arctic Univ Norway, Dept Arctic &amp; Marine Biol, N-9019 Tromso, Norway; [Tchan Issifou, Kassim; Yorou, Nourou] Univ Parakou, Res Unit Trop Mycol &amp; Soil Plant Fungi Interact, Parakou 00229, Benin; [Armolaitis, Kestutis] Lithuanian Res Ctr Agr &amp; Forestry LAMMC, Inst Forestry, Dept Silviculture &amp; Ecol, LT-53101 Girionys, Lithuania; [Hyde, Kevin; Yasanthika, Weeragalle Arachchillage Erandi] Mae Fah Luang Univ, Ctr Excellence Fungal Res, Chiang Rai 57100, Thailand; [Panksep, Kristel] Estonian Univ Life Sci, Chair Hydrobiol &amp; Fishery, EE-51006 Tartu, Estonia; [Lateef, Adebola Azeez] Univ Ilorin, Fac Life Sci, Dept Plant Biol, Ilorin 240102, Nigeria; [Lateef, Adebola Azeez] Univ Helsinki, Dept Forest Sci, Helsinki 00014, Finland; [Hansson, Linda] Univ Gothenburg, Gothenburg Ctr Sustainable Dev, S-41133 Gothenburg, Sweden; [Lamit, Louis] Syracuse Univ, Dept Biol, Syracuse, NY 13244 USA; [Saba, Malka] Quaid I Azam Univ, Dept Plant Sci, Islamabad 45320, Pakistan; [Gryzenhout, Marieka; Ghosh, Soumya] Univ Free State, Fac Nat &amp; Agr Sci, Dept Genet, ZA-9300 Bloemfontein, South Africa; [Bauters, Marijn] Univ Ghent, Fac Biosci Engn, Dept Environm, B-9000 Ghent, Belgium; [Piepenbring, Meike] Goethe Univ Frankfurt Main, Mycol Working Grp, D-60438 Frankfurt, Germany; [Wijayawardene, Nalin N.] Qujing Normal Univ, Coll Biol Resource &amp; Food Engn, Qujing, Peoples R China; [Kurina, Olavi] Estonian Univ Life Sci, Inst Agr &amp; Environm Sci, EE-51006 Tartu, Estonia; [Mortimer, Peter] Chinese Acad Sci, Kunming Inst Bot, Ctr Mt Futures, Kunming 650201, Peoples R China; [Meidl, Peter] Free Univ Berlin, Inst Biol, D-14195 Berlin, Germany; [Kohout, Petr] Czech Acad Sci, Inst Microbiol, Prague, Czech Republic; [Godoy, Roberto] Univ Austral Chile, Inst Ciencias Ambientales &amp; Evolut, Valdivia, Chile; [Alkahtani, Saad; Tedersoo, Leho] King Saud Univ, Coll Sci, Dept Zool, Riyadh 11451, Saudi Arabia; [Dudov, Sergey; Fedosov, Vladimir; Onipchenko, Vladimir] Moscow Lomonosov State Univ, Dept Ecol &amp; Plant Geog, Moscow 119234, Russia; [Mundra, Sunil] United Arab Emirates Univ UAEU, Coll Sci, Dept Biol, Al Ain, U Arab Emirates; [Henkel, Terry] Calif State Polytech Univ Humboldt, Dept Biol Sci, Arcata, CA 95521 USA; [Nteziryayo, Vincent] Univ Burundi, Fac Sci, Bujumbura, Burundi; [Lim, Young] Seoul Natl Univ, Inst Microbiol, Sch Biol Sci, Seoul 08826, South Korea; [Van Nuland, Michael] Soc Protect Underground Networks SPUN, Dover, DE 19901 USA; [Soudzilovskaia, Nadejda] Hasselt Univ, Ctr Environm Sci, B-3500 Hasselt, Belgium; [Antonelli, Alexandre] Royal Bot Gardens Kew, Richmond TW9 3AE, Surrey, England</t>
  </si>
  <si>
    <t>University of Tartu; Tartu University Institute of Ecology &amp; Earth Sciences; Philipps University Marburg; Swedish University of Agricultural Sciences; Ministry of Education &amp; Science of Ukraine; VN Karazin Kharkiv National University; Consejo Superior de Investigaciones Cientificas (CSIC); CSIC - Instituto de Recursos Naturales y Agrobiologia de Sevilla (IRNAS); Universitat d'Alacant; Universitat d'Alacant; University of Gothenburg; University of Punjab; Universidad del Rosario; Estonian University of Life Sciences; Universidad de Antioquia; University of Palermo; University of Cagliari; Ghent University; Universite de Dschang; University of Jyvaskyla; University of Tartu; Latvian State Forest Research Institute Silava; Pondicherry University; Qujing Normal University; National University of Cordoba; UK Research &amp; Innovation (UKRI); Natural Environment Research Council (NERC); NERC British Antarctic Survey; Saint Marys University - Canada; Altai State University; Commonwealth Scientific &amp; Industrial Research Organisation (CSIRO); Manchester Metropolitan University; Helmholtz Association; Helmholtz-Center Munich - German Research Center for Environmental Health; Utah System of Higher Education; Utah Valley University; Michigan State University; University of Copenhagen; University of South Bohemia Ceske Budejovice; Wageningen University &amp; Research; Eszterhazy Karoly Catholic University; Qatar University; Universidad Nacional Autonoma de Mexico; University of Tartu; UiT The Arctic University of Tromso; Mae Fah Luang University; Estonian University of Life Sciences; University of Ilorin; University of Helsinki; University of Gothenburg; Syracuse University; Quaid I Azam University; University of the Free State; Ghent University; Goethe University Frankfurt; Qujing Normal University; Estonian University of Life Sciences; Chinese Academy of Sciences; Kunming Institute of Botany, CAS; Free University of Berlin; Czech Academy of Sciences; Institute of Microbiology of the Czech Academy of Sciences; Universidad Austral de Chile; King Saud University; Lomonosov Moscow State University; Seoul National University (SNU); Hasselt University; Royal Botanic Gardens, Kew</t>
  </si>
  <si>
    <t>Mikryukov, V (corresponding author), Univ Tartu, Inst Ecol &amp; Earth Sci, EE-51014 Tartu, Estonia.;Tedersoo, L (corresponding author), Univ Tartu, Mycol &amp; Microbiol Ctr, Juhan Liivi 2, EE-50409 Tartu, Estonia.;Tedersoo, L (corresponding author), King Saud Univ, Coll Sci, Dept Zool, Riyadh 11451, Saudi Arabia.</t>
  </si>
  <si>
    <t>vladimir.mikryukov@ut.ee; leho.tedersoo@ut.ee</t>
  </si>
  <si>
    <t>garibay-orijel, roberto/F-9360-2013; Panksep, Kristel/H-3360-2016; Nilsson, R. Henrik/A-6062-2009; Adamson, Kalev/H-3366-2016; Kohout, Petr/B-4975-2011; Delgado-Baquerizo, Manuel/L-3653-2017; Marín, César/B-3596-2018; Abarenkov, Kessy/H-9611-2015; Kurina, Olavi/A-8106-2013; Espenberg, Mikk/U-3118-2019; Prylutskyi, Oleh/AAX-7114-2020; Antonelli, Alexandre/A-5353-2011; Biersma, Elisabeth Machteld/AAL-9818-2020; Dulya, Olesya/J-3284-2014; Mikryukov, Vladimir/A-8369-2011; Mundra, Sunil/H-8642-2016; Zahn, Geoffrey/JFJ-2722-2023; Ghosh, Soumya/B-1937-2019; Roslin, Tomas/E-8648-2016; Maestre, Fernando T/A-6825-2008</t>
  </si>
  <si>
    <t>Panksep, Kristel/0000-0003-4743-6111; Nilsson, R. Henrik/0000-0002-8052-0107; Adamson, Kalev/0000-0002-8810-8838; Delgado-Baquerizo, Manuel/0000-0002-6499-576X; Marín, César/0000-0002-2529-8929; Espenberg, Mikk/0000-0003-0469-6394; Prylutskyi, Oleh/0000-0001-5730-517X; Antonelli, Alexandre/0000-0003-1842-9297; Biersma, Elisabeth Machteld/0000-0002-9877-2177; Hagh Doust, Niloufar/0000-0003-0616-5829; Dulya, Olesya/0000-0002-7185-8659; Mikryukov, Vladimir/0000-0003-2786-2690; Furneaux, Brendan/0000-0003-3522-7363; Anslan, Sten/0000-0002-2299-454X; Lateef, Adebola/0000-0002-0510-7996; Mundra, Sunil/0000-0002-0535-118X; Zahn, Geoffrey/0000-0002-8691-692X; Albornoz, Felipe/0000-0001-9526-0945; Zizka, Alexander/0000-0002-1680-9192; Ghosh, Soumya/0000-0002-4945-3516; Koljalg, Urmas/0000-0002-5171-1668; Roslin, Tomas/0000-0002-2957-4791; Maestre, Fernando T/0000-0002-7434-4856; Sulistyo, Bobby/0000-0002-5203-4822</t>
  </si>
  <si>
    <t>Estonian Science Foundation [PRG632, PRG1170]; Estonian Research Council [MOBTP198, PRG1615, PRG352, EUR2022-134048, CIDEGENT/2018/041, EMP442, 21-26883S]; Novo Nordisk Fonden [PRG1789]; Norway-Baltic financial mechanism [PRG1065]; King Saud University [PSG825]; King Saud University: Highly Cited Program; European Regional Development Fund: Centre of Excellence EcolChange [PUT1170]; British Ecological Society [NNF20OC0059948]; Spanish Ministry of Science and Innovation [EMP442, PID2020-115813RA-I00]; Spanish Ministry of Science and Innovation: SOIL4GROWTH; Marie Sklodowska-Curie [DFSP-2020-2]; European Research Council (ERC) [TK131, 2020-00807]; Generalitat Valenciana [LRB17\1019]; Swedish Research Council Formas [702057]; Swedish Research Council [647038]; Swedish Foundation for Strategic Environmental Research MISTRA: Project BioPath; Kew Foundation; EEA Financial Mechanism Baltic Research Programme in Estonia [101096403]; Ghent University Special Research Fund (BOF): Metusalem; European Regional Development Fund (ERDF) [2019-05191]; German Federal Ministry of Education and Research (BMBF) [1.1.1.2/VIAA/2/18/298]; Proyecto SIA [01DG20015FunTrAf]; Fondecyt [SA77210019]; European Research Council (ERC): Synergy Grant [1190642]; Academy of Finland [856506-LIFEPLAN]; U.S. National Science Foundation [322266, DEB-0918591, DEB-1556338]; UNAM-PAPIIT [DEB 1737898]; Czech Science Foundation [IV200223]; NERC core funding: the BAS Biodiversity, Evolution and Adaptation Team; NERC-CONICYT [NE/P003079/1]; Carlsberg Foundation [CF18-0267]; Qatar Petroleum [QUEX-CAS-QP-RD-18/19]; Russian Ministry of Science and Higher Education [075-15-2021-1396]; Secretaria de Ciencia y Tecnica (SECYT) of Universidad Nacional de Cordoba; CONICET; High -Level Talent Recruitment Plan of Yunnan Province 2021: High-End Foreign Experts; AUA grant from research council of UAE University [G00003654]; Ghent University: Bijzonder Onderzoeksfonds [BOF-PDO-2017-001201]; Ghent University: The Faculty Committee Scientific Research, FCWO; King Leopold III Fund for Nature Exploration and Conservation; Research Foundation-Flanders (FWO); High-Level Talent Recruitment Plan of Yunnan Provinces: Young Talents Program; High -Level Talent Recruitment Plan of Yunnan Provinces: High-End Foreign ExpertsProgram; IRIS scholarship for progressive and ambitious women; Estonian University of Life Sciences [P190250PKKH]; Hungarian Academy of Sciences: Lenduelet Programme [96049]; Eotvos Lorand Research Network; Botswana International University of Science and Technology; Higher Education Commision (HEC, Islamabad, Pakistan): Indigenous and International research support initiative program (IRSIP) scholarship</t>
  </si>
  <si>
    <t>Estonian Science Foundation; Estonian Research Council(Estonian Research Council); Novo Nordisk Fonden(Novo Nordisk Foundation); Norway-Baltic financial mechanism; King Saud University(King Saud University); King Saud University: Highly Cited Program; European Regional Development Fund: Centre of Excellence EcolChange; British Ecological Society; Spanish Ministry of Science and Innovation(Spanish Government); Spanish Ministry of Science and Innovation: SOIL4GROWTH; Marie Sklodowska-Curie(Marie Curie Actions); European Research Council (ERC)(European Research Council (ERC)Spanish Government); Generalitat Valenciana(Center for Forestry Research &amp; Experimentation (CIEF)); Swedish Research Council Formas(Swedish Research Council Formas); Swedish Research Council(Swedish Research Council); Swedish Foundation for Strategic Environmental Research MISTRA: Project BioPath; Kew Foundation; EEA Financial Mechanism Baltic Research Programme in Estonia; Ghent University Special Research Fund (BOF): Metusalem; European Regional Development Fund (ERDF)(European Union (EU)); German Federal Ministry of Education and Research (BMBF)(Federal Ministry of Education &amp; Research (BMBF)); Proyecto SIA; Fondecyt(Comision Nacional de Investigacion Cientifica y Tecnologica (CONICYT)CONICYT FONDECYT); European Research Council (ERC): Synergy Grant(European Research Council (ERC)); Academy of Finland(Research Council of Finland); U.S. National Science Foundation(National Science Foundation (NSF)); UNAM-PAPIIT(Programa de Apoyo a Proyectos de Investigacion e Innovacion Tecnologica (PAPIIT)Universidad Nacional Autonoma de Mexico); Czech Science Foundation(Grant Agency of the Czech Republic); NERC core funding: the BAS Biodiversity, Evolution and Adaptation Team; NERC-CONICYT; Carlsberg Foundation(Carlsberg Foundation); Qatar Petroleum(Qatar National Research Fund (QNRF)); Russian Ministry of Science and Higher Education; Secretaria de Ciencia y Tecnica (SECYT) of Universidad Nacional de Cordoba; CONICET(Consejo Nacional de Investigaciones Cientificas y Tecnicas (CONICET)); High -Level Talent Recruitment Plan of Yunnan Province 2021: High-End Foreign Experts; AUA grant from research council of UAE University; Ghent University: Bijzonder Onderzoeksfonds; Ghent University: The Faculty Committee Scientific Research, FCWO; King Leopold III Fund for Nature Exploration and Conservation; Research Foundation-Flanders (FWO)(FWO); High-Level Talent Recruitment Plan of Yunnan Provinces: Young Talents Program; High -Level Talent Recruitment Plan of Yunnan Provinces: High-End Foreign ExpertsProgram; IRIS scholarship for progressive and ambitious women; Estonian University of Life Sciences; Hungarian Academy of Sciences: Lenduelet Programme; Eotvos Lorand Research Network; Botswana International University of Science and Technology; Higher Education Commision (HEC, Islamabad, Pakistan): Indigenous and International research support initiative program (IRSIP) scholarship</t>
  </si>
  <si>
    <t>This work was supported by the Estonian Science Foundation: PRG632 (to L.T.), Estonian Research Council: PRG1615 (to R.D.), Estonian Research Council: PRG1170 (to U.K. and Ka.Po.), Estonian Science Foundation: MOBTP198 (to St.An.), Novo Nordisk Fonden: NNF20OC0059948 (to L.T.), Norway-Baltic financial mechanism: EMP442 (to L.T., K.-A.B., and M.T.), King Saud University: DFSP-2020-2 (to L.T.), King Saud University: Highly Cited Program (to L.T.), European Regional Development Fund: Centre of Excellence EcolChange TK131 (to M.O., M.Z., UE.M., U.K., and M.E.), Estonian Research Council: PRG1789 (to M.O. and I.H.), British Ecological Society: LRB17\1019 (MUSGONET) (to M.D.-B.), Spanish Ministry of Science and Innovation: PID2020-115813RA-I00 (to M.D.-B.), Spanish Ministry of Science and Innovation: SOIL4GROWTH (to M.D.-B.), Marie Sklodowska-Curie: 702057 (CLIMIFUN) (to M.D.-B.), European Research Council (ERC): grant 647038 [BIODESERT] (to F.T.M.), Generalitat Valenciana: CIDEGENT/2018/041 (to F.T.M.), Spanish Ministry of Science and Innovation: EUR2022-134048 (to F.T.M.), Estonian Research Council: PRG1065 (to M.M. and M.Z.), Swedish Research Council Formas: 2020-00807 (to Mo.Ba.), Swedish Research Council: 2019-05191 (to Al. An.), Swedish Foundation for Strategic Environmental Research MISTRA: Project BioPath (to Al. An.), Kew Foundation (to Al.An.), EEA Financial Mechanism Baltic Research Programme in Estonia: EMP442 (to Ke.Ar. and Je.An.), Ghent University Special Research Fund (BOF): Metusalem (to N.S.), Estonian Research Council: PSG825 (to K.R.), European Research Council (ERC): 101096403 (MLTOM23415R) (to UE.M.), European Regional Development Fund (ERDF): 1.1.1.2/VIAA/2/18/298 (to D.K.), Estonian Research Council: PUT1170 (to I.H.), German Federal Ministry of Education and Research (BMBF): 01DG20015FunTrAf (to K.T.I., M.P., and N.Y.), Proyecto SIA: SA77210019 (ANID-Chile) (to C.M.), Fondecyt: 1190642 (ANID-Chile) (to R.G.), European Research Council (ERC): Synergy Grant 856506-LIFEPLAN (to T.R.), Academy of Finland: grant 322266 (to T.R.), U.S. National Science Foundation: DEB-0918591 (to T.H.), U.S. National Science Foundation: DEB-1556338 (to T.H.), U.S. National Science Foundation: DEB 1737898 (to G.B.), UNAM-PAPIIT: IV200223 (to R.G.-O.), Czech Science Foundation: 21-26883S (to J.D.), Estonian Research Council: PRG352 (to M.E.), NERC core funding: the BAS Biodiversity, Evolution and Adaptation Team (to K.K.N.), NERC-CONICYT: NE/P003079/1 (to E.M.B.), Carlsberg Foundation: CF18-0267 (to E.M.B.), Qatar Petroleum: QUEX-CAS-QP-RD-18/19 (to Ju.Al.), Russian Ministry of Science and Higher Education: 075-15-2021-1396 (to V.F. and V.O.), Secretaria de Ciencia y Tecnica (SECYT) of Universidad Nacional de Cordoba and CONICET (to E.N.), High -Level Talent Recruitment Plan of Yunnan Province 2021: High-End Foreign Experts (to Pe.Mo.), AUA grant from research council of UAE University: G00003654 (to S.M.), Ghent University: Bijzonder Onderzoeksfonds (to A.V.), Ghent University: Bijzonder Onderzoeksfonds (BOF-PDO-2017-001201) (to E.D.C.), Ghent University: The Faculty Committee Scientific Research, FCWO (to E.D.C. and A.V.), The King Leopold III Fund for Nature Exploration and Conservation (to A.V. and E.D.C.), The Research Foundation-Flanders (FWO) (to E.D.C. and A.V.), The High-Level Talent Recruitment Plan of Yunnan Provinces: Young Talents Program (to D.-Q.D.), The High -Level Talent Recruitment Plan of Yunnan Provinces: High-End Foreign ExpertsProgram (to N. N.W.), IRIS scholarship for progressive and ambitious women (to L.H.; r ), Estonian University of Life Sciences: P190250PKKH (to Kr.Pa.), Hungarian Academy of Sciences: Lenduelet Programme (96049) (to J.G.), Eotvos Lorand Research Network (to J.G.), Botswana International University of Science and Technology (to C.N.), and Higher Education Commision (HEC, Islamabad, Pakistan): Indigenous and International research support initiative program (IRSIP) scholarship (to M.S.).</t>
  </si>
  <si>
    <t>eadj8016</t>
  </si>
  <si>
    <t>10.1126/sciadv.adj8016</t>
  </si>
  <si>
    <t>CB7A4</t>
  </si>
  <si>
    <t>Green Published, gold, Green Accepted</t>
  </si>
  <si>
    <t>WOS:001122844300004</t>
  </si>
  <si>
    <t>Kim, Y; Kim, TW; Park, SJ; Ha, SY; Park, J; Yoo, J; Cho, YK</t>
  </si>
  <si>
    <t>Kim, Yeonggi; Kim, Tae-Wan; Park, Sang-Jong; Ha, Sun-Yong; Park, Jisoo; Yoo, Jaeill; Cho, Yang-Ki</t>
  </si>
  <si>
    <t>Properties and Mechanisms of Seawater Exchange in Marian Cove, King George Island, West Antarctic Peninsula</t>
  </si>
  <si>
    <t>JOURNAL OF GEOPHYSICAL RESEARCH-OCEANS</t>
  </si>
  <si>
    <t>Antarctic Peninsula; fjord winds; freshwater residence time; Marian Cove; seawater exchange; tidal forcing</t>
  </si>
  <si>
    <t>BRANSFIELD STRAIT; CLIMATE-CHANGE; TOPOGRAPHIC RECTIFICATION; RESIDUAL CURRENTS; GLACIAL FJORD; DEEP WATERS; TIDE MODEL; SEA; RECONSTRUCTION; HYDROGRAPHY</t>
  </si>
  <si>
    <t>The Antarctic Peninsula is one region that has recently experienced warming substantially more rapidly than the global mean over the past 50 years. Marian Cove is located in the South Shetland Islands connected to the Bransfield Strait via Maxwell Bay between King George Island and Nelson Island. In this study, we identified properties and mechanisms of seawater exchange in Marian Cove from multiple hydrographic surveys and a single bottom-mounted mooring installed at the entrance to Marian Cove. Regardless of the season, the mean current velocity profiles at the entrance to Marian Cove were constant because of the influence of tidal forcing. Wind was the primary force that determined the variation in surface current; in response, a countercurrent occurred near the bottom area. We estimated salt transport to understand what effects Maxwell Bay ' s saline water intrusion has on the Marian Cove environment. When the daily easterly wind was at its maximum of 18.5 m s(-1), the salinity could increase to 7.20 x 10(-4) g kg(-1) in 1 day. In addition, the average freshwater residence time in Marian Cove for the quantitative evaluation of seawater exchange was approximately 9 days. However, the freshwater residence time was reduced to less than 2 days when there were extreme easterly winds. In recent years, the Antarctic Peninsula has warmed up much faster than the global average. In the South Shetland Islands, Marian Cove is a small bay that connects to the Bransfield Strait through Maxwell Bay, which is between King George Island and Nelson Island. In this study, we used continuous observation devices at the entrance to Marian Cove to figure out how and why the seawater changes. Regardless of the season, inflow from the open sea occurs near the bottom due to the interaction of tides and friction forces. Wind was the main thing that changed the surface current, and as a result, the bottom current went in the opposite direction. We figured out how salt moves in Marian Cove, and the main thing that speeds up salt intrusion in Marian Cove is easterly wind. We try to estimate how long the water in Marian Cove stays there. On average, water can stay for about 9 days. However, when there were very strong easterly winds, the time was reduced to less than 2 days, which will be insufficient for phytoplankton growth. Tide-induced mean current was the primary factor sustaining mean seawater exchange at the entrance to Marian CoveSeawater exchange was mainly affected by wind forcingFreshwater residence time of Marian Cove was approximately 9 days and could be reduced to within 2 days by strong easterly winds</t>
  </si>
  <si>
    <t>[Kim, Yeonggi; Kim, Tae-Wan; Park, Sang-Jong; Ha, Sun-Yong; Park, Jisoo; Yoo, Jaeill] Korea Polar Res Inst, Incheon, South Korea; [Kim, Yeonggi; Cho, Yang-Ki] Seoul Natl Univ, Sch Earth &amp; Environm Sci, Seoul, South Korea; [Kim, Yeonggi; Cho, Yang-Ki] Seoul Natl Univ, Res Inst Oceanog, Seoul, South Korea</t>
  </si>
  <si>
    <t>Korea Polar Research Institute (KOPRI); Seoul National University (SNU); Seoul National University (SNU)</t>
  </si>
  <si>
    <t>Kim, TW (corresponding author), Korea Polar Res Inst, Incheon, South Korea.</t>
  </si>
  <si>
    <t>twkim@kopri.re.kr</t>
  </si>
  <si>
    <t>Cho, Yang-Ki/AAU-2549-2020; Kim, Tae-Wan/JGM-9981-2023; park, sang-jong/B-7049-2011</t>
  </si>
  <si>
    <t>Cho, Yang-Ki/0000-0003-0026-0550; Kim, Tae-Wan/0000-0001-5257-7256; park, sang-jong/0000-0002-6944-6962; Park, Jisoo/0000-0003-0428-8358</t>
  </si>
  <si>
    <t>Ministry of Oceans and Fisheries [KOPRI PE23110]; Korea Polar Research Institute (KOPRI) - Ministry of Oceans and Fisheries</t>
  </si>
  <si>
    <t>Ministry of Oceans and Fisheries; Korea Polar Research Institute (KOPRI) - Ministry of Oceans and Fisheries</t>
  </si>
  <si>
    <t>This work was supported by Korea Polar Research Institute (KOPRI) grant funded by the Ministry of Oceans and Fisheries (KOPRI PE23110).</t>
  </si>
  <si>
    <t>2169-9275</t>
  </si>
  <si>
    <t>2169-9291</t>
  </si>
  <si>
    <t>J GEOPHYS RES-OCEANS</t>
  </si>
  <si>
    <t>J. Geophys. Res.-Oceans</t>
  </si>
  <si>
    <t>e2023JC020111</t>
  </si>
  <si>
    <t>10.1029/2023JC020111</t>
  </si>
  <si>
    <t>CW6T7</t>
  </si>
  <si>
    <t>WOS:001128317900001</t>
  </si>
  <si>
    <t>Kim, S; Yu, C; Lee, CL; Nam, S; Hong, JS</t>
  </si>
  <si>
    <t>Kim, Sungtae; Yu, Cheol; Lee, Chae-Lin; Nam, Sukhyun; Hong, Jae-Sang</t>
  </si>
  <si>
    <t>Population Characteristics of the Mud Shrimp Upogebia major (De Haan, 1841) (Decapoda: Gebiidea: Upogebiidae) on Korean Tidal Flats in the Eastern Yellow Sea</t>
  </si>
  <si>
    <t>JOURNAL OF MARINE SCIENCE AND ENGINEERING</t>
  </si>
  <si>
    <t>Eastern Yellow Sea; South Korea; life cycle; population dynamics; growth; reproduction</t>
  </si>
  <si>
    <t>BOPYRID ISOPOD PARASITE; THE-GREAT BAY; LIFE-HISTORY CHARACTERISTICS; PUSILLA PETAGNA DECAPODA; BURROWING SHRIMP; THALASSINIDEAN SHRIMPS; PEREGRINAMOR-OHSHIMAI; INTRODUCED PARASITE; ORTHIONE-GRIFFENIS; CRUSTACEA DECAPODA</t>
  </si>
  <si>
    <t>The population parameters of the ecologically important mud shrimp Upogebia major (De Haan, 1841) were analyzed from 2012 to 2015 in tidal flats in Seonjaedo and Jugyo on the west coast of Korea. The shrimp density averaged 265/m(2) in Seonjaedo and 118/m(2) in Jugyo. The sex ratio varied monthly, often male-biased, and, by size, males were significantly dominant, with a carapace length (CL) over 30 mm. Although the shrimp settled almost annually, only a single size-group was observed from 2012 to 2014. The recruitment in Jugyo in 2014 was notably successful, resulting in two cohorts persisting until 2015. Many shrimp were parasitized at varying local rates: 6.0% in Seonjaedo and 37.1% in Jugyo. The growth curves revealed that the shrimp grew annually after settlement, reaching CLs of 11.90, 18.24, and 23.02 mm in Seonjaedo and 13.73, 20.86, and 25.82 mm in Jugyo. Annual mortality was 77.2% in Seonjaedo and 67.4% in Jugyo. The estimated lifespan (t(max)) was 10 years in Seonjaedo and 8 years in Jugyo, whereas the 2010 cohort in Jugyo largely disappeared in 5 years. Ovigerous females appeared from November to June and benthic juveniles between June and September. The shrimps' growth was slower relative to other East Asian populations, likely due to colder sea water temperatures and altered food conditions from a higher shrimp density.</t>
  </si>
  <si>
    <t>[Kim, Sungtae; Hong, Jae-Sang] Inha Univ, Coll Nat Sci, Dept Ocean Sci, Incheon 22212, South Korea; [Kim, Sungtae; Lee, Chae-Lin; Hong, Jae-Sang] Korea Inst Coastal Ecol Inc KICE, Bucheon Si 14449, South Korea; [Yu, Cheol] Natl Marine Biodivers Inst Korea MABIK, Dept Biodivers, Seocheon 33662, South Korea; [Lee, Chae-Lin] Kyung Hee Univ, Dept Biol, Seoul 02447, South Korea; [Nam, Sukhyun] Korea Polar Res Inst KOPRI, Korea Antarctic Jang Bogo Stn Overwintering Team, Incheon 21990, South Korea</t>
  </si>
  <si>
    <t>Inha University; Kyung Hee University; Korea Polar Research Institute (KOPRI)</t>
  </si>
  <si>
    <t>Hong, JS (corresponding author), Inha Univ, Coll Nat Sci, Dept Ocean Sci, Incheon 22212, South Korea.;Hong, JS (corresponding author), Korea Inst Coastal Ecol Inc KICE, Bucheon Si 14449, South Korea.</t>
  </si>
  <si>
    <t>stkim@coastkorea.com; yfe@mabik.re.kr; blueseal@coastkorea.com; murikun@nate.com; jshong@inha.ac.kr</t>
  </si>
  <si>
    <t>Korean Ministry of Oceans and Fisheries [(2010-2012)]; Korea Ministry of Oceans and Fisheries through the Gyeong-gi-Incheon Sea Grant Center; Chungcheong Sea Grant Center [2030M00100]; National Marine Biodiversity Institute of Korea</t>
  </si>
  <si>
    <t>Korean Ministry of Oceans and Fisheries; Korea Ministry of Oceans and Fisheries through the Gyeong-gi-Incheon Sea Grant Center; Chungcheong Sea Grant Center; National Marine Biodiversity Institute of Korea</t>
  </si>
  <si>
    <t>The work reported in this publication was partly supported by the Korea Ministry of Oceans and Fisheries through the Gyeong-gi-Incheon Sea Grant Center (2010-2012) and the Chungcheong Sea Grant Center (2012-2014). Preparation of this manuscript was supported by the National Marine Biodiversity Institute of Korea (MABIK; 2030M00100). Our thanks also go to So-Hyuk Woo, Seokhyun Kim, and Yoo-Jun Kim for the support during field and laboratory works.</t>
  </si>
  <si>
    <t>2077-1312</t>
  </si>
  <si>
    <t>J MAR SCI ENG</t>
  </si>
  <si>
    <t>J. Mar. Sci. Eng.</t>
  </si>
  <si>
    <t>10.3390/jmse11122304</t>
  </si>
  <si>
    <t>Engineering, Marine; Engineering, Ocean; Oceanography</t>
  </si>
  <si>
    <t>Engineering; Oceanography</t>
  </si>
  <si>
    <t>DL7J5</t>
  </si>
  <si>
    <t>WOS:001132260900001</t>
  </si>
  <si>
    <t>Hocke, K</t>
  </si>
  <si>
    <t>Hocke, Klemens</t>
  </si>
  <si>
    <t>Influence of Sudden Stratospheric Warmings on the Migrating Diurnal Tide in the Equatorial Middle Atmosphere Observed by Aura/Microwave Limb Sounder</t>
  </si>
  <si>
    <t>ATMOSPHERE</t>
  </si>
  <si>
    <t>migrating diurnal tide; middle atmosphere; temperature; Aura/MLS; correlation; equator; semi-annual oscillation; annual oscillation; sudden stratospheric warming</t>
  </si>
  <si>
    <t>ANTARCTIC OZONE HOLE; MESOSPHERE; MODEL; WAVE</t>
  </si>
  <si>
    <t>The Microwave Limb Sounder (MLS) onboard the satellite Aura measures the temperature at 01:44 LST (after midnight) and at 13:44 LST after noon in the equatorial middle atmosphere. The signatures of the migrating solar diurnal tide (DW1) show up in the difference between the night-time and the daytime temperature profiles. We find a good agreement between the equatorial DW1 proxy of the Aura/MLS observations and the migrating diurnal tide estimated by the Global Scale Wave Model (GSWM) in March. The equatorial DW1 proxy is shown for the time interval from 2004 to 2021 reaching a temporal resolution of 1 day. The amplitude modulations of the DW1 proxy are correlated at several altitudes. There are indications of a semi-annual and annual oscillation (SAO and AO) of the DW1 proxy. The composite of 17 events of major sudden stratospheric warmings (SSWs) shows that the equatorial, mesospheric DW1 proxy is reduced by about 10% during the first week after the SSW event. The nodes and bellies of the equatorial DW1 proxy are shifted downward by about 1-2 km in the first week after the SSW. The 14 day-oscillation of the DW1 proxy in the equatorial mesosphere is enhanced from 25 days before the SSW onset to 5 days after the SSW onset.</t>
  </si>
  <si>
    <t>[Hocke, Klemens] Univ Bern, Inst Appl Phys, CH-3012 Bern, Switzerland; [Hocke, Klemens] Univ Bern, Oeschger Ctr Climate Change Res, CH-3012 Bern, Switzerland</t>
  </si>
  <si>
    <t>University of Bern; University of Bern</t>
  </si>
  <si>
    <t>Hocke, K (corresponding author), Univ Bern, Inst Appl Phys, CH-3012 Bern, Switzerland.;Hocke, K (corresponding author), Univ Bern, Oeschger Ctr Climate Change Res, CH-3012 Bern, Switzerland.</t>
  </si>
  <si>
    <t>klemens.hocke@unibe.ch</t>
  </si>
  <si>
    <t>University of Bern</t>
  </si>
  <si>
    <t>I thank the University of Bern for supporting the study. I thank the Aura/MLS team for their data and Maura Hagan for the GSWM model output. Gunter Stober and Witali Krochin are thanked for a valuable discussion. The three reviewers are thanked for their improvements of the study.</t>
  </si>
  <si>
    <t>2073-4433</t>
  </si>
  <si>
    <t>ATMOSPHERE-BASEL</t>
  </si>
  <si>
    <t>Atmosphere</t>
  </si>
  <si>
    <t>10.3390/atmos14121743</t>
  </si>
  <si>
    <t>DF1X0</t>
  </si>
  <si>
    <t>WOS:001130534300001</t>
  </si>
  <si>
    <t>Panova, GG; Teplyakov, AV; Novak, AB; Levinskikh, MA; Udalova, OR; Mirskaya, GV; Khomyakov, YV; Shved, DM; Ilyin, EA; Kuleshova, TE; Kanash, EV; Chesnokov, YV</t>
  </si>
  <si>
    <t>Panova, Gayane G.; Teplyakov, Andrey V.; Novak, Anatoliy B.; Levinskikh, Margarita A.; Udalova, Olga R.; Mirskaya, Galina V.; Khomyakov, Yuriy V.; Shved, Dmitry M.; Ilyin, Evgeniy A.; Kuleshova, Tatiana E.; Kanash, Elena V.; Chesnokov, Yuriy V.</t>
  </si>
  <si>
    <t>Growth and Development of Leaf Vegetable Crops under Conditions of the Phytotechnical Complex in Antarctica</t>
  </si>
  <si>
    <t>AGRONOMY-BASEL</t>
  </si>
  <si>
    <t>Antarctic station Vostok; AFI agrobiopolygon; plant growing light equipment; thin-layer panoponics; leafy vegetable; genotype-environment interaction; plant production; yield; quality</t>
  </si>
  <si>
    <t>Ensuring the technical and technological possibility of regularly obtaining fresh, high-quality plant production in Antarctic stations is an urgent task of our time. This work is devoted to studying the growth and development of leaf vegetable crops and the main quality indicators of their edible parts when grown in the phytotechnical complex greenhouses at the Vostok Antarctic station and at the agrobiopolygon of the Agrophysical Research Institute (AFI). The plants, belonging to 13 varieties of 9 types of leaf vegetable crops (arugula, garden cress, cabbage, mustard, leaf radish, leaf lettuce, amaranth, dill, parsley leaf), were studied during five growing seasons at the Vostok station and at the AFI agrobiopolygon under controlled conditions (control). The experimental data obtained demonstrate the high productivity of the phytotechnical complex for most of the investigated crops per unit of useful area, with lower costs of electricity and water consumption per unit of production compared with a number of greenhouses at foreign Antarctic stations and greenhouse complexes with controlled conditions located on other continents. Lettuce crops were the most adapted to the growing conditions at the Antarctic station Vostok. They did not differ in their evaluated characteristics from the control. All other investigated crops, while not differing in their development rate and quality, had statistically significant (16-61%) decreases in their yield per 1 m2 per year. This may demonstrate the difference in the genotype-environment interaction in plants grown at the Antarctic station and AFI agrobiopolygon, probably due to the different barometric pressure and partial pressure of oxygen at the two locations. The positive psychological effects of the greenhouses were identified along with nutritional and other qualities of the plants.</t>
  </si>
  <si>
    <t>[Panova, Gayane G.; Udalova, Olga R.; Mirskaya, Galina V.; Khomyakov, Yuriy V.; Kuleshova, Tatiana E.; Kanash, Elena V.; Chesnokov, Yuriy V.] Agrophys Res Inst AFI, St Petersburg 195220, Russia; [Teplyakov, Andrey V.; Novak, Anatoliy B.] Arctic &amp; Antarctic Res Inst AARI, St Petersburg 199397, Russia; [Levinskikh, Margarita A.; Shved, Dmitry M.; Ilyin, Evgeniy A.] Inst Biomed Problems IBMP, Moscow 123007, Russia</t>
  </si>
  <si>
    <t>Agrophysics Research Institute; Arctic &amp; Antarctic Research Institute; Russian Academy of Sciences; Institute of Biomedical Problems of the Russian Academy of Sciences</t>
  </si>
  <si>
    <t>Panova, GG (corresponding author), Agrophys Res Inst AFI, St Petersburg 195220, Russia.</t>
  </si>
  <si>
    <t>gaiane@inbox.ru; andrey-valerjevich@ya.ru; ntolich@mail.ru; ritalev@imbp.ru; udal59@inbox.ru; galinanm@gmail.com; himlabafi@yandex.ru; d.shved84@gmail.com; pag_as@mail.ru; www.piter.ru@bk.ru; ykanash@yandex.ru; yuv_chesnokov@agrophys.ru</t>
  </si>
  <si>
    <t>Panova, Gayane/AAN-6594-2020; Shved, Dmitry/B-8582-2016; Shved, Dmitry/IST-6919-2023; Chesnokov, Yuriy/AAN-1834-2021; Panova, Gayane/F-5002-2014; Kanash, Elena/B-7136-2017; Kuleshova, Tatiana/P-9213-2017</t>
  </si>
  <si>
    <t>Panova, Gayane/0000-0002-1132-9915; Shved, Dmitry/0000-0002-2973-2155; Chesnokov, Yuriy/0000-0002-1134-0292; Kuleshova, Tatiana/0000-0003-3802-2494</t>
  </si>
  <si>
    <t>AFI</t>
  </si>
  <si>
    <t>We express our deep gratitude to the direction of the AARI, IBMP, and AFI for the opportunity to implement the project for the creation of a phytotechnical greenhouse complex and its testing at the Vostok Russian Antarctic station simultaneously with that at the AFI agrobiopolygon, as well as to all the engineers and industrial partners who took part in the development and/or manufacture of the phytotechnical complex greenhouse.</t>
  </si>
  <si>
    <t>2073-4395</t>
  </si>
  <si>
    <t>Agronomy-Basel</t>
  </si>
  <si>
    <t>10.3390/agronomy13123038</t>
  </si>
  <si>
    <t>Agronomy; Plant Sciences</t>
  </si>
  <si>
    <t>Agriculture; Plant Sciences</t>
  </si>
  <si>
    <t>DH4F2</t>
  </si>
  <si>
    <t>WOS:001131117800001</t>
  </si>
  <si>
    <t>Tian, HA; van Manen, M; Bunnell, ZB; Jung, JY; Lee, SH; Kim, TW; Reichart, GJ; Conway, TM; Middag, R</t>
  </si>
  <si>
    <t>Tian, Hung-An; van Manen, Mathijs; Bunnell, Zach B.; Jung, Jinyoung; Lee, Sang Hoon; Kim, Tae-Wan; Reichart, Gert-Jan; Conway, Tim M.; Middag, Rob</t>
  </si>
  <si>
    <t>Biogeochemistry of iron in coastal Antarctica: isotopic insights for external sources and biological uptake in the Amundsen Sea polynyas</t>
  </si>
  <si>
    <t>GEOTRACES; Trace metals; Isotopic compositions; Biogeochemistry</t>
  </si>
  <si>
    <t>PINE ISLAND GLACIER; DISSOLVED IRON; PHYTOPLANKTON BLOOMS; DRAKE PASSAGE; CONTINENTAL-MARGIN; OCEAN CIRCULATION; TRACE-METALS; ICE SHELVES; DEEP-WATER; FE</t>
  </si>
  <si>
    <t>Seasonal phytoplankton blooms in the Antarctic Amundsen Sea Polynyas are thought to be supported by an external supply of iron (Fe) from circumpolar deep waters, benthic sediments, and/or ice shelf meltwaters. However, largely due to the limited amount of Fe data reported for the Amundsen Sea Polynyas, understanding of the sources and processes that affect the biogeochemistry of Fe in this region (notably within the ice shelf system) remains limited. Here, we present the first investigation of dissolved Fe isotope distributions (856Fe) along the conveyer belt of waters into and through the Amundsen Sea, via the Dotson Ice Shelf, from samples collected during austral summer (2017-2018). Our dataset allows us to characterize and compare the dissolved 856Fe signatures of incoming modified Circumpolar Deep Water (mCDW) and of sedimentary sources on the continental shelf. The range in dissolved 856Fe (-1 to +0.1 %o) observed in the Amundsen Sea close to the seafloor, coupled with elevated dissolved Fe concentrations (up to 1.6 nmol/L), suggests that Fe is released from shelf sediments via a combination of reductive and non-reductive processes, with non-reductive dissolution input being relatively more important (20-56 %) than reductive dissolution (4-12 %). Near the Dotson Ice Shelf, the 856Fe in the mCDW inflow (-0.70 %o) was lower than the mCDW outflow (-0.23 %o), whereas any change in dissolved Fe concentrations was negligible. We speculate that this shift in dissolved 856Fe underneath the ice shelf is driven by a combination of enhanced preservation (and addition) of lithogenic colloidal Fe(III) and/or complexation with Fe-binding ligands, together with a differential loss of Fe2+. We also found distinct 856Fe signatures in surface waters of the polynya, with apparent preferential uptake of isotopically light Fe in a bloom dominated by diatoms leading to a relatively heavy remnant dissolved 856Fe signature of +1.06 %o, compared to a bloom dominated by haptophytes where more modest and variable isotope fractionation was observed. The different isotopic composition between the two regions could be related to the dominance of different species, but this remains speculative. Despite prominent biological uptake, we suggest that other factors such as rapid recycling (e.g., adsorption and regeneration), bacterial regeneration, and complexation with organic ligands, together with the supply of lithogenic particles also play important roles in setting surface dissolved 856Fe in the Amundsen Sea Polynyas. Overall, this study provides a further understanding of the external Fe sources and the biogeochemical processes in the Amundsen Sea and thus a baseline on how changing conditions in Antarctica can affect Fe cycling in the Southern Ocean and beyond.</t>
  </si>
  <si>
    <t>[Tian, Hung-An; van Manen, Mathijs; Reichart, Gert-Jan; Middag, Rob] NIOZ Royal Netherland Inst Sea Res, Dept Ocean Syst, POB 59, NL-1790 AB Den Burg, Netherlands; [Bunnell, Zach B.; Conway, Tim M.] Univ South Florida St Petersburg, Coll Marine Sci, St Petersburg, FL 33701 USA; [Jung, Jinyoung; Lee, Sang Hoon; Kim, Tae-Wan] Korea Polar Res Inst, 26 Songdomirae Ro, Incheon 21990, South Korea; [Reichart, Gert-Jan] Univ Utrecht, Fac Geosci, NL-3584 CB Utrecht, Netherlands; [Middag, Rob] Univ Groningen, Ctr Isotope Res CIO Oceans, POB 72, NL-9700 AB Groningen, Netherlands</t>
  </si>
  <si>
    <t>Utrecht University; Royal Netherlands Institute for Sea Research (NIOZ); State University System of Florida; University of South Florida; Korea Polar Research Institute (KOPRI); Utrecht University; University of Groningen</t>
  </si>
  <si>
    <t>Tian, HA; Middag, R (corresponding author), NIOZ Royal Netherland Inst Sea Res, Dept Ocean Syst, POB 59, NL-1790 AB Den Burg, Netherlands.;Middag, R (corresponding author), Univ Groningen, Ctr Isotope Res CIO Oceans, POB 72, NL-9700 AB Groningen, Netherlands.</t>
  </si>
  <si>
    <t>hung-an.tian@nioz.nl; rob.middag@nioz.nl</t>
  </si>
  <si>
    <t>Kim, Tae-Wan/JGM-9981-2023; Reichart, Gert-Jan/N-6308-2018; Middag, Rob/D-6423-2013</t>
  </si>
  <si>
    <t>Kim, Tae-Wan/0000-0001-5257-7256; Tian, Hung-An/0000-0001-5778-5273; Reichart, Gert-Jan/0000-0002-7256-2243; Conway, Tim/0000-0002-3069-9786; Middag, Rob/0000-0002-3326-530X</t>
  </si>
  <si>
    <t>Dutch Research Council (NWO) [ALWPP.2016.020]; U.S. National Science Foundation [OCE2123354]; Scientific Committee on Oceanic Research (SCOR) [OCE-1840868]; Korea Polar Research Institute (KOPRI) [PE21110]</t>
  </si>
  <si>
    <t>Dutch Research Council (NWO)(Netherlands Organization for Scientific Research (NWO)); U.S. National Science Foundation(National Science Foundation (NSF)); Scientific Committee on Oceanic Research (SCOR); Korea Polar Research Institute (KOPRI)(Korea Polar Research Institute of Marine Research Placement (KOPRI))</t>
  </si>
  <si>
    <t>This work was supported by the Dutch Research Council (NWO) (grant number: ALWPP.2016.020 toRM) , the U.S. National Science Foundation (Award OCE2123354 to TMC) , and Scientific Committee on Oceanic Research (SCOR, grant number: OCE-1840868) . We thank the captain and the crew of the R/V Araon, as well as all the scientists on board, for their assistance and support during the expedition ANA08B (project number: PE21110) with the R/V Araon provided by the Korea Polar Research Institute (KOPRI) . We also thank Matthias Sieber and Ethan Goddard from the College of Marine Science, University of South Florida, the USA, for the assistance with MC-ICP-MS analysis, as well as Sven Ober and colleagues from NIOZ National Marine Facilities (NMF) for the preparation of Titan CTD and other facilities used during this expedition. Piet ter Schure and his team from DMT Marine Equipment are acknowledged for their great help with the winch setup for the Titan sampling system used on R/V Araon.</t>
  </si>
  <si>
    <t>10.1016/j.gca.2023.10.029</t>
  </si>
  <si>
    <t>CX2A5</t>
  </si>
  <si>
    <t>WOS:001128455000001</t>
  </si>
  <si>
    <t>Xie, CY; Wei, HY; Wang, Y</t>
  </si>
  <si>
    <t>Xie, Chenyue; Wei, Huaiyu; Wang, Yan</t>
  </si>
  <si>
    <t>Bathymetry-Aware Mesoscale Eddy Parameterizations across Upwelling Slope Fronts: A Machine Learning-Augmented Approach</t>
  </si>
  <si>
    <t>JOURNAL OF PHYSICAL OCEANOGRAPHY</t>
  </si>
  <si>
    <t>Mesoscale processes; Neural networks; Ocean models; Parameterization; Primitive equations model; Continental shelf/slope</t>
  </si>
  <si>
    <t>ANTARCTIC CIRCUMPOLAR CURRENT; BAROCLINIC INSTABILITY; ENERGETICALLY CONSISTENT; BETA-PLANE; OCEAN; CIRCULATION; EDDIES; MODEL; TRANSPORT; DRIVEN</t>
  </si>
  <si>
    <t>Mesoscale eddy buoyancy fluxes across continental slopes profoundly modulate the boundary current dy-namics and shelf-ocean exchanges but have yet to be appropriately parameterized via the Gent-McWilliams (GM) scheme in predictive ocean models. In this work, we test the prognostic performance of multiple GM variants in noneddying simulations of upwelling slope fronts that are commonly found along the subtropical continental margins. The tested GM variants range from a set of constant eddy buoyancy diffusivities to recently developed energetically constrained, bathymetry-aware diffusivities, whose implementation is augmented by an artificial neural network (ANN) serving to predict the mesoscale eddy energy based on the topographic and mean flow quantities online. In addition, an ANN is employed to parameterize the cross-slope eddy momentum flux (EMF) that maintains a barotropic flow field analogous to that in an eddy-resolving model. Our tests reveal that noneddying simulations employing the bathymetry-aware forms of the Rhines scale-based scheme and GEOMETRIC scheme can most accurately reproduce the heat contents and along-slope baroclinic transports as those in the eddy-resolving simulations. Further analyses reveal certain degrees of physical consistency in the ANN-inferred eddy energy, which tends to grow (decay) as isopycnal slopes are steepened (flattened), and in the parameterized EMF, which exhibits the correct strength of shaping the flow baroclinicity if a bathymetry-aware GM variant is jointly used. These findings provide a rec-ipe of GM variants for use in noneddying simulations with continental slopes and highlight the potential of machine learning techniques to augment physics-based mesoscale eddy parameterization schemes.</t>
  </si>
  <si>
    <t>[Xie, Chenyue; Wei, Huaiyu; Wang, Yan] Hong Kong Univ Sci &amp; Technol, Dept Ocean Sci, Hong Kong, Peoples R China; [Wang, Yan] Hong Kong Univ Sci &amp; Technol, Ocean Res Hong Kong &amp; Macau, Hong Kong, Peoples R China</t>
  </si>
  <si>
    <t>Hong Kong University of Science &amp; Technology; Hong Kong University of Science &amp; Technology</t>
  </si>
  <si>
    <t>Wang, Y (corresponding author), Hong Kong Univ Sci &amp; Technol, Dept Ocean Sci, Hong Kong, Peoples R China.;Wang, Y (corresponding author), Hong Kong Univ Sci &amp; Technol, Ocean Res Hong Kong &amp; Macau, Hong Kong, Peoples R China.</t>
  </si>
  <si>
    <t>yanwang@ust.hk</t>
  </si>
  <si>
    <t>Research Grants Council of Hong Kong [ECS26307720, GRF16305321]; Center for Ocean Research (CORE); QNLM; HKUST</t>
  </si>
  <si>
    <t>Research Grants Council of Hong Kong(Hong Kong Research Grants Council); Center for Ocean Research (CORE); QNLM; HKUST</t>
  </si>
  <si>
    <t>We thank Andrew L. Stewart and Hailu Kong for helpful discussions. The authors also thank Sylvia Cole, Elizabeth Yankovsky, and an anonymous reviewer for comments that greatly improved this article. This work is supported by the Research Grants Council of Hong Kong (ECS26307720 and GRF16305321), and the Center for Ocean Research (CORE), a joint research center between QNLM and HKUST.</t>
  </si>
  <si>
    <t>0022-3670</t>
  </si>
  <si>
    <t>1520-0485</t>
  </si>
  <si>
    <t>J PHYS OCEANOGR</t>
  </si>
  <si>
    <t>J. Phys. Oceanogr.</t>
  </si>
  <si>
    <t>10.1175/JPO-D-23-0017.1</t>
  </si>
  <si>
    <t>CB6D9</t>
  </si>
  <si>
    <t>WOS:001122821800002</t>
  </si>
  <si>
    <t>Toole, JM; Musgrave, RC; Fine, EC; Steinberg, JM; Krishfield, RA</t>
  </si>
  <si>
    <t>Toole, John m.; Musgrave, Ruth c.; Fine, Elizabeth c.; Steinberg, Jacob m.; Krishfield, Richard a.</t>
  </si>
  <si>
    <t>On the Vertical Structure of Deep-Ocean Subinertial Variability</t>
  </si>
  <si>
    <t>Mesoscale processes; Planetary waves; Empirical orthogonal functions</t>
  </si>
  <si>
    <t>ANTARCTIC CIRCUMPOLAR CURRENT; MESOSCALE; ATLANTIC; FRONTS; EDDIES; MOTION; MODES</t>
  </si>
  <si>
    <t>The vertical structure of subinertial variability is examined using full-depth horizontal velocity and vertical isopycnal displacement observations derived from the Ocean Observatory Initiative (OOI). Vertical profiles on time scales between 100 h and 1 yr or longer are characterized through empirical orthogonal function decomposition and qualitatively compared with theoretical modal predictions for the cases of flat, sloping, and rough bathymetry. OOI observations were obtained from mooring clusters at four deep-ocean sites: Argentine Basin, Southern Ocean, Station Papa, and Irminger Sea. Because no single OOI mooring in these arrays provides temperature, salinity, and horizontal velocity information over the full water column, sensor observations from two or more moorings are combined. Depths greater than -150-300 m were sampled by McLane moored profilers; in three of the four cases, two profilers were utilized on the moorings. Because of instrument failures on the deployments examined here, only -2 yr of full-ocean-depth observations are available from three of the four sites and some 31 yr from the other. Results from the OOI global sites are contrasted with a parallel analysis of 3.5 yr of observations about the axis of the Gulf Stream where much of the subinertial variability is associated with stream meandering past the moorings. Looking across the observations, no universal vertical structure is found that characterizes the subinertial variability at the five sites examined; regional bathymetry, stratification, baroclinicity, nonlinearity, and the forcing (both local and remote) likely all play a role in shaping the vertical structure of the subinertial variability in individual ocean regions.</t>
  </si>
  <si>
    <t>[Toole, John m.; Steinberg, Jacob m.; Krishfield, Richard a.] Woods Hole Oceanog Inst, Woods Hole, MA 02543 USA; [Musgrave, Ruth c.] Dalhousie Univ, Halifax, NS, Canada; [Fine, Elizabeth c.] Scripps Inst Oceanog, La Jolla, CA USA</t>
  </si>
  <si>
    <t>Woods Hole Oceanographic Institution; Dalhousie University; University of California System; University of California San Diego; Scripps Institution of Oceanography</t>
  </si>
  <si>
    <t>Toole, JM (corresponding author), Woods Hole Oceanog Inst, Woods Hole, MA 02543 USA.</t>
  </si>
  <si>
    <t>jtoole@whoi.edu</t>
  </si>
  <si>
    <t>Steinberg, Jacob/JYK-1584-2024</t>
  </si>
  <si>
    <t>Steinberg, Jacob/0000-0002-2609-6405</t>
  </si>
  <si>
    <t>National Science Foundation; Ocean Observatories Initiative - National Science Foundation</t>
  </si>
  <si>
    <t>National Science Foundation(National Science Foundation (NSF)); Ocean Observatories Initiative - National Science Foundation</t>
  </si>
  <si>
    <t>This research was supported by a grant from the National Science Foundation. This material is based in part upon work supported by the Ocean Observatories Initiative, which is a major facility fully funded by the National Science Foundation. The authors thank Shane Elipot, an anonymous reviewer, Joseph Lacasce, and Kenneth Brink for comments and suggestions on earlier drafts.</t>
  </si>
  <si>
    <t>10.1175/JPO-D-23-0011.1</t>
  </si>
  <si>
    <t>WOS:001122821800001</t>
  </si>
  <si>
    <t>Noël, B; van Wessem, JM; Wouters, B; Trusel, L; Lhermitte, S; van den Broeke, MR</t>
  </si>
  <si>
    <t>Noel, Brice; van Wessem, J. Melchior; Wouters, Bert; Trusel, Luke; Lhermitte, Stef; van den Broeke, Michiel R.</t>
  </si>
  <si>
    <t>Higher Antarctic ice sheet accumulation and surface melt rates revealed at 2 km resolution</t>
  </si>
  <si>
    <t>MASS-BALANCE; ELEVATION MODEL; CLIMATE MODEL; MELTWATER; DATASET; IMPACT</t>
  </si>
  <si>
    <t>Antarctic ice sheet (AIS) mass loss is predominantly driven by increased solid ice discharge, but its variability is governed by surface processes. Snowfall fluctuations control the surface mass balance (SMB) of the grounded AIS, while meltwater ponding can trigger ice shelf collapse potentially accelerating discharge. Surface processes are essential to quantify AIS mass change, but remain poorly represented in climate models typically running at 25-100 km resolution. Here we present SMB and surface melt products statistically downscaled to 2 km resolution for the contemporary climate (1979-2021) and low, moderate and high-end warming scenarios until 2100. We show that statistical downscaling modestly enhances contemporary SMB (3%), which is sufficient to reconcile modelled and satellite mass change. Furthermore, melt strongly increases (46%), notably near the grounding line, in better agreement with in-situ and satellite records. The melt increase persists by 2100 in all warming scenarios, revealing higher surface melt rates than previously estimated. High-resolution 2-km Antarctic maps reveal higher snowfall and surface melt than low-resolution products, reconciling satellite-observed ice sheet mass change. Projected higher surface melt near grounding lines threatens future ice shelf stability.</t>
  </si>
  <si>
    <t>[Noel, Brice] Univ Liege, Lab Climatol &amp; Topoclimatol, Liege, Belgium; [Noel, Brice; van Wessem, J. Melchior; van den Broeke, Michiel R.] Univ Utrecht, Inst Marine &amp; Atmospher Res Utrecht, Utrecht, Netherlands; [Wouters, Bert; Lhermitte, Stef] Delft Univ Technol, Dept Geosci &amp; Remote Sensing, Delft, Netherlands; [Trusel, Luke] Penn State Univ, Dept Geog, University Pk, PA USA; [Lhermitte, Stef] Katholieke Univ Leuven, Dept Earth &amp; Environm Sci, Leuven, Belgium</t>
  </si>
  <si>
    <t>University of Liege; Utrecht University; Delft University of Technology; Pennsylvania Commonwealth System of Higher Education (PCSHE); Pennsylvania State University; Pennsylvania State University - University Park; KU Leuven</t>
  </si>
  <si>
    <t>Noël, B (corresponding author), Univ Liege, Lab Climatol &amp; Topoclimatol, Liege, Belgium.;Noël, B (corresponding author), Univ Utrecht, Inst Marine &amp; Atmospher Res Utrecht, Utrecht, Netherlands.</t>
  </si>
  <si>
    <t>bnoel@uliege.be</t>
  </si>
  <si>
    <t>Lhermitte, Stef (Stefaan)/A-3385-2013; van den Broeke, Michiel Roland/F-7867-2011; Wouters, Bert/A-5301-2017</t>
  </si>
  <si>
    <t>Lhermitte, Stef (Stefaan)/0000-0002-1622-0177; van den Broeke, Michiel Roland/0000-0003-4662-7565; Wouters, Bert/0000-0002-1086-2435; Trusel, Luke/0000-0002-7792-6173</t>
  </si>
  <si>
    <t>Fonds de la Recherche Scientifique de Belgique (F.R.S.-FNRS) [869304, 77]; Fonds de la Recherche Scientifique de Belgique (F.R.S.-FNRS) - European Union; Netherlands Earth System Science Centre (NESSC)</t>
  </si>
  <si>
    <t>Fonds de la Recherche Scientifique de Belgique (F.R.S.-FNRS)(Fonds de la Recherche Scientifique - FNRS); Fonds de la Recherche Scientifique de Belgique (F.R.S.-FNRS) - European Union(Fonds de la Recherche Scientifique - FNRS); Netherlands Earth System Science Centre (NESSC)</t>
  </si>
  <si>
    <t>B.N. was funded by the Fonds de la Recherche Scientifique de Belgique (F.R.S.-FNRS). This publication was supported by the project PROTECT funded by the European Union's Horizon 2020 research and innovation programme under grant agreement No. 869304, PROTECT contribution number 77. M.R.v.d.B. acknowledges support from the Netherlands Earth System Science Centre (NESSC).</t>
  </si>
  <si>
    <t>10.1038/s41467-023-43584-6</t>
  </si>
  <si>
    <t>Z6WG1</t>
  </si>
  <si>
    <t>WOS:001113452500009</t>
  </si>
  <si>
    <t>Ison, S; Cvitanovic, C; Pecl, G; Hobday, AJ; van Putten, I</t>
  </si>
  <si>
    <t>Ison, Sierra; Cvitanovic, Christopher; Pecl, Gretta; Hobday, Alistair J.; van Putten, Ingrid</t>
  </si>
  <si>
    <t>The role of visual framing in marine conservation communication</t>
  </si>
  <si>
    <t>Behavioural intentions conservation; communication; Marine conservation; Social media; Visual framing</t>
  </si>
  <si>
    <t>PRO-ENVIRONMENTAL BEHAVIOR; CLIMATE-CHANGE IMAGERY; SOCIAL MEDIA; SCIENCE; POLICY; INFORMATION; EMOTIONS; BIODIVERSITY; ENGAGEMENT; EFFICACY</t>
  </si>
  <si>
    <t>Marine conservation programs face significant challenges engaging different audiences to participate in conservation actions. While it is understood that images can play a crucial role in shaping people's behaviours, in the context of marine conservation, research has focused on the effect of words. We know little about the effect of images on influencing people's intentions. Thus, there is scant guidance for marine conservation programs wanting to use images to improve communication and engagement strategies. This study addresses this gap by assessing how images are used in social media in Australian turtle conservation programs. Specifically, using visual framing analysis and online surveys, we assessed whether images of conservation actions or conservation threats increase participants emotions, self-efficacy, and intentions to engage in pro-conservation behaviours, using flatback turtles as a case study. We find that 1) images of animals are commonly used on social media, with certain types of images (e.g. landscapes, conservation actions) generating higher user engagement; 2) images on Twitter and Instagram generated higher user engagement than on Facebook; 3) images of conservation actions increased feelings of hope and self-efficacy, while images of conservation threats increased feelings of fear and reduced self-efficacy; and 4) feelings of self-efficacy increased participants' intentions to support low-effort conservation actions. Results suggest that the types of images posted on social media can influence viewers' emotions and intentions to engage in pro-conservation behaviours. Our findings provide guidance for conservation programs and managers to develop improved communication and engagement strategies through visual media.</t>
  </si>
  <si>
    <t>[Ison, Sierra; Cvitanovic, Christopher; Pecl, Gretta; Hobday, Alistair J.; van Putten, Ingrid] Univ Tasmania, Ctr Marine Socioecol, Hobart, Tas, Australia; [Ison, Sierra; Hobday, Alistair J.; van Putten, Ingrid] CSIRO Environm, Hobart, Tas, Australia; [Ison, Sierra; Pecl, Gretta] Univ Tasmania, Inst Marine &amp; Antarctic Studies, Hobart, Tas, Australia; [Cvitanovic, Christopher] Univ New South Wales, Sch Business, Canberra, ACT, Australia</t>
  </si>
  <si>
    <t>University of Tasmania; University of Tasmania; University of New South Wales Sydney</t>
  </si>
  <si>
    <t>Ison, S (corresponding author), Univ Tasmania, Ctr Marine Socioecol, Hobart, Tas, Australia.</t>
  </si>
  <si>
    <t>sierra.ison@utas.edu.au</t>
  </si>
  <si>
    <t>Commonwealth Scientific and Industrial Research Organisation; Future Fellowship</t>
  </si>
  <si>
    <t>Commonwealth Scientific and Industrial Research Organisation(Commonwealth Scientific &amp; Industrial Research Organisation (CSIRO)); Future Fellowship(Australian Research Council)</t>
  </si>
  <si>
    <t>GTP was supported by a Future Fellowship; and the Commonwealth Scientific and Industrial Research Organisation.</t>
  </si>
  <si>
    <t>10.1016/j.ocecoaman.2023.106938</t>
  </si>
  <si>
    <t>CY0B1</t>
  </si>
  <si>
    <t>WOS:001128664200001</t>
  </si>
  <si>
    <t>Li, XQ; He, HL</t>
  </si>
  <si>
    <t>Li, Xueqi; He, Hailun</t>
  </si>
  <si>
    <t>Inter-Comparison of Satellite-Based Sea Ice Concentration in the Amundsen Sea, Antarctica</t>
  </si>
  <si>
    <t>sea ice concentration; Amundsen Sea; polynya</t>
  </si>
  <si>
    <t>AMSR-E; SURFACE TEMPERATURE; SOUTHERN-OCEAN; TIME-SERIES; VARIABILITY; SSM/I; WATER</t>
  </si>
  <si>
    <t>We conducted a comparison of sea ice concentration (SIC) in the Amundsen Sea using three satellite datasets: Hadley Centre's sea ice and sea surface temperature (HadISST1), Operational Sea Surface Temperature and Ice Analysis (OSTIA), and Advanced Microwave Scanning Radiometer 2 (AMSR2). HadISST1 has the longest time period, while AMSR2 has the shortest. In terms of grid resolution, HadISST1 has the coarsest resolution, while AMSR2 has the finest. The sea ice areas (SIAs) observed in HadISST1, OSTIA, and AMSR2 are similar. We studied the decadal variations in SICs by dividing the study period into four temporal segments. We investigated the differences between HadISST1 and OSTIA for each temporal segment. HadISST1 exhibited a more pronounced positive trend compared to OSTIA between 2005 and 2010. Additionally, we compared the interannual and seasonal variations in SICs between HadISST1 and OSTIA. Lastly, it should be noted that the Amundsen Sea polynya area varies across all three datasets.</t>
  </si>
  <si>
    <t>[Li, Xueqi; He, Hailun] Minist Nat Resources, Inst Oceanog 2, State Key Lab Satellite Ocean Environm Dynam, Hangzhou 310012, Peoples R China; [He, Hailun] Southern Marine Sci &amp; Engn Guangdong Lab Zhuhai, Zhuhai 519082, Peoples R China</t>
  </si>
  <si>
    <t>Ministry of Natural Resources of the People's Republic of China; Southern Marine Science &amp; Engineering Guangdong Laboratory; Southern Marine Science &amp; Engineering Guangdong Laboratory (Zhuhai)</t>
  </si>
  <si>
    <t>He, HL (corresponding author), Minist Nat Resources, Inst Oceanog 2, State Key Lab Satellite Ocean Environm Dynam, Hangzhou 310012, Peoples R China.;He, HL (corresponding author), Southern Marine Sci &amp; Engn Guangdong Lab Zhuhai, Zhuhai 519082, Peoples R China.</t>
  </si>
  <si>
    <t>lixq@sio.org.cn; hehailun@sio.org.cn</t>
  </si>
  <si>
    <t>He, Hailun/L-4424-2018</t>
  </si>
  <si>
    <t>He, Hailun/0000-0003-0690-6252</t>
  </si>
  <si>
    <t>Impact and Response of Antarctic Seas to Climate Change (IRASCC) Project</t>
  </si>
  <si>
    <t>We thank the three anonymous reviewers for their constructive suggestions and comments.</t>
  </si>
  <si>
    <t>10.3390/rs15245695</t>
  </si>
  <si>
    <t>EA9D2</t>
  </si>
  <si>
    <t>WOS:001136291200001</t>
  </si>
  <si>
    <t>Barrows, FT; Campbell, KB; Gaylord, TG; Sanchez, RCM; Castillo, SA; Mclean, E</t>
  </si>
  <si>
    <t>Barrows, Frederick T.; Campbell, Kelly B.; Gaylord, T. Gibson; Sanchez, Rodrigo C. M.; Castillo, Sergio A.; Mclean, Ewen</t>
  </si>
  <si>
    <t>Influence of Krill Meal on the Performance of Post-Smolt Atlantic Salmon That Are Fed Plant-Based and Animal-Based Fishmeal and Fish Oil-Free Diets</t>
  </si>
  <si>
    <t>FISHES</t>
  </si>
  <si>
    <t>Salmo salar; poultry by-product; algal oil; soybean concentrate; corn concentrate; krill replacement</t>
  </si>
  <si>
    <t>TROUT ONCORHYNCHUS-MYKISS; BY-PRODUCT MEAL; EUPHAUSIA-SUPERBA MEAL; FATTY-ACID-COMPOSITION; SALAR FED DIETS; RAINBOW-TROUT; GROWTH-PERFORMANCE; ANTARCTIC KRILL; CHEMICAL-COMPOSITION; SCHIZOCHYTRIUM SP</t>
  </si>
  <si>
    <t>The purpose of this study was to determine the influence of krill meal (KM) inclusion at various levels (0%, 2.5%, 5%) in plant-based and animal-based feeds, that were fishmeal (FM) and fish oil (FO) free, on Atlantic salmon growth. A FM/FO feed containing 0% KM was the control. Using a 2 x 3 factorial approach, diets were randomly assigned to one of 28 0.5 m(3) flow-through tanks (n = 4 tanks per diet) initially stocked with 60 fish (148.4 +/- 12.9 g; 23.6 +/- 0.8 cm; condition factor (K) = 1.16 +/- 0.08) each. Salmon were fed for 90 days using automatic feeders ad libitum. On day 45, stocking densities were reduced to 45 fish per tank by the random removal of 15 individuals to remove any potential of density affecting growth through the trial end. Water temperature, oxygen saturation, pH, and salinity throughout the trial were 11.8 degrees C, 103.5%, 7.38, and 32.0 g L-1, respectively. Fish fed plant-based feed without KM were lighter (p &lt; 0.05) than all other groups at day 45 and 90, but those fed a plant-based feed with KM had comparable growth and feed intake compared to that of fish fed the control diet. Irrespective of the presence of KM, animal-based feeds achieved comparable weight growth (p &gt; 0.05) to the control and 5% KM plant-based groups, with KM increasing feed intake (p &lt; 0.05). Between day 45 and 90, feed conversion ratios increased in all groups except the control and 0% KM plant-based group, while specific growth rates (SGRs) decreased for all except the 0% KM plant-based diet. Between-group differences (p &lt; 0.05) were also noted for the thermal growth coefficient. No differences were recorded in visceral or intestinal weight, and whole-body lipid levels were identical, proportional for all groups. Although differences (p &lt; 0.05) were apparent in the concentrations of individual fillet fatty acids between groups, a 75 g serving size of any treatment would be sufficient to exceed daily intake recommendations for EPA + DHA. This trial determined that benefit, in terms of feed intake and growth performance, was gained when KM was added to plant-based feeds. However, no such advantage was observed when KM was used with animal-based feeds.</t>
  </si>
  <si>
    <t>[Barrows, Frederick T.] Aquat Feed Technol LLC, 48 West Plaza Lago, Islamorada, FL 33036 USA; [Campbell, Kelly B.] Anthropocene Inst, 855 Camino Real,Ste 13A N399, Palo Alto, CA 94301 USA; [Gaylord, T. Gibson] Bozeman Fish Technol Ctr, United States Fish &amp; Wildlife Serv, 4050 Bridger Canyon Rd, Bozeman, MT 59715 USA; [Sanchez, Rodrigo C. M.; Castillo, Sergio A.] Ctr Expt Acuicola Vitapro Chile, Carretera Austral km 23-8, Puerto Montt, Chile; [Mclean, Ewen] Aqua Cognoscenti LLC, 479 Henslowe Lane, W Columbia, SC 29170 USA</t>
  </si>
  <si>
    <t>United States Department of the Interior; US Fish &amp; Wildlife Service</t>
  </si>
  <si>
    <t>Barrows, FT (corresponding author), Aquat Feed Technol LLC, 48 West Plaza Lago, Islamorada, FL 33036 USA.;Mclean, E (corresponding author), Aqua Cognoscenti LLC, 479 Henslowe Lane, W Columbia, SC 29170 USA.</t>
  </si>
  <si>
    <t>ftbarrows@gmail.com; kellybalfrey@yahoo.com; gibson_gaylord@fws.gov; rsanchezl@vitapro.cl; scastilloa@vitapro.cl; ewen.mclean@gmail.com</t>
  </si>
  <si>
    <t>McLean, Ewen/0000-0002-2832-7502</t>
  </si>
  <si>
    <t>Anthropocene Institute, El Camino Real, Palo Alto, USA</t>
  </si>
  <si>
    <t>This research received funding through the Anthropocene Institute, 855 El Camino Real, Ste 13A N399, Palo Alto, CA 94301, USA.</t>
  </si>
  <si>
    <t>2410-3888</t>
  </si>
  <si>
    <t>FISHES-BASEL</t>
  </si>
  <si>
    <t>Fishes</t>
  </si>
  <si>
    <t>10.3390/fishes8120590</t>
  </si>
  <si>
    <t>DM3M5</t>
  </si>
  <si>
    <t>WOS:001132421000001</t>
  </si>
  <si>
    <t>Viaggi, P</t>
  </si>
  <si>
    <t>Viaggi, Paolo</t>
  </si>
  <si>
    <t>Global Evidence of Obliquity Damping in Climate Proxies and Sea-Level Record during the Last 1.2 Ma: A Missing Link for the Mid-Pleistocene Transition</t>
  </si>
  <si>
    <t>GEOSCIENCES</t>
  </si>
  <si>
    <t>mid-Pleistocene transition; obliquity-oblateness feedback; obliquity damping hypothesis; water mass redistribution; glacio-eustatic sea level; short eccentricity</t>
  </si>
  <si>
    <t>MIDDLE-PLEISTOCENE TRANSITION; CARBON-DIOXIDE CONCENTRATION; ICE-SHEET; GLACIAL CYCLES; INSOLATION QUANTITIES; PERSISTENT INFLUENCE; SECULAR VARIATIONS; OCEAN TEMPERATURE; EARTHS OBLATENESS; ZONAL HARMONICS</t>
  </si>
  <si>
    <t>A recent research has identified an inverse amplitude link between obliquity damping and short eccentricity amplification during the Mid-Late Pleistocene based on LR04 delta O-18 and equatorial Pacific Site 846 sea surface temperature records that is associated with the Earth's long-term cooling. In the present study, new evidence of this anticorrelation is presented from Antarctic delta D-CO2-CH4 records, global benthic-planktic delta O-18, and regional (Atlantic, Pacific, Mediterranean, and Indian) climate-related proxies. Based on a critical review of theoretical constraints (Earth's oblateness changes and ice-volume phase lag in the obliquity band &lt;5.0 kyr), this widespread and symmetric (bipolar) obliquity response damping has been interpreted as an effect of the obliquity-oblateness feedback, which could be the latent physical mechanism at the origin of the Mid-Pleistocene Transition (MPT). Indeed, results and considerations of the present work suggest that fast and positive/negative net variation in the Earth's oblateness in the obliquity band was controlled by a dominant glacio-eustatic water mass component and, assuming a rapid response of the ice volume to surface temperature changes, the mean obliquity lag response is estimated to be &lt;5.0 kyr over the past 800 kyr. These elements may explain the interglacial/glacial damping observed in the obliquity response. The consolidation of the Earth's long-term icy state in the subtrend IV, culminating with the post-MPT obliquity damping, might have contributed to the strengthening of the short eccentricity response by mitigating the obliquity 'ice killing' during obliquity maxima (interglacials), favouring the obliquity-cycle skipping and a feedback-amplified ice growth in the short eccentricity band (obliquity damping hypothesis). This suggests a different impact of the climate friction than what is generally believed, which is presumably the latent physical mechanism that triggers the transient 'competitive' interaction between obliquity and short eccentricity started early during the Piacenzian.</t>
  </si>
  <si>
    <t>[Viaggi, Paolo] Bologna Univ, Museo Geol Giovanni Capellini, Via Zamboni 63, I-40126 Bologna, Italy</t>
  </si>
  <si>
    <t>University of Bologna</t>
  </si>
  <si>
    <t>Viaggi, P (corresponding author), Bologna Univ, Museo Geol Giovanni Capellini, Via Zamboni 63, I-40126 Bologna, Italy.</t>
  </si>
  <si>
    <t>paolov6363@yahoo.it</t>
  </si>
  <si>
    <t>Viaggi, Paolo/0000-0002-7678-4847</t>
  </si>
  <si>
    <t>2076-3263</t>
  </si>
  <si>
    <t>Geosciences</t>
  </si>
  <si>
    <t>10.3390/geosciences13120354</t>
  </si>
  <si>
    <t>DN4M3</t>
  </si>
  <si>
    <t>WOS:001132712000001</t>
  </si>
  <si>
    <t>Wang, ZQ; Wang, LM; Wang, YJ; Tang, H; Xu, LX</t>
  </si>
  <si>
    <t>Wang, Zhongqiu; Wang, Lumin; Wang, Yongjin; Tang, Hao; Xu, Liuxiong</t>
  </si>
  <si>
    <t>The Escape Intensity and Its Influencing Factors in Antarctic Krill (Euphausia superba) Passing through Large Mesh at the Front End of a Commercial Trawl</t>
  </si>
  <si>
    <t>trawl; pocket net; liner netting; percent similarity index; diurnal pattern</t>
  </si>
  <si>
    <t>THERAGRA-CHALCOGRAMMA; WALLEYE POLLOCK; BEHAVIOR; SELECTIVITY; CODEND</t>
  </si>
  <si>
    <t>The purpose of this study was to comprehend the escape intensity and its influencing factors in Antarctic krill (Euphausia superba) that escaped through large mesh located at the front end of commercial trawl nets. Two pocket nets were employed to collect escaped krill that passed through the mesh opening in the first section (400 mm mesh size, without liner) and second section (16 mm mesh size liner) of the trawl body. The results show that krill escape primarily took place in the first section of the trawl body. Meanwhile, there was almost no krill escape observed in the second section of the trawl body, primarily attributable to the presence of a 16 mm mesh size liner. In terms of body length composition, the average PSI (percentage similarity index) was 67.31 (95% CI: 61.86-72.87) for krill from the pocket net on the larger mesh part and the codend. In addition, the PSI was significantly different (p &lt; 0.05) between the day (60.96, 95% CI: 55.68-66.71) and night (83.62, 95% CI: 76.80-89.46). The escape intensity of krill ranged from 20.83 to 213.13 g center dot m(-2) per ton per hour in the area at the front end of trawl body, with a mean value of 76.52 (95% CI: 55.22-101.09) g center dot m(-2) per ton per hour during the daytime, and 144.66 (95% CI: 110.44-180.03) g center dot m(-2) per ton per hour at night. These results indicate that krill can see and avoid contacting the netting easily during the day, particularly for larger individuals. This provides insight into the design of krill trawls, specifically on the arrangement of liners, which should be integrated from the front part of the trawl body.</t>
  </si>
  <si>
    <t>[Wang, Zhongqiu; Wang, Lumin; Wang, Yongjin] Chinese Acad Fisheries Sci, East China Sea Fisheries Res Inst, Shanghai 200090, Peoples R China; [Wang, Zhongqiu; Wang, Lumin; Wang, Yongjin] Qingdao Marine Sci &amp; Technol, Qingdao 266237, Peoples R China; [Tang, Hao; Xu, Liuxiong] Shanghai Ocean Univ, Coll Marine Sci, Shanghai 201306, Peoples R China; [Tang, Hao; Xu, Liuxiong] Natl Engn Res Ctr Ocean Fisheries, Shanghai 201306, Peoples R China; [Tang, Hao; Xu, Liuxiong] Minist Agr &amp; Rural Affairs, Key Lab Ocean Fisheries Explorat, Shanghai 201306, Peoples R China; [Tang, Hao; Xu, Liuxiong] Shanghai Ocean Univ, Key Lab Sustainable Exploitat Ocean Fisheries Reso, Minist Educ, Shanghai 201306, Peoples R China; [Tang, Hao; Xu, Liuxiong] Shanghai Ocean Univ, Ctr Polar Res, Shanghai 201306, Peoples R China</t>
  </si>
  <si>
    <t>Chinese Academy of Fishery Sciences; East China Sea Fisheries Research Institute, CAFS; Shanghai Ocean University; National Engineering Research Center for Oceanic Fisheries; Ministry of Agriculture &amp; Rural Affairs; Shanghai Ocean University; Shanghai Ocean University</t>
  </si>
  <si>
    <t>Wang, YJ (corresponding author), Chinese Acad Fisheries Sci, East China Sea Fisheries Res Inst, Shanghai 200090, Peoples R China.;Wang, YJ (corresponding author), Qingdao Marine Sci &amp; Technol, Qingdao 266237, Peoples R China.;Tang, H (corresponding author), Shanghai Ocean Univ, Coll Marine Sci, Shanghai 201306, Peoples R China.;Tang, H (corresponding author), Natl Engn Res Ctr Ocean Fisheries, Shanghai 201306, Peoples R China.;Tang, H (corresponding author), Minist Agr &amp; Rural Affairs, Key Lab Ocean Fisheries Explorat, Shanghai 201306, Peoples R China.;Tang, H (corresponding author), Shanghai Ocean Univ, Key Lab Sustainable Exploitat Ocean Fisheries Reso, Minist Educ, Shanghai 201306, Peoples R China.;Tang, H (corresponding author), Shanghai Ocean Univ, Ctr Polar Res, Shanghai 201306, Peoples R China.</t>
  </si>
  <si>
    <t>wangzq@ecsf.ac.cn; lmwang@ecsf.ac.cn; wangyj@ecsf.ac.cn; htang@shou.edu.cn; lxxu@shou.edu.cn</t>
  </si>
  <si>
    <t>liu, qi/KHC-7509-2024; xu, liu/KCL-1154-2024; Liu, Zhiyuan/KDP-2606-2024</t>
  </si>
  <si>
    <t>Tang, Hao/0000-0002-3393-1683</t>
  </si>
  <si>
    <t>Shanghai Sailing Program; China Fisheries Co., Ltd. (Beijing, China)</t>
  </si>
  <si>
    <t>We thank China Fisheries Co., Ltd. (Beijing, China). for providing their trawlers and crew to make this onboard experiment possible. We thank Pingguo He and Jian Zhang for their suggestions during revision.</t>
  </si>
  <si>
    <t>10.3390/jmse11122370</t>
  </si>
  <si>
    <t>DM6P4</t>
  </si>
  <si>
    <t>WOS:001132502900001</t>
  </si>
  <si>
    <t>Mou, JF; Liu, K; Huang, YQ; Lin, JH; He, XB; Zhang, SY; Li, D; Zu, YC; Chen, ZH; Fu, SJ; Lin, HS; Liu, WH</t>
  </si>
  <si>
    <t>Mou, Jianfeng; Liu, Kun; Huang, Yaqin; Lin, Junhui; He, Xuebao; Zhang, Shuyi; Li, Dong; Zu, Yongcan; Chen, Zhihua; Fu, Sujing; Lin, Heshan; Liu, Wenhua</t>
  </si>
  <si>
    <t>Species Diversity and Community Structure of Macrobenthos in the Cosmonaut Sea, East Antarctica</t>
  </si>
  <si>
    <t>DIVERSITY-BASEL</t>
  </si>
  <si>
    <t>macrobenthos; diversity; community structure; Cosmonaut Sea; environmental factors</t>
  </si>
  <si>
    <t>SOUTHERN-OCEAN; SHELF; COMPILATION; ABUNDANCE; FAUNA</t>
  </si>
  <si>
    <t>The Cosmonaut Sea is an under-studied area and a white spot for macrobenthos research. Here, we report on the species diversity and community structure of macrobenthos collected using tringle trawls on the 38th Chinese National Antarctic Research Expedition (CHINARE) in the Cosmonaut Sea, East Antarctica. A total of 11 tringle trawls were deployed at different depths across the shelf, slope and seamount of the Cosmonaut Sea. A total of 275 macrobenthic species were found from 207 to 1994 m. The species richness per station varied from 23 to 89. Echinoderms (100 species), arthropods (48 species) and mollusks (36 species) were the most dominant groups. Echinoderms and arthropods dominated in abundance at seamount stations, and echinoderms, arthropods and polychaetes dominated in abundance at slope stations, while bryozoans, corals, ascidians and sponges were abundant on the Cosmonaut Sea shelf. Depth was the major driving force influencing the distribution of macrobenthos. The main components were two core communities. One was dominated by sessile suspension feeders and associated fauna. Variants of this community include sponges and bryozoans. The other core community was dominated by mobile deposit feeders, infauna and grazers-epifauna, which included arthropods and echinoderms. The results showed that the slope (40-50 degrees E, 65-67 degrees S) of the Cosmonaut Sea may be an important area with complex ecological processes. The results of this study contribute to the knowledge of species diversity and communities of macrobenthos in the Cosmonaut Sea and provide monitoring data for future ecosystem health assessments and better protection.</t>
  </si>
  <si>
    <t>[Mou, Jianfeng; Liu, Wenhua] Shantou Univ, Marine Biol Inst, Shantou 515063, Peoples R China; [Mou, Jianfeng; Liu, Kun; Huang, Yaqin; Lin, Junhui; He, Xuebao; Zhang, Shuyi; Fu, Sujing; Lin, Heshan] Minist Nat Resources, Inst Oceanog 3, Lab Marine Biodivers, Xiamen 361005, Peoples R China; [Li, Dong] Minist Nat Resources, Inst Oceanog 2, Key Lab Marine Ecosyst Dynam, Hangzhou 310012, Peoples R China; [Zu, Yongcan] Minist Nat Resources, Inst Oceanog 1, Ctr Ocean &amp; Climate Res, Qingdao 266061, Peoples R China; [Chen, Zhihua] Minist Nat Resources, Inst Oceanog 1, Key Lab Marine Geol &amp; Metallogeny, Qingdao 266061, Peoples R China</t>
  </si>
  <si>
    <t>Shantou University; Third Institute of Oceanography, Ministry of Natural Resources; Ministry of Natural Resources of the People's Republic of China; Ministry of Natural Resources of the People's Republic of China; Ministry of Natural Resources of the People's Republic of China; First Institute of Oceanography, Ministry of Natural Resources; First Institute of Oceanography, Ministry of Natural Resources; Ministry of Natural Resources of the People's Republic of China</t>
  </si>
  <si>
    <t>Liu, WH (corresponding author), Shantou Univ, Marine Biol Inst, Shantou 515063, Peoples R China.;Lin, HS (corresponding author), Minist Nat Resources, Inst Oceanog 3, Lab Marine Biodivers, Xiamen 361005, Peoples R China.</t>
  </si>
  <si>
    <t>moujianfeng@tio.org.cn; liukun@tio.org.cn; huangyaqin@tio.org.cn; linjunhui@tio.org.cn; hexuebao@tio.org.cn; zhangshuyi@tio.org.cn; lidong@sio.org.cn; zuyongcan@fio.org.cn; chenzia@fio.org.cn; fusujing@tio.org.cn; linheshan@tio.org.cn; whliu@stu.edu.cn</t>
  </si>
  <si>
    <t>lin, lin/KFB-9548-2024; He, Xue-Bao/E-6716-2011; li, yuanfang/KHV-1697-2024; Yu, ZH/KBC-6889-2024; zhou, yuwei/KHD-4127-2024; feng, yue/KHV-4687-2024; Zu, Yongcan/KHU-0219-2024</t>
  </si>
  <si>
    <t>Mou, Jianfeng/0000-0002-4432-5814</t>
  </si>
  <si>
    <t>1424-2818</t>
  </si>
  <si>
    <t>Diversity-Basel</t>
  </si>
  <si>
    <t>10.3390/d15121197</t>
  </si>
  <si>
    <t>DI1K1</t>
  </si>
  <si>
    <t>WOS:001131307800001</t>
  </si>
  <si>
    <t>Navarro, L; Cortiella, MGI; Gutiérrez-Moraga, A; Calisto, N; Ubeda, C; Corsini, G</t>
  </si>
  <si>
    <t>Navarro, Laura; Gil I Cortiella, Mariona; Gutierrez-Moraga, Ana; Calisto, Nancy; Ubeda, Cristina; Corsini, Gino</t>
  </si>
  <si>
    <t>Antarctic Soil Yeasts with Fermentative Capacity and Potential for the Wine Industry</t>
  </si>
  <si>
    <t>FOODS</t>
  </si>
  <si>
    <t>Antarctic yeast; fermentative yeast; psychrophilic yeast; wine; Mrakia</t>
  </si>
  <si>
    <t>SACCHAROMYCES-CEREVISIAE; PSYCHROPHILIC YEASTS; VOLATILE COMPOUNDS; TEMPERATURE; AROMA; DIVERSITY; STRAINS; IMPACT; GROWTH; OXYGEN</t>
  </si>
  <si>
    <t>Low fermentation temperatures are usually employed to obtain high-quality wines. This is especially interesting for white wine production since it prevents the loss of volatile compounds and a browning appearance; however, available fermentative yeasts do not usually tolerate low temperatures. Therefore, an interesting place to find new yeasts with cryotolerance is the Antarctic continent. From soil samples collected in Antarctica, 125 yeasts were isolated, of which 25 exhibited fermentative activity at 10 C-degrees. After a fingerprinting assay, we classified the candidates into nine isotypes and sequenced internal transcribed spacer regions for their identification. These yeasts were identified as part of the Mrakia genus. Sugar and alcohol tolerance tests showed that some of these Antarctic soil yeasts were able to grow up to 9% alcohol, and 25% sugar was reached; however, they exhibited longer latency periods compared to the control Saccharomyces cerevisiae. The optimal growing temperature for the isolated Antarctic yeasts was between 10 C-degrees and 15 C-degrees. A comprehensive analysis of the results obtained showed that the isolates 10M3-1, 4M3-6, and 4B1-35 could be good candidates for fermentation purposes due to their alcohol, sugar tolerance, and growth features. Our results prove that it is possible to isolate fermentative yeasts from Antarctic soil with promising characteristics for their potential use in the wine production industry.</t>
  </si>
  <si>
    <t>[Navarro, Laura; Gutierrez-Moraga, Ana; Calisto, Nancy; Corsini, Gino] Univ Autonoma Chile, Fac Ciencias Salud, Inst Ciencias Biomed, Santiago 8900000, Chile; [Gil I Cortiella, Mariona] Univ Autonoma Chile, Fac Ingn, Inst Ciencias Aplicadas, Santiago 8900000, Chile; [Gutierrez-Moraga, Ana] Univ La Frontera, Fac Ciencias Agr &amp; Medioambiente, Dept Prod Agr, Temuco 4811230, Chile; [Calisto, Nancy] Univ Magallanes, Ctr Invest &amp; Monitoreo Ambiental Antartico CIMAA, Dept Ingn Quim, Ave Bulnes 01855, Punta Arenas 6210427, Chile; [Ubeda, Cristina] Univ Seville, Fac Farm, Dept Nutr &amp; Bromatol Toxicol &amp; Med Legal, C-P Garcia Gonzalez 2, Seville 41012, Spain</t>
  </si>
  <si>
    <t>Universidad Autonoma de Chile; Universidad Autonoma de Chile; Universidad de La Frontera; Universidad de Magallanes; University of Sevilla</t>
  </si>
  <si>
    <t>Corsini, G (corresponding author), Univ Autonoma Chile, Fac Ciencias Salud, Inst Ciencias Biomed, Santiago 8900000, Chile.;Ubeda, C (corresponding author), Univ Seville, Fac Farm, Dept Nutr &amp; Bromatol Toxicol &amp; Med Legal, C-P Garcia Gonzalez 2, Seville 41012, Spain.</t>
  </si>
  <si>
    <t>laura.navarro@uautonoma.cl; mariona.gil@uautonoma.cl; ana.gutierrez@uautonoma.cl; nancy.calisto@umag.cl; c_ubeda@us.es; gino.corsini@uautonoma.cl</t>
  </si>
  <si>
    <t>; Gil Cortiella, Mariona H/A-2848-2016</t>
  </si>
  <si>
    <t>Corsini, Gino/0000-0002-0418-8616; Calisto Ulloa, Nancy Cristina/0000-0002-5517-1750; Gil Cortiella, Mariona H/0000-0002-3716-3001</t>
  </si>
  <si>
    <t>Chilean Antarctic Institute (Instituto Nacional Antartico Chileno-INACH) [RG_24-18]; Direccion Investigacion-VRID, Universidad Autonoma de Chile [DIUA 260-2023]; Agencia Nacional de Investigacion y Desarrollo (ANID) from the Ministerio de Ciencia, Tecnologia, Conocimiento e Innovacion from the Chilean Government [VIU23P0021]</t>
  </si>
  <si>
    <t>Chilean Antarctic Institute (Instituto Nacional Antartico Chileno-INACH); Direccion Investigacion-VRID, Universidad Autonoma de Chile; Agencia Nacional de Investigacion y Desarrollo (ANID) from the Ministerio de Ciencia, Tecnologia, Conocimiento e Innovacion from the Chilean Government</t>
  </si>
  <si>
    <t>This work was supported by the project RG_24-18 belonging to the XXIV Concurso Nacional de Proyectos de Investigacion Cientifica y Tecnologica Antartica 2018 funded by the Chilean Antarctic Institute (Instituto Nacional Antartico Chileno-INACH). Also, this study has been supported by project DIUA 260-2023, Direccion Investigacion-VRID, Universidad Autonoma de Chile, and by the project VIU23P0021 from Agencia Nacional de Investigacion y Desarrollo (ANID) from the Ministerio de Ciencia, Tecnologia, Conocimiento e Innovacion from the Chilean Government.</t>
  </si>
  <si>
    <t>2304-8158</t>
  </si>
  <si>
    <t>Foods</t>
  </si>
  <si>
    <t>10.3390/foods12244496</t>
  </si>
  <si>
    <t>Food Science &amp; Technology</t>
  </si>
  <si>
    <t>DN2L5</t>
  </si>
  <si>
    <t>WOS:001132658200001</t>
  </si>
  <si>
    <t>Radice, S; Giordani, E; Arena, ME</t>
  </si>
  <si>
    <t>Radice, Silvia; Giordani, Edgardo; Arena, Miriam E.</t>
  </si>
  <si>
    <t>Effect of Climatic Variations in the Floral Phenology of Berberis microphylla and Its Pollinator Insects</t>
  </si>
  <si>
    <t>HORTICULTURAE</t>
  </si>
  <si>
    <t>calafate; Syrphidae; Nino-Southern oscillation; green aphid</t>
  </si>
  <si>
    <t>TEMPERATURE STRESS; HOVERFLIES DIPTERA; G. FORST.; SYRPHIDAE; RESPONSES; SHIFTS</t>
  </si>
  <si>
    <t>Berberis microphylla (calafate) is an evergreen shrub that grows spontaneously in the Argentinean and Chilean Patagonia with a very harsh climate. This Sub-Antarctic zone is affected by the El Nino and La Nina pattern, which is measured using the Oceanic Nino Index (ONI). The objective of this study was to analyze the floral phenology and its pollinator insects, in relation to the climatic conditions observed. This work was developed in Ushuaia (Argentina) during 2010, 2014, 2015, and 2016. Significant differences were observed for the development of flower bud and floral phenology between the four years studied. On 26 October, between 84 and 100% of flower buds was recorded in the shrubs tested during the years 2010, 2014, and 2015 and then decreased abruptly in 2010 and more slowly in 2014 and 2015. However, in 2016 on the same date, it was recorded 70% of button flowers increasing to 90% on 5 November and then slowly evolving towards the anthesis phase. On the other hand, the anthesis phase was developed rapidly for 2010 and 2015 and slower for 2014 and 2016. A peak in anthesis occurred on 2 November in 2010, while in the other years, it was observed later in 16 November. The hoverflies of the genus Carposcalis and Allograpta, both insects verified to be responsible for the pollination of calafate, were registered between 2014 and 2016. Carposcalis was significantly more present in 2014, while in 2015 and 2016, Allograpta was predominant. The insect activity was also related with the climatic conditions, i.e., air temperature, air relative humidity, wind speed, and gust of wind along the day during the anthesis phase, and which also modified its life cycle. So, it was observed in 2016, the year with winter temperatures higher than normal, that adult hoverflies ended their hibernation period earlier and began to lay eggs on the juvenile calafate sprouts; hence, the emerging larvae ate the pollen grain of button flowers, causing a decrease in future fruits harvested. The results presented show that the La Nina and El Nino effects in these latitudes are the opposite of those expected. Spring 2016 developed under a strong La Nina effect, as occurred in 2010 with temperatures warmer than in 2014 and 2015, where both years developed under the El Nino effect. This study showed how climatic conditions can modify the floral phenology of B. microphylla and its pollinator insect frequency, their activity, and their life cycle.</t>
  </si>
  <si>
    <t>[Radice, Silvia; Arena, Miriam E.] Univ Moron, CONICET, Lab Fisiol Vegetal, Machado 914 Lab 501,B1708, Buenos Aires, Argentina; [Giordani, Edgardo] Univ Firenze, Dipartimento Sci &amp; Tecnol Agr Alimentari Ambiental, I-50121 Florence, Italy</t>
  </si>
  <si>
    <t>Consejo Nacional de Investigaciones Cientificas y Tecnicas (CONICET); University of Florence</t>
  </si>
  <si>
    <t>Arena, ME (corresponding author), Univ Moron, CONICET, Lab Fisiol Vegetal, Machado 914 Lab 501,B1708, Buenos Aires, Argentina.</t>
  </si>
  <si>
    <t>sradice@unimoron.edu.ar; edgardo.giordani@unifi.it; miriamearena@gmail.com</t>
  </si>
  <si>
    <t>GIORDANI, EDGARDO/0000-0003-4253-5030</t>
  </si>
  <si>
    <t>MINCYT</t>
  </si>
  <si>
    <t>2311-7524</t>
  </si>
  <si>
    <t>Horticulturae</t>
  </si>
  <si>
    <t>10.3390/horticulturae9121254</t>
  </si>
  <si>
    <t>Horticulture</t>
  </si>
  <si>
    <t>Agriculture</t>
  </si>
  <si>
    <t>DN3R7</t>
  </si>
  <si>
    <t>WOS:001132691000001</t>
  </si>
  <si>
    <t>Lin, Y; Lin, LR; Wang, DX; Yang, XY</t>
  </si>
  <si>
    <t>Lin, Yan; Lin, Liru; Wang, Dongxiao; Yang, Xiao-Yi</t>
  </si>
  <si>
    <t>Inclination Trend of the Agulhas Return Current Path in Three Decades</t>
  </si>
  <si>
    <t>Agulhas Return Current; long-term change; wind stress curl; sea surface height; eddy kinetic energy</t>
  </si>
  <si>
    <t>ANTARCTIC CIRCUMPOLAR CURRENT; CURRENT RETROFLECTION; POLEWARD SHIFT; VARIABILITY; LEAKAGE; EDDIES; SOUTH</t>
  </si>
  <si>
    <t>The Agulhas Return Current (ARC), as a primary component of the Agulhas system, contributes to water exchange and mass transport between the southern portions of the Indian and Atlantic Ocean basins. In this study, satellite altimeter data and reanalysis datasets, and a new set of criteria for the piecewise definition of the jet axis are used to explore the long-term change of the ARC's axis position in recent three decades. It is found that the ARC axis exhibits a significant slanting trend with its western part (35-48(degrees)E) migrating northward and the eastern part (48-70(degrees)E) migrating southward. The meridional movement of the ARC path could be attributed to large-scale wind forcing. The anomalous surface wind stress curl, by Ekman pumping mechanism, leads to positive-negative-positive sea surface height anomalies in the western section and negative-positive-negative anomalies in the eastern section, thus the ARC axis tilts accordingly, in a northwest-southeast direction. Further analysis suggests that this ARC slanting trend is more dependent on the southward shift of the downstream axis and less on the topographic steering upstream. The downstream axis is more likely to interact with the ACC fronts and its migration could dominate the local EKE pattern by changing the background circulation and energy cascade direction. For the headstream west of 35(degrees)E, the ARC axis is more subject to topography, thus the EKE change is more dominated by eddy activity processes, including shedding, propagation and merging. This study provides some new insights into the long-term change of ARC and its interaction with the local EKE variability.</t>
  </si>
  <si>
    <t>[Lin, Yan; Yang, Xiao-Yi] Xiamen Univ, Coll Ocean &amp; Earth Sci, State Key Lab Marine Environm Sci, Xiamen 361102, Peoples R China; [Lin, Liru] Xiamen Ocean Vocat Coll, Xiamen 361100, Peoples R China; [Wang, Dongxiao] Sun Yat Sen Univ, Sch Marine Sci, Guangzhou 510275, Peoples R China; [Wang, Dongxiao; Yang, Xiao-Yi] Southern Marine Sci &amp; Engn Guangdong Lab Zhuhai, Zhuhai 519082, Peoples R China</t>
  </si>
  <si>
    <t>Xiamen University; Sun Yat Sen University; Southern Marine Science &amp; Engineering Guangdong Laboratory; Southern Marine Science &amp; Engineering Guangdong Laboratory (Zhuhai)</t>
  </si>
  <si>
    <t>Yang, XY (corresponding author), Xiamen Univ, Coll Ocean &amp; Earth Sci, State Key Lab Marine Environm Sci, Xiamen 361102, Peoples R China.;Yang, XY (corresponding author), Southern Marine Sci &amp; Engn Guangdong Lab Zhuhai, Zhuhai 519082, Peoples R China.</t>
  </si>
  <si>
    <t>22320181152169@stu.xmu.edu.cn; linliru@xmoc.edu.cn; dxwang@mail.sysu.edu.cn; xyyang@xmu.edu.cn</t>
  </si>
  <si>
    <t>WANG, DongXiao/B-4445-2012</t>
  </si>
  <si>
    <t>WANG, DongXiao/0000-0001-8778-2188</t>
  </si>
  <si>
    <t>National Key R&amp;D program of China</t>
  </si>
  <si>
    <t>We thank ECWMF and Copernicus website for providing the data used in this study. We appreciate three anonymous reviewers for their great suggestions and advice to help improve the quality of the paper.</t>
  </si>
  <si>
    <t>10.3390/rs15245652</t>
  </si>
  <si>
    <t>DM2T2</t>
  </si>
  <si>
    <t>WOS:001132401600001</t>
  </si>
  <si>
    <t>Smith, TG; Nicholson, SA; Engelbrecht, FA; Chang, N; Mongwe, NP; Monteiro, PMS</t>
  </si>
  <si>
    <t>Smith, T. G.; Nicholson, S. -A.; Engelbrecht, F. A.; Chang, N.; Mongwe, N. P.; Monteiro, P. M. S.</t>
  </si>
  <si>
    <t>The Heat and Carbon Characteristics of Modeled Mesoscale Eddies in the South-East Atlantic Ocean</t>
  </si>
  <si>
    <t>eddies; Southern Ocean; heat; carbon</t>
  </si>
  <si>
    <t>IDENTIFICATION ALGORITHMS; SATELLITE-OBSERVATIONS; CO2 FLUX; SEA; TRANSPORT; CHLOROPHYLL; TEMPERATURE; MECHANISMS; SIGNATURES</t>
  </si>
  <si>
    <t>Mesoscale eddies provide critical links between the atmosphere and the ocean interior modulating the exchanges of key climatic tracers across the air-sea and mixed-layer interface. Mesoscale eddies, widespread in the Southern Ocean, are unresolved by Earth System Models; to what extent they modify contemporary and future heat and CO2 uptake remains unknown. The missing contribution of mesoscale eddies and their effects on properties and fluxes of heat and CO2 are investigated in the South-East Atlantic using a mesoscale resolving (1/12 degrees) physical biogeochemical model. Unsupervised Self-Organizing Maps are used to separate anticyclonic and cyclonic eddies into distinct sub-categories based on spatial characteristics in relative vorticity. Thermal drivers dominated over non-thermal on partial pressure of ocean CO2 (pCO(2sw)) leading to a weaker CO2 sink in anticyclonic eddies and a stronger CO2 sink in cyclonic eddies relative to the climatological mean. Magnitudes and depth extents of tracer anomalies scale with eddy size but are also dependent on background tracer gradients. Resolving only the largest (&gt;50 km radii) eddies leads to underestimations in total magnitude of heat storage by 52% and 77%, and underestimations of 61% and 77% in dissolved inorganic carbon (C-T) storage for anticyclonic and cyclonic eddies respectively. The inclusion of smaller eddy features (&lt;50 km) also offsets the asymmetry in heat and C-T storage between anticyclonic and cyclonic eddies. Resolving eddies explicitly or improvements in existing parameterizations that fail to sufficiently include eddy effects are crucial to improving estimates of heat and CO2.</t>
  </si>
  <si>
    <t>[Smith, T. G.; Engelbrecht, F. A.; Chang, N.; Monteiro, P. M. S.] Univ Witwatersrand, Global Change Inst, Johannesburg, South Africa; [Smith, T. G.; Nicholson, S. -A.; Chang, N.; Mongwe, N. P.] Southern Ocean Carbon Climate Observ, CSIR, Cape Town, South Africa; [Monteiro, P. M. S.] Stellenbosch Univ, Sch Climate Studies, Stellenbosch, South Africa</t>
  </si>
  <si>
    <t>University of Witwatersrand; Council for Scientific &amp; Industrial Research (CSIR) - South Africa; Stellenbosch University</t>
  </si>
  <si>
    <t>Smith, TG (corresponding author), Univ Witwatersrand, Global Change Inst, Johannesburg, South Africa.;Smith, TG (corresponding author), Southern Ocean Carbon Climate Observ, CSIR, Cape Town, South Africa.</t>
  </si>
  <si>
    <t>tashgiulia@gmail.com</t>
  </si>
  <si>
    <t>Chang, Nicolette/0000-0001-7144-7529; Nicholson, Sarah-Anne/0000-0002-1226-1828; Mongwe, Precious/0000-0003-0130-0833; Engelbrecht, Francois/0000-0002-9189-6556</t>
  </si>
  <si>
    <t>NRF SANAP [SANAP200324510487]; National Research Foundation (NRF) South African National Antarctic Program (SANAP) [118598]; NRF Earth System Science Research Programme</t>
  </si>
  <si>
    <t>NRF SANAP; National Research Foundation (NRF) South African National Antarctic Program (SANAP); NRF Earth System Science Research Programme</t>
  </si>
  <si>
    <t>This work forms part of the PhD research of the first author, funded by the CSIR Southern Ocean Carbon-Climate Observatory (SOCCO), National Research Foundation (NRF) South African National Antarctic Program (SANAP) Grant SANAP200324510487, and a project of the NRF Earth System Science Research Programme (ESSRP) project, First African-based Earth System Model and the Southern Ocean, Grant 118598.</t>
  </si>
  <si>
    <t>e2023JC020337</t>
  </si>
  <si>
    <t>10.1029/2023JC020337</t>
  </si>
  <si>
    <t>DD0O7</t>
  </si>
  <si>
    <t>WOS:001129978600001</t>
  </si>
  <si>
    <t>Rodrigues, CCF; Santini, MF; Brunsell, NA; Pezzi, LP</t>
  </si>
  <si>
    <t>Rodrigues, Celina Candida Ferreira; Santini, Marcelo Freitas; Brunsell, Nathaniel Alan; Pezzi, Luciano Ponzi</t>
  </si>
  <si>
    <t>CO2 fluxes under different oceanic and atmospheric conditions in the Southwest Atlantic Ocean</t>
  </si>
  <si>
    <t>JOURNAL OF MARINE SYSTEMS</t>
  </si>
  <si>
    <t>Carbon flux; Ocean-atmosphere interaction; Southwest Atlantic Ocean</t>
  </si>
  <si>
    <t>TURBULENT FLUXES; EDDY COVARIANCE; SURFACE-LAYER; GAS TRANSFER; WATER-VAPOR; SEA; PCO(2); TEMPERATURE; VARIABILITY; STABILITY</t>
  </si>
  <si>
    <t>The Southwest Atlantic Ocean (SAO) is one of the largest global carbon sink areas. Therefore, the main objective of this study is to investigate turbulent CO2 flux behavior and quantify it in the presence of an intense horizontal sea surface temperature (SST) gradient in the SAO under different atmospheric conditions. In-situ, satellite, and reanalysis data were used from October 14 to 27, 2018 to achieve this objective. The study area was divided into four areas based on satellite observations of SST, salinity, and chlorophyll. The CO2 flux was calculated using the eddy covariance method. During the experiment the area absorbing the most CO2 was the Brazil Current (BC) owing to its proximity to the chlorophyll-rich and less saline waters of the La Plata River and the cold and less saline waters from the Malvinas Current (MC). Moreover, intense wind speeds increased the CO2 flux between the ocean and atmosphere. The Brazil Malvinas Confluence (BMC) also behaved as a CO2 sink, and the modulation of CO2 fluxes was due to the intense horizontal gradient of SST together with the moderate surface wind and turbulence. During the experiment, the MC sequestered less carbon than other regions because of the presence of high-pressure atmospheric systems near the region, resulting in high atmospheric stability, that inhibited mass exchange between the ocean and atmosphere. Vertical mixing mechanisms were identified at the BMC on the cold side, over MC waters. However, in the BC waters, the marine atmospheric boundary layer was modulated by the high-pressure atmospheric system, which suppressed the turbulent mixing. However, the intense mass exchange between the ocean and atmosphere was inhibited, and the area behaved as a mild CO2 sink because of the high-pressure system. This research contributes to a better understanding of the role of the SAO in the global carbon balance in a climate change scenario, and we showed that area can act as a CO2 sink or source, depending on the large-scale atmospheric conditions acting.</t>
  </si>
  <si>
    <t>[Rodrigues, Celina Candida Ferreira; Santini, Marcelo Freitas; Pezzi, Luciano Ponzi] Natl Inst Space Res INPE, Earth Observat &amp; Geoinformat Div DIOTG, Lab Ocean Atmosphere Studies LOA, Ave Astronautas 1758, Sao Jose Dos Campos, SP, Brazil; [Brunsell, Nathaniel Alan] Univ Kansas, Dept Geog &amp; Atmospher Sci, 1475 Jayhawk Blvd, 214B Lindley Hall, Lawrence, KS USA</t>
  </si>
  <si>
    <t>Instituto Nacional de Pesquisas Espaciais (INPE); University of Kansas</t>
  </si>
  <si>
    <t>Rodrigues, CCF (corresponding author), Natl Inst Space Res INPE, Earth Observat &amp; Geoinformat Div DIOTG, Lab Ocean Atmosphere Studies LOA, Ave Astronautas 1758, Sao Jose Dos Campos, SP, Brazil.</t>
  </si>
  <si>
    <t>celina.rodrigues@inpe.br; marcelo.santini@inpe.br; brunsell@ku.edu; luciano.pezzi@inpe.br</t>
  </si>
  <si>
    <t>Pezzi, Luciano P/O-4952-2015</t>
  </si>
  <si>
    <t>CNPq [443013/2018-7, 304858/2019-6]; Coordenacao de Aperfeicoamento de Pessoal de Nivel Superior-Brasil (CAPES) [001]</t>
  </si>
  <si>
    <t>CNPq(Conselho Nacional de Desenvolvimento Cientifico e Tecnologico (CNPQ)); Coordenacao de Aperfeicoamento de Pessoal de Nivel Superior-Brasil (CAPES)(Coordenacao de Aperfeicoamento de Pessoal de Nivel Superior (CAPES))</t>
  </si>
  <si>
    <t>This research was funded by the Brazilian agency CNPq under the following projects: (i) Antarctic Modeling Observation System (CNPq/PROANTAR 443013/2018-7) . L.P.P. is partly funded through a CNPq Scientific Productivity Fellow, 304858/2019-6. Also, this study was financed in part by the Coordenacao de Aperfeicoamento de Pessoal de Nivel Superior-Brasil (CAPES) -Finance Code 001.</t>
  </si>
  <si>
    <t>0924-7963</t>
  </si>
  <si>
    <t>1879-1573</t>
  </si>
  <si>
    <t>J MARINE SYST</t>
  </si>
  <si>
    <t>J. Mar. Syst.</t>
  </si>
  <si>
    <t>10.1016/j.jmarsys.2023.103949</t>
  </si>
  <si>
    <t>Geosciences, Multidisciplinary; Marine &amp; Freshwater Biology; Oceanography</t>
  </si>
  <si>
    <t>Geology; Marine &amp; Freshwater Biology; Oceanography</t>
  </si>
  <si>
    <t>DD0W1</t>
  </si>
  <si>
    <t>WOS:001129986100001</t>
  </si>
  <si>
    <t>Murugesan, GP; Babu, RKR; Baineni, M; Chidananda, R; Satish, D; Sivalingam, S; Aruldhas, DJ; Venkatesh, K; Muniswamy, NK; Luis, AJ</t>
  </si>
  <si>
    <t>Murugesan, Geetha Priya; Koppuram Ramesh Babu, Raghavendra; Baineni, Mahesh; Chidananda, Rakshita; Satish, Dhanush; Sivalingam, Sivaranjani; Aruldhas, Deva Jefflin; Venkatesh, Krishna; Muniswamy, Narendra Kumar; Luis, Alvarinho Joaozinho</t>
  </si>
  <si>
    <t>Decoding the Dynamics of Climate Change Impact: Temporal Patterns of Surface Warming and Melting on the Nivlisen Ice Shelf, Dronning Maud Land, East Antarctica</t>
  </si>
  <si>
    <t>surface melt; melt pond; ice flow velocity; UAV; pressure sensor; Antarctica</t>
  </si>
  <si>
    <t>SEASONAL EVOLUTION; MELTWATER; TEMPERATURES; DEPTH; MODEL; LAKES</t>
  </si>
  <si>
    <t>This study analyzes the dynamics of surface melting in Antarctica, which are crucial for understanding glacier and ice sheet behavior and monitoring polar climate change. Specifically, we focus on the Nivlisen ice shelf in East Antarctica, examining melt ponds, supra glacial lakes (SGLs), seasonal surface melt extent, and surface ice flow velocity. Spatial and temporal analysis is based on Landsat and Sentinel-1 data from the austral summers of 2000 to 2023. Between 2000 and 2014, melt ponds and SGLs on the ice shelf covered roughly 1 km2. However, from 2015 to 2023, surface melting increased consistently, leading to more extensive melt ponds and SGLs. Significant SGL depths were observed in 2016, 2017, 2019, and 2020, with 2008, 2016, and 2020 showing the highest volumes and progressive SGL area growth. We also examined the relationship between seasonal surface melt extent and ice flow velocity. Validation efforts involved ground truth data from a melt pond in central Dronning Maud Land (cDML) during the 2022-2023 austral summer, along with model-based results. The observed increase in melt pond depth and volume may significantly impact ice shelf stability, potentially accelerating ice flow and ice shelf destabilization. Continuous monitoring is essential for accurately assessing climate change's ongoing impact on Antarctic ice shelves.</t>
  </si>
  <si>
    <t>[Murugesan, Geetha Priya; Koppuram Ramesh Babu, Raghavendra; Baineni, Mahesh; Chidananda, Rakshita; Satish, Dhanush; Sivalingam, Sivaranjani; Aruldhas, Deva Jefflin; Venkatesh, Krishna; Muniswamy, Narendra Kumar] Jyothy Inst Technol, Ctr Incubat Innovat Res &amp; Consultancy CIIRC, Bengaluru 560082, Karnataka, India; [Luis, Alvarinho Joaozinho] Minist Earth Sci, Natl Ctr Polar &amp; Ocean Res, Vasco Da Gama 403804, Goa, India</t>
  </si>
  <si>
    <t>Murugesan, GP (corresponding author), Jyothy Inst Technol, Ctr Incubat Innovat Res &amp; Consultancy CIIRC, Bengaluru 560082, Karnataka, India.</t>
  </si>
  <si>
    <t>geetha.sri82@gmail.com</t>
  </si>
  <si>
    <t>National Centre for Polar and Ocean Research, Ministry of Earth Sciences, Govt. of India; Jyothy Industries, Rational Technologies; Jyothy Institute of Technology, Bengaluru</t>
  </si>
  <si>
    <t>The authors gratefully acknowledge the support rendered by Jyothy Industries, Rational Technologies and CIIRC, Jyothy Institute of Technology, Bengaluru.</t>
  </si>
  <si>
    <t>10.3390/rs15245676</t>
  </si>
  <si>
    <t>DF6D9</t>
  </si>
  <si>
    <t>WOS:001130645200001</t>
  </si>
  <si>
    <t>Kalishin, AS; Blagoveshchenskaya, NF; Borisova, TD; Egorov, IM; Zagorskiy, GA; Kovalev, AS</t>
  </si>
  <si>
    <t>Kalishin, A. S.; Blagoveshchenskaya, N. F.; Borisova, T. D.; Egorov, I. M.; Zagorskiy, G. A.; Kovalev, A. S.</t>
  </si>
  <si>
    <t>Features of Narrowband Stimulated Electromagnetic Emission Depending on the Effective Radiated Power of the EISCAT/Heating Facility</t>
  </si>
  <si>
    <t>COSMIC RESEARCH</t>
  </si>
  <si>
    <t>HIGH-LATITUDE IONOSPHERE; HF RADIO-WAVES; MODE; SCATTERING; EISCAT</t>
  </si>
  <si>
    <t>Estimates of excitation thresholds and the analysis of spectral features of narrowband stimulated electromagnetic emission (NSEE) depending on the electric-field intensity of an extraordinary polarized HF pump wave have been carried out. They are based on results obtained during power stepping EISCAT/Heating experiments. The HF pump wave was radiated toward the magnetic zenith at frequency of 5.423 MHz. The effective radiated power was changed from 55 to 360 MW. NSEE was recorded in the vicinity of St. Petersburg at a distance of similar to 1200 km away of the EISCAT/Heating facility. Calculations of the electric field of a powerful HF radio wave near the reflection altitude taking into account the nondeviation absorption in the underlying layers were performed. The threshold (minimum) values of the electric field required for the NSEE excitation were determined.</t>
  </si>
  <si>
    <t>[Kalishin, A. S.; Blagoveshchenskaya, N. F.; Borisova, T. D.; Egorov, I. M.; Zagorskiy, G. A.; Kovalev, A. S.] Arctic &amp; Antarctic Res Inst, St Petersburg 199397, Russia</t>
  </si>
  <si>
    <t>Kalishin, AS (corresponding author), Arctic &amp; Antarctic Res Inst, St Petersburg 199397, Russia.</t>
  </si>
  <si>
    <t>askalishin@aari.ru</t>
  </si>
  <si>
    <t>Kovalev, Andrew Segeevich/JWA-6724-2024</t>
  </si>
  <si>
    <t>This study was funded by the Russian Science Foundation, grant no. 22-17-00020, https://rscf.ru/project/22-17-00020/.</t>
  </si>
  <si>
    <t>0010-9525</t>
  </si>
  <si>
    <t>1608-3075</t>
  </si>
  <si>
    <t>COSMIC RES+</t>
  </si>
  <si>
    <t>Cosmic Res.</t>
  </si>
  <si>
    <t>10.1134/S0010952523700478</t>
  </si>
  <si>
    <t>Engineering, Aerospace; Astronomy &amp; Astrophysics</t>
  </si>
  <si>
    <t>Engineering; Astronomy &amp; Astrophysics</t>
  </si>
  <si>
    <t>Y7VP2</t>
  </si>
  <si>
    <t>WOS:001107302900004</t>
  </si>
  <si>
    <t>Lee, GH; Lee, SY; Chae, JY; Kim, JW; Kim, JH; Jeong, HG</t>
  </si>
  <si>
    <t>Lee, Gi Ho; Lee, Seung Yeon; Chae, Ju Yeon; Kim, Jae Won; Kim, Jin-Hee; Jeong, Hye Gwang</t>
  </si>
  <si>
    <t>Antarctic Krill Oil from Euphausia superba Ameliorates Carrageenan-Induced Thrombosis in a Mouse Model</t>
  </si>
  <si>
    <t>INTERNATIONAL JOURNAL OF MOLECULAR SCIENCES</t>
  </si>
  <si>
    <t>krill oil; carrageenan; thrombosis; inflammation; endothelial dysfunction</t>
  </si>
  <si>
    <t>NITRIC-OXIDE; INFLAMMATION; ARTERIAL; OMEGA-3-FATTY-ACIDS; DYSFUNCTION; DISEASES; ACID</t>
  </si>
  <si>
    <t>FJH-KO obtained from Antarctic krill, especially Euphausia superba, has been reported to contain high amounts of omega-3 polyunsaturated fatty acids (n-3 PUFA) and to exhibit anticancer and anti-inflammatory properties. However, its antithrombotic effects have not yet been reported. This study aimed to investigate the antithrombotic effects of FJH-KO in carrageenan-induced thrombosis mouse models and human endothelial cells. Thrombosis was induced by carrageenan injection, whereas the mice received FJH-KO pretreatment. FJH-KO attenuated carrageenan-induced thrombus formation in mouse tissue vessels and prolonged tail bleeding. The inhibitory effect of FJH-KO was associated with decreased plasma levels of thromboxane B2, P-selectin, endothelin-1, beta-thromboglobulin, platelet factor 4, serotonin, TNF-alpha, IL-1 beta, and IL-6. Meanwhile, FJH-KO induced plasma levels of prostacyclin I2 and plasminogen. In vitro, FJH-KO decreased the adhesion of THP-1 monocytes to human endothelial cells stimulated by TNF-alpha via eNOS activation and NO production. Furthermore, FJH-KO inhibited the expression of TNF-alpha-induced adhesion molecules such as ICAM-1 and VCAM-1 by suppressing the NF-kappa B signaling pathway. Taken together, our study demonstrates that FJH-KO protects against carrageenan-induced thrombosis by regulating endothelial cell activation and has potential as an antithrombotic agent.</t>
  </si>
  <si>
    <t>[Lee, Gi Ho; Lee, Seung Yeon; Chae, Ju Yeon; Kim, Jae Won; Jeong, Hye Gwang] Chungnam Natl Univ, Coll Pharm, Dept Toxicol, Daejeon 34134, South Korea; [Kim, Jin-Hee] Cheongju Univ, Coll Hlth Sci, Dept Biomed Lab Sci, Cheongju 28503, South Korea</t>
  </si>
  <si>
    <t>Chungnam National University; Cheongju University</t>
  </si>
  <si>
    <t>Jeong, HG (corresponding author), Chungnam Natl Univ, Coll Pharm, Dept Toxicol, Daejeon 34134, South Korea.</t>
  </si>
  <si>
    <t>ghk1900@cnu.ac.kr; sy9842@o.cnu.ac.kr; jychae95@o.cnu.ac.kr; gjaewon@o.cnu.ac.kr; jinheekim@cju.ac.kr; hgjeong@cnu.ac.kr</t>
  </si>
  <si>
    <t>KIM, JEONG-AH/Q-2453-2016; Kim, Jin/AAS-5810-2021</t>
  </si>
  <si>
    <t>Kim, Jin/0000-0002-7667-9588</t>
  </si>
  <si>
    <t>1661-6596</t>
  </si>
  <si>
    <t>1422-0067</t>
  </si>
  <si>
    <t>INT J MOL SCI</t>
  </si>
  <si>
    <t>Int. J. Mol. Sci.</t>
  </si>
  <si>
    <t>10.3390/ijms242417440</t>
  </si>
  <si>
    <t>Biochemistry &amp; Molecular Biology; Chemistry, Multidisciplinary</t>
  </si>
  <si>
    <t>Biochemistry &amp; Molecular Biology; Chemistry</t>
  </si>
  <si>
    <t>DL2D6</t>
  </si>
  <si>
    <t>WOS:001132124100001</t>
  </si>
  <si>
    <t>Flynn, RF; Haraguchi, L; Mcquaid, J; Burger, JM; Lunga, PM; Stirnimann, L; Samanta, S; Roychoudhury, AN; Fawcett, SE</t>
  </si>
  <si>
    <t>Flynn, Raquel F.; Haraguchi, Lumi; Mcquaid, Jeff; Burger, Jessica M.; Lunga, Percy Mutseka; Stirnimann, Luca; Samanta, Saumik; Roychoudhury, Alakendra N.; Fawcett, Sarah E.</t>
  </si>
  <si>
    <t>Nanoplankton: The dominant vector for carbon export across the Atlantic Southern Ocean in spring</t>
  </si>
  <si>
    <t>PHYTOPLANKTON COMMUNITY STRUCTURE; NITROGEN UPTAKE REGIME; DISSOLVED IRON; NITRATE UPTAKE; FECAL PELLETS; HIGH-NUTRIENT; MARINE; AMMONIUM; DIATOMS; GROWTH</t>
  </si>
  <si>
    <t>Across the Southern Ocean, large (&gt;= 20 mu m) diatoms are generally assumed to be the primary vector for carbon export, although this assumption derives mainly from summertime observations. Here, we investigated carbon production and export potential during the Atlantic Southern Ocean's spring bloom from size-fractionated measurements of net primary production (NPP), nitrogen (nitrate, ammonium, urea) and iron (labile inorganic iron, organically complexed iron) uptake, and a high-resolution characterization of phytoplankton community composition. The nanoplankton-sized (2.7 to 20 mu m) diatom, Chaetoceros spp., dominated the biomass, NPP, and nitrate uptake across the basin (40(degrees)S to 56(degrees)S), which we attribute to their low iron requirement, rapid response to increased light, and ability to escape grazing when aggregated into chains. We estimate that the spring Chaetoceros bloom accounted for &gt;25% of annual export production across the Atlantic Southern Ocean, a finding consistent with recent observations from other regions highlighting the central role of the phytoplankton middle class in carbon export.</t>
  </si>
  <si>
    <t>[Flynn, Raquel F.; Burger, Jessica M.; Stirnimann, Luca; Fawcett, Sarah E.] Univ Cape Town, Dept Oceanog, Cape Town, South Africa; [Haraguchi, Lumi] Finnish Environm Inst SYKE, Helsinki, Finland; [Mcquaid, Jeff] Scripps Inst Oceanog, Integrat Oceanog Div, La Jolla, CA USA; [Lunga, Percy Mutseka] Univ Pretoria, Dept Genet, Pretoria, South Africa; [Samanta, Saumik; Roychoudhury, Alakendra N.] Stellenbosch Univ, Dept Earth Sci, Stellenbosch, South Africa; [Fawcett, Sarah E.] Univ Cape Town, Marine &amp; Antarctic Ctr Res &amp; Innovat MARIS, Cape Town, South Africa</t>
  </si>
  <si>
    <t>University of Cape Town; Finnish Environment Institute; University of California System; University of California San Diego; Scripps Institution of Oceanography; University of Pretoria; Stellenbosch University; University of Cape Town</t>
  </si>
  <si>
    <t>Flynn, RF (corresponding author), Univ Cape Town, Dept Oceanog, Cape Town, South Africa.</t>
  </si>
  <si>
    <t>flyraq001@myuct.ac.za</t>
  </si>
  <si>
    <t>Samanta, Saumik/GYQ-8988-2022</t>
  </si>
  <si>
    <t>Burger, Jessica/0000-0002-8621-8005; Mutseka Lunga, Percy/0000-0002-7702-8365; Haraguchi, Lumi/0000-0001-6307-1808; Fawcett, Sarah/0000-0002-0878-6496; Stirnimann, Luca/0000-0001-5000-1720; SAMANTA, SAUMIK/0000-0002-6901-0747; Roychoudhury, Alakendra/0000-0002-5627-8891; Flynn, Raquel Francesca/0000-0003-3118-4474</t>
  </si>
  <si>
    <t>South African National Research Foundation; South African National Antarctic Programme [117035, 129232]; University of Cape Town Science Faculty Fellowship; University of Cape Town Vice-Chancellor Doctoral Research Scholarship; University of Cape Town Vice-Chancellor Future Leaders 2030 Award; European Union [844733]; Academy of Finland [342223, 335692]; Anonymous Charitable Donor Trust as part of Whales and Climate Change Program; Marie Curie Actions (MSCA) [844733] Funding Source: Marie Curie Actions (MSCA); Academy of Finland (AKA) [335692] Funding Source: Academy of Finland (AKA)</t>
  </si>
  <si>
    <t>South African National Research Foundation(National Research Foundation - South Africa); South African National Antarctic Programme; University of Cape Town Science Faculty Fellowship; University of Cape Town Vice-Chancellor Doctoral Research Scholarship; University of Cape Town Vice-Chancellor Future Leaders 2030 Award; European Union(European Union (EU)); Academy of Finland(Research Council of Finland); Anonymous Charitable Donor Trust as part of Whales and Climate Change Program; Marie Curie Actions (MSCA)(Marie Curie Actions); Academy of Finland (AKA)(Research Council of Finland)</t>
  </si>
  <si>
    <t>This work was supported by the South African National Research Foundation (R.F.F., J.M.B., and L.S.), South African National Antarctic Programme grants 117035 and 129232 (S.E.F.), University of Cape Town Science Faculty Fellowship (R.F.F.), University of Cape Town Vice-Chancellor Doctoral Research Scholarship (R.F.F. and J.M.B.), University of Cape Town Vice-Chancellor Future Leaders 2030 Award (S.E.F.), European Union's Horizon 2020 Research and Innovation Programme No. 844733 (J.M.), Academy of Finland grants 342223 and 335692 (L.H.), and Funds from an Anonymous Charitable Donor Trust as part of Whales and Climate Change Program (A.N.R.).</t>
  </si>
  <si>
    <t>eadi3059</t>
  </si>
  <si>
    <t>10.1126/sciadv.adi3059</t>
  </si>
  <si>
    <t>AR5K6</t>
  </si>
  <si>
    <t>WOS:001120198200002</t>
  </si>
  <si>
    <t>Wang, KS; Wu, D; Wu, JP; Li, S; Zhao, XY; Zheng, CW; Yu, Y; Wu, K</t>
  </si>
  <si>
    <t>Wang, Kaishan; Wu, Di; Wu, Jinping; Li, Shuang; Zhao, Xinye; Zheng, Chongwei; Yu, Yue; Wu, Kai</t>
  </si>
  <si>
    <t>Wind Energy Resources at Antarctic Stations Based on ERA5</t>
  </si>
  <si>
    <t>Antarctic; wind energy; Antarctic station; ERA5</t>
  </si>
  <si>
    <t>The harsh scientific research environment of Antarctic stations demands a reliable energy supply; however, traditional methods not only pose a challenge in supply but also harm the environment. Antarctic energy supply has become a new choice for energy development in Antarctica due to its abundant wind energy resources. Using ERA5 10 m wind field reanalysis data, we compared and analyzed the correlation (r) and Root Mean Square Error (RMSE) between some observation stations and reanalysis data, with correlations above 0.67 and root mean square error below 2.3. This indicates that the accuracy of the ERA5 data is suitable for resource assessment at stations in Antarctica. We assessed the wind energy potential of the Great Wall, Zhongshan, Kunlun and Taishan Stations. The results show that the annual distribution and long-term trend of wind energy at Taishan Station are the best, followed by the Great Wall, Zhongshan and Kunlun Stations. Taishan Station has stable wind direction and abundant wind energy, the average wind power density is 800 W/m2, with an annual growth trend of 2.02 W/m2 center dot yr-1. The effective wind speed occurrence and energy level occurrence are generally above 90% and the coefficient of variation is generally below 0.8. The dominant direction of wind energy is northeast and the wind direction is stable, which is conducive to the development and utilization of wind energy.</t>
  </si>
  <si>
    <t>[Wang, Kaishan; Wu, Di; Li, Shuang; Zhao, Xinye; Zheng, Chongwei; Yu, Yue; Wu, Kai] Dalian Naval Acad, Dalian 116018, Peoples R China; [Wang, Kaishan; Wu, Di; Zheng, Chongwei; Yu, Yue; Wu, Kai] Marine Resources &amp; Environm Res Grp Maritime Silk, Dalian 116018, Peoples R China; [Wu, Jinping] Naval Submarine Acad, Qingdao 266121, Peoples R China; [Zheng, Chongwei] Chinese Acad Sci, Inst Atmospher Phys, State Key Lab Numer Modeling Atmospher Sci &amp; Geoph, Beijing 100029, Peoples R China</t>
  </si>
  <si>
    <t>Dalian Naval Academy; Chinese Academy of Sciences; Institute of Atmospheric Physics, CAS</t>
  </si>
  <si>
    <t>Zheng, CW (corresponding author), Dalian Naval Acad, Dalian 116018, Peoples R China.;Zheng, CW (corresponding author), Marine Resources &amp; Environm Res Grp Maritime Silk, Dalian 116018, Peoples R China.;Zheng, CW (corresponding author), Chinese Acad Sci, Inst Atmospher Phys, State Key Lab Numer Modeling Atmospher Sci &amp; Geoph, Beijing 100029, Peoples R China.</t>
  </si>
  <si>
    <t>chinaoceanzcw@sina.cn</t>
  </si>
  <si>
    <t>Zheng, Chong Wei/0000-0002-1156-0201; wang, kai shan/0000-0002-3312-8030</t>
  </si>
  <si>
    <t>Shandong Provincial Key Laboratory of Ocean Engineering, Ocean University of China</t>
  </si>
  <si>
    <t>The authors would also like to thank the ECMWF for providing the wind data.</t>
  </si>
  <si>
    <t>10.3390/atmos14121732</t>
  </si>
  <si>
    <t>DG8J3</t>
  </si>
  <si>
    <t>WOS:001130963300001</t>
  </si>
  <si>
    <t>Adlhoch, C; Fusaro, A; Gonzales, JL; Kuiken, T; Mirinaviciute, G; Niqueux, É; Ståhl, K; Staubach, C; Terregino, C; Willgert, K; Baldinelli, F; Chuzhakina, K; Delacourt, R; Georganas, A; Georgiev, M; Kohnle, L</t>
  </si>
  <si>
    <t>Adlhoch, Cornelia; Fusaro, Alice; Gonzales, Jose L.; Kuiken, Thijs; Mirinaviciute, Grazina; Niqueux, Eric; Stahl, Karl; Staubach, Christoph; Terregino, Calogero; Willgert, Katriina; Baldinelli, Francesca; Chuzhakina, Kateryna; Delacourt, Roxane; Georganas, Alexandros; Georgiev, Milen; Kohnle, Lisa</t>
  </si>
  <si>
    <t>European Food Safety Authority; European Ctr Dis Prevention Contro; European Ctr Dis Prevention Contro; European Union Reference Lab Avian</t>
  </si>
  <si>
    <t>Avian influenza overview September-December 2023</t>
  </si>
  <si>
    <t>EFSA JOURNAL</t>
  </si>
  <si>
    <t>avian influenza; captive birds; HPAI; humans, monitoring; poultry; wild birds</t>
  </si>
  <si>
    <t>RECEPTOR-BINDING SPECIFICITY; 2.3.4.4B HA GENE; HUMAN INFECTIONS; A(H3N8) VIRUS; REPLICATION; HEMAGGLUTININ; EVOLUTION; BEARING</t>
  </si>
  <si>
    <t>Between 2 September and 1 December 2023, highly pathogenic avian influenza (HPAI) A(H5) outbreaks were reported in domestic (88) and wild (175) birds across 23 countries in Europe. Compared to previous years, the increase in the number of HPAI virus detections in waterfowl has been delayed, possibly due to a later start of the autumn migration of several wild bird species. Common cranes were the most frequently affected species during this reporting period with mortality events being described in several European countries. Most HPAI outbreaks reported in poultry were primary outbreaks following the introduction of the virus by wild birds, with the exception of Hungary, where two clusters involving secondary spread occurred. HPAI viruses identified in Europe belonged to eleven different genotypes, seven of which were new. With regard to mammals, the serological survey conducted in all fur farms in Finland revealed 29 additional serologically positive farms during this reporting period. Wild mammals continued to be affected mostly in the Americas, from where further spread into wild birds and mammals in the Antarctic region was described for the first time. Since the last report and as of 1 December 2023, three fatal and one severe human A(H5N1) infection with clade 2.3.2.1c viruses have been reported by Cambodia, and one A(H9N2) infection was reported from China. No human infections related to the avian influenza detections in animals in fur farms in Finland have been reported, and human infections with avian influenza remain a rare event. The risk of infection with currently circulating avian H5 influenza viruses of clade 2.3.4.4b in Europe remains low for the general population in the EU/EEA. The risk of infection remains low to moderate for occupationally or otherwise exposed people to infected birds or mammals (wild or domesticated); this assessment covers different situations that depend on the level of exposure.</t>
  </si>
  <si>
    <t>biohaw@efsa.europa.eu</t>
  </si>
  <si>
    <t>Niqueux, Eric/0009-0008-1551-1934; Georganas, Alexandros/0000-0002-7235-0902; Terregino, Calogero/0000-0002-7727-3336</t>
  </si>
  <si>
    <t>111 RIVER ST, HOBOKEN, NJ 07030 USA</t>
  </si>
  <si>
    <t>1831-4732</t>
  </si>
  <si>
    <t>EFSA J</t>
  </si>
  <si>
    <t>EFSA J.</t>
  </si>
  <si>
    <t>e8539</t>
  </si>
  <si>
    <t>10.2903/j.efsa.2023.8539</t>
  </si>
  <si>
    <t>CU1R1</t>
  </si>
  <si>
    <t>WOS:001127664700001</t>
  </si>
  <si>
    <t>Zhu, DY; Zhou, CX; Zhu, YK; Wang, T; Zhang, C</t>
  </si>
  <si>
    <t>Zhu, Dongyu; Zhou, Chunxia; Zhu, Yikai; Wang, Tao; Zhang, Ce</t>
  </si>
  <si>
    <t>Monitoring of Supraglacial Lake Distribution and Full-Year Changes Using Multisource Time-Series Satellite Imagery</t>
  </si>
  <si>
    <t>supraglacial lakes; full-year monitoring; OCO method; buried lake; Google Earth Engine; Petermann Glacier</t>
  </si>
  <si>
    <t>GREENLAND ICE-SHEET; SEASONAL EVOLUTION; PETERMANN GLACIER; BURIED LAKES; DRAINAGES; STREAMS; SHELF</t>
  </si>
  <si>
    <t>Change of supraglacial lakes (SGLs) is an important hydrological activity on the Greenland ice sheet (GrIS), and storage and drainage of SGLs occur throughout the year. However, current studies tend to split SGL changes into melt/non-melt seasons, ignoring the effect of buried lakes in the exploration of drainage, and the existing threshold-based approach to SGL extraction in a synthetic aperture radar (SAR) is influenced by the choice of the study area mask. In this study, a new method (Otsu-Canny-Otsu (OCO)), which accesses the features of SGLs on optical and SAR images objectively, is proposed for full-year SGL extraction with Google Earth Engine (GEE). The SGLs on the Petermann Glacier were monitored well by OCO throughout 2021, including buried lakes and more detailed rapid drainage events. Some SGLs' extent varied minimally in a year (area varying by 10-25%) while some had very rapid drainage (a rapid drainage event from July 26 to 30). The SGL extraction results were influenced by factors such as the mode of polarization, the surface environment, and the depth of the lake. The OCO method can provide a more comprehensive analysis for SGL changes throughout the year.</t>
  </si>
  <si>
    <t>[Zhu, Dongyu; Zhou, Chunxia; Zhu, Yikai; Wang, Tao] Wuhan Univ, Chinese Antarctic Ctr Surveying &amp; Mapping, Wuhan 430079, Peoples R China; [Zhu, Dongyu; Zhang, Ce] Univ Lancaster, Lancaster Environm Ctr, Lancaster LA1 4YB, England; [Zhang, Ce] UK Ctr Ecol &amp; Hydrol, Lib Ave, Lancaster LA1 4AP, England; [Zhang, Ce] Univ Bristol, Sch Geog Sci, Bristol BS8 1QU, England</t>
  </si>
  <si>
    <t>Wuhan University; Lancaster University; UK Centre for Ecology &amp; Hydrology (UKCEH); University of Bristol</t>
  </si>
  <si>
    <t>Zhang, C (corresponding author), Univ Lancaster, Lancaster Environm Ctr, Lancaster LA1 4YB, England.;Zhang, C (corresponding author), UK Ctr Ecol &amp; Hydrol, Lib Ave, Lancaster LA1 4AP, England.;Zhang, C (corresponding author), Univ Bristol, Sch Geog Sci, Bristol BS8 1QU, England.</t>
  </si>
  <si>
    <t>zdy1229@whu.edu.cn; zhoucx@whu.edu.cn; zhuyikai@whu.edu.cn; taowang@whu.edu.cn; c.zhang9@lancaster.ac.uk</t>
  </si>
  <si>
    <t>Wang, Tao/K-1644-2013; Zhu, Yikai/AAW-6284-2021</t>
  </si>
  <si>
    <t>Wang, Tao/0000-0001-5004-160X; Zhu, Yikai/0000-0002-6613-0188; Zhang, Ce/0000-0001-5100-3584</t>
  </si>
  <si>
    <t>10.3390/rs15245726</t>
  </si>
  <si>
    <t>DF1W0</t>
  </si>
  <si>
    <t>WOS:001130533300001</t>
  </si>
  <si>
    <t>Murase, K; Kataoka, R; Nishiyama, T; Sato, K; Tsutsumi, M; Tanaka, Y; Ogawa, Y; Sato, T</t>
  </si>
  <si>
    <t>Murase, Kiyoka; Kataoka, Ryuho; Nishiyama, Takanori; Sato, Kaoru; Tsutsumi, Masaki; Tanaka, Yoshimasa; Ogawa, Yasunobu; Sato, Tatsuhiko</t>
  </si>
  <si>
    <t>Atmospheric Ionizations by Solar X-Rays, Solar Protons, and Radiation Belt Electrons in September 2017 Space Weather Event</t>
  </si>
  <si>
    <t>SPACE WEATHER-THE INTERNATIONAL JOURNAL OF RESEARCH AND APPLICATIONS</t>
  </si>
  <si>
    <t>atmospheric ionization; energetic particle precipitation; solar flares; solar protons; radiation belt electrons</t>
  </si>
  <si>
    <t>PRECIPITATION; EISCAT; IONOSPHERE; AURORA; WAVES</t>
  </si>
  <si>
    <t>Energetic particles from space deposit their energies on the Earth's atmosphere and contribute to variations in the concentration of neutral components such as ozone which controls the atmospheric temperature balance. Comprehensive understandings of their global impact on the atmosphere require whole pictures of spatiotemporal ionization distributions due to them. We first attempt to evaluate and summarize the altitude profiles of ionization for the September 2017 space weather event with cutting-edge space-borne and ground-based observations of different types of particle inputs. In early September 2017, the Sun showed notable activity, including X-class flares and solar proton events. During this period, ground-based radar observations have confirmed atmospheric ionization events by energetic particle precipitations of solar flare X-rays, solar protons, and radiation belt electrons, the main sources of ionization into the Earth's atmosphere. We estimate the altitude profiles of the ionization rate by using the Particle and Heavy Ion Transport code System (PHITS) with the input of the particle fluxes obtained by satellites. The estimates are then compared with measurements of the ionization altitude, ionization intensity, and electron density by the radars in the polar region, such as the PANSY radar at Syowa Station and the EISCAT in Tromso, Norway. We conclude that the PHITS simulation results reasonably reproduce (within the error of a factor of two) those ionizations measured by ground-based instruments with inputs of observed ionization sources by satellites. Space weather can affect the Earth's environment and human activities via electromagnetic radiation and charged particles. It is now known that energetic particles precipitating into the Earth's atmosphere from space also affect the variability of atmospheric composition, such as ozone depletion, which is responsible for changes in the Earth's climate and weather. To properly understand these effects on the atmosphere, this study first attempted to quantitatively assess the ionization of the atmosphere that occurs when particle energy is carried to the atmosphere. In September 2017, multiple solar flares triggered space weather events. During that period, transient atmospheric ionization was observed due to the major sources of energetic particles in the Earth's atmosphere: X-rays from solar flares, solar protons emitted during the flares, and energetic electrons due to solar wind disturbances. We reproduced the observed ionization by ground-based instruments for all three sources, based on the particle measured by satellites, roughly within the error of a factor of 2. Such quantitative connections between those energetic particles and the concurrent ionization provide a better understanding of the overall picture of energetic particle effects on the atmosphere. Atmospheric ionization by energetic particles is examined for September 2017 space weather eventSolar X-rays, solar protons, and radiation belt electrons as observed by satellites are used for Particle and Heavy Ion Transport code System (PHITS)-simulation inputsThose ionizations in the mesosphere measured by ground-based instruments are reasonably reproduced by the PHITS simulation</t>
  </si>
  <si>
    <t>[Murase, Kiyoka; Kataoka, Ryuho; Nishiyama, Takanori; Tsutsumi, Masaki; Tanaka, Yoshimasa; Ogawa, Yasunobu] Grad Univ Adv Studies, SOKENDAI, Tokyo, Japan; [Kataoka, Ryuho; Nishiyama, Takanori; Tsutsumi, Masaki; Tanaka, Yoshimasa; Ogawa, Yasunobu] Natl Inst Polar Res, Tokyo, Japan; [Sato, Kaoru] Univ Tokyo, Tokyo, Japan; [Sato, Tatsuhiko] Japan Atom Energy Agcy, Ibaraki, Japan</t>
  </si>
  <si>
    <t>Graduate University for Advanced Studies - Japan; Research Organization of Information &amp; Systems (ROIS); National Institute of Polar Research (NIPR) - Japan; University of Tokyo; Japan Atomic Energy Agency</t>
  </si>
  <si>
    <t>Murase, K (corresponding author), Grad Univ Adv Studies, SOKENDAI, Tokyo, Japan.</t>
  </si>
  <si>
    <t>murase.kiyoka@nipr.ac.jp</t>
  </si>
  <si>
    <t>Sato, Tatsuhiko/G-5964-2012; Nishiyama, Takanori/D-5546-2016</t>
  </si>
  <si>
    <t>Nishiyama, Takanori/0000-0002-3648-6589; Murase, Kiyoka/0000-0001-8871-9199; Ogawa, Yasunobu/0000-0002-8118-4475; Kataoka, Ryuho/0000-0001-9400-1765</t>
  </si>
  <si>
    <t>China (CRIRP); Finland (SA); Japan (NIPR); Norway (NFR); Sweden (VR); United Kingdom (NERC); Research Program of Japanese Antarctic Research Expedition (JARE) of the MEXT; IUGONET (Inter-university Upper atmosphere Global Observation NETwork) project; JST; University fellowships towards the creation of science technology innovation [JPMJFS2136]</t>
  </si>
  <si>
    <t>China (CRIRP); Finland (SA); Japan (NIPR); Norway (NFR)(Research Council of Norway); Sweden (VR)(Swedish Research Council); United Kingdom (NERC)(UK Research &amp; Innovation (UKRI)Natural Environment Research Council (NERC)); Research Program of Japanese Antarctic Research Expedition (JARE) of the MEXT; IUGONET (Inter-university Upper atmosphere Global Observation NETwork) project; JST(Japan Science &amp; Technology Agency (JST)); University fellowships towards the creation of science technology innovation</t>
  </si>
  <si>
    <t>PANSY is a multi-institutional project with a core of the University of Tokyo and National Institute of Polar Research. The EISCAT is an international association supported by research organizations in China (CRIRP), Finland (SA), Japan (NIPR), Norway (NFR), Sweden (VR), and the United Kingdom (NERC). The observations at Syowa Station were mainly supported by the Research Program of Japanese Antarctic Research Expedition (JARE) of the MEXT. The redistribution of ground-based observational data has been supported by the IUGONET (Inter-university Upper atmosphere Global Observation NETwork) project. This work was supported by JST, the establishment of university fellowships towards the creation of science technology innovation, Grant JPMJFS2136.</t>
  </si>
  <si>
    <t>1542-7390</t>
  </si>
  <si>
    <t>SPACE WEATHER</t>
  </si>
  <si>
    <t>Space Weather</t>
  </si>
  <si>
    <t>e2023SW003651</t>
  </si>
  <si>
    <t>10.1029/2023SW003651</t>
  </si>
  <si>
    <t>Astronomy &amp; Astrophysics; Geochemistry &amp; Geophysics; Meteorology &amp; Atmospheric Sciences</t>
  </si>
  <si>
    <t>DI8S6</t>
  </si>
  <si>
    <t>WOS:001131501700001</t>
  </si>
  <si>
    <t>Marshall, TA; Beal, L; Sigman, DM; Fawcett, SE</t>
  </si>
  <si>
    <t>Marshall, Tanya A.; Beal, Lisa; Sigman, Daniel M.; Fawcett, Sarah E.</t>
  </si>
  <si>
    <t>Instabilities Across the Agulhas Current Enhance Upward Nitrate Supply in the Southwest Subtropical Indian Ocean</t>
  </si>
  <si>
    <t>AGU ADVANCES</t>
  </si>
  <si>
    <t>Agulhas Current; western boundary current; (sub)mesoscale instabilities; nitrate isotopes; nitrate entrainment; ocean productivity</t>
  </si>
  <si>
    <t>OXYGEN ISOTOPIC COMPOSITION; SARGASSO SEA; NUTRIENT TRANSPORT; EXPORT PRODUCTION; MESOSCALE EDDIES; ORGANIC-MATTER; EUPHOTIC ZONE; NITROGEN; PHYTOPLANKTON; THERMOCLINE</t>
  </si>
  <si>
    <t>The Agulhas Current, like other western boundary currents (WBCs), transports nutrients laterally from the tropics to the subtropics in a subsurface nutrient stream. These nutrients are predominantly supplied to surface waters by seasonal convective mixing, to fuel a brief period of productivity before phytoplankton become nutrient-limited. Episodic mixing events characteristic of WBC systems can temporarily alleviate nutrient scarcity by vertically entraining deep nutrients into surface waters. However, our understanding of these nutrient fluxes is lacking because they are spatio-temporally limited, and once they enter the sunlit layer, the nutrients are rapidly consumed by phytoplankton. Here, we use a novel application of nitrate Delta(15-18), the difference between the nitrogen and oxygen isotope ratios of nitrate, to characterize three (sub)mesoscale events of upward nitrate supply across the Agulhas Current in winter: (1) mixing at the edges of an anticyclonic eddy, (2) inshore upwelling associated with a submesoscale meander of the Agulhas Current, and (3) overturning at the edge of the current core driven by submesoscale instabilities. All three events manifest as upward injections of high-Delta(15-18) nitrate into the thermocline and surface where nitrate Delta(15-18) is otherwise low; these entrainment events are not always apparent in the other co-collected data. The dynamics driving the nitrate supply events are common to all WBCs, implying that nutrient entrainment facilitated by WBCs is quantitatively significant and supports productivity in otherwise oligotrophic subtropical surface waters. A future rise in energy across WBC systems may increase these nutrient fluxes, partly offsetting the predicted stratification-induced decrease in subtropical ocean fertility. Strong and fast-flowing currents transport heat, salt, and nutrients from the warm tropical ocean to the cooler subtropics along the western boundary of all ocean basins. Productivity in the subtropics is limited by nutrients such as nitrogen, which are trapped below the sunlit surface layer due to strong temperature differences between the upper layer and the waters beneath. Wind-driven mixing in winter/spring temporarily erodes this temperature gradient, supplying nutrients to the surface that are rapidly consumed by phytoplankton. Short-lived and small-scale mixing events may significantly enhance the seasonal nutrient supply in and around highly energetic western boundary currents (WBCs), although such events have proven difficult to observe. Here, we use nitrate isotope ratios to identify three mechanisms of deep nutrient supply to the surface waters of the Agulhas Current, the WBC of the South Indian Ocean. These mechanisms include upward mixing of nutrients at the edges of an eddy, upwelling of deep, nutrient-rich water onto the continental shelf inshore of the current, and subsurface mixing of nutrient-rich water at the edge of the current's rapidly-flowing core. It is likely that similar nutrient supply events occur in all WBC systems, thereby enhancing subtropical ocean productivity. Nitrate isotopes record unique spatio-temporal information on the nitrate supply, by tracing both physical mixing and biological consumptionMesoscale and submesoscale instabilities drive upward mixing of deep nitrate into the oligotrophic surface waters of the Agulhas CurrentWestern boundary currents likely facilitate significant nitrate entrainment, enhancing regional fertility in otherwise oligotrophic waters</t>
  </si>
  <si>
    <t>[Marshall, Tanya A.; Fawcett, Sarah E.] Univ Cape Town, Dept Oceanog, Cape Town, South Africa; [Beal, Lisa] Univ Miami, Rosenstiel Sch Marine Atmospher &amp; Earth Sci, Miami, FL USA; [Sigman, Daniel M.] Princeton Univ, Dept Geosci, Princeton, NJ USA; [Fawcett, Sarah E.] Univ Cape Town, Marine &amp; Antarctic Ctr Res &amp; Innovat MARIS, Cape Town, South Africa</t>
  </si>
  <si>
    <t>University of Cape Town; University of Miami; Princeton University; University of Cape Town</t>
  </si>
  <si>
    <t>Marshall, TA (corresponding author), Univ Cape Town, Dept Oceanog, Cape Town, South Africa.</t>
  </si>
  <si>
    <t>tanya.marshall@uct.ac.za</t>
  </si>
  <si>
    <t>Sigman, Daniel M./IYJ-2613-2023</t>
  </si>
  <si>
    <t>Fawcett, Sarah/0000-0002-0878-6496; Sigman, Daniel/0000-0002-7923-1973; Marshall, Tanya/0000-0002-5982-5926</t>
  </si>
  <si>
    <t>National Research Foundation; South African Department of Forestry, Fisheries; Department of Science and Innovation [114673, 130826, 115335, 129320, 116142, 129220]; South African National Research Foundation; University of Cape Town; Royal Society [1459543, 1851430]; United States National Science Foundation</t>
  </si>
  <si>
    <t>National Research Foundation; South African Department of Forestry, Fisheries; Department of Science and Innovation; South African National Research Foundation(National Research Foundation - South Africa); University of Cape Town; Royal Society(Royal Society); United States National Science Foundation(National Science Foundation (NSF))</t>
  </si>
  <si>
    <t>We thank the Captain and crew of the R/V SA Agulhas II and the ASCA16 cruise participants, particularly Isabelle Ansorge, Gavin Louw, and Raquel Flynn. We are grateful to Sergey Oleynik and Raymond Roman for help with sample analysis and to Jamie Palter for constructive discussions that improved our interpretation of the data. We also acknowledge SEAmester () and the support of the South African Department of Forestry, Fisheries, and the Environment and the Department of Science and Innovation, particularly through the Biogeochemistry Research Infrastructure Platform (BIOGRIP). This research was supported by the South African National Research Foundation (114673 and 130826 to T.A.M., 115335, 129320, and 116142 to S.E.F., 129220 to the SEAmester program), University of Cape Town (T.A.M., S.E.F.), Royal Society (FLAIR fellowship to S.E.F.), and United States National Science Foundation (1459543 to L.M.B.; 1851430 to D.M.S.).</t>
  </si>
  <si>
    <t>2576-604X</t>
  </si>
  <si>
    <t>AGU ADV</t>
  </si>
  <si>
    <t>AGU Adv.</t>
  </si>
  <si>
    <t>e2023AV000973</t>
  </si>
  <si>
    <t>10.1029/2023AV000973</t>
  </si>
  <si>
    <t>CN5H2</t>
  </si>
  <si>
    <t>WOS:001125936000001</t>
  </si>
  <si>
    <t>Garreaud, R; Bozkurt, D; Spangrude, C; Carrasco-Escaff, T; Rondanelli, R; Muñoz, R; Jubier, XM; Lazzara, M; Keller, L; Rojo, P</t>
  </si>
  <si>
    <t>Garreaud, Rene; Bozkurt, Deniz; Spangrude, Carl; Carrasco-Escaff, Tomas; Rondanelli, Roberto; Munoz, Ricardo; Jubier, Xavier M.; Lazzara, Matthew; Keller, Linda; Rojo, Patricio</t>
  </si>
  <si>
    <t>Cooling the Coldest Continent The 4 December 2021 Total Solar Eclipse over Antarctica</t>
  </si>
  <si>
    <t>BULLETIN OF THE AMERICAN METEOROLOGICAL SOCIETY</t>
  </si>
  <si>
    <t>Antarctica; Energy budget/ balance; Regional effects; Surface observations; Numerical analysis/modeling</t>
  </si>
  <si>
    <t>ATMOSPHERIC BOUNDARY-LAYER; POLAR WEATHER RESEARCH; METEOROLOGICAL VARIABLES; MARCH 2006; MODEL; TEMPERATURE; IMPLEMENTATION</t>
  </si>
  <si>
    <t>Total solar eclipses (TSEs) are impressive astronomical events that have attracted people's curiosity since ancient times. Their abrupt alterations to the radiation balance have stimulated studies on eclipse meteorology, most of them documenting events in the Northern Hemisphere while only one TSE (23 November 2003) has been described over Antarctica. On 4 December 2021-just a few days before the austral summer solstice-the moon blocked the sun over the austral high latitudes, with the path of totality arching from the Weddell Sea to the Amundsen Sea, thus producing a similar to 2-min central TSE. In this work we present high-resolution meteorological observations from Union Glacier Camp (80 degrees S, 83 degrees W), the only location with a working station under totality, and South Pole station. These observations were complemented with meteorological records from 37 surface stations across Antarctica. Notably, the largest cooling (similar to 5 degrees C) was observed over the East Antarctic dome, where obscurity was similar to 85% while many sectors experienced insignificant temperature changes. This heterogenous cooling distribution, at odds with the seemingly homogeneous land surface of Antarctica, is partially captured by a simple radiative model. To further diagnose the effect of the eclipse on the surface meteorology, we ran multiple pairs of simulations (eclipse enabled and disabled) using the Weather Research and Forecasting (WRF) Model. The overall pattern and magnitude of the simulated cooling agree well with the observations and reveal that, in addition to the solar radiation deficit and cloud cover, low-level winds and the height of the planetary boundary layer are key determinants of the temperature changes and their spatial variability.</t>
  </si>
  <si>
    <t>[Garreaud, Rene; Rondanelli, Roberto; Munoz, Ricardo] Univ Chile, Geophys Dept, Santiago, Chile; [Garreaud, Rene; Bozkurt, Deniz; Carrasco-Escaff, Tomas; Rondanelli, Roberto] Univ Chile, Ctr Climate &amp; Resilience Res, Santiago, Chile; [Bozkurt, Deniz] Univ Valparaiso, Meteorol Dept, Valparaiso, Chile; [Spangrude, Carl] Montana Space Grant, Dept Meteorol, Missoula, MT USA; [Jubier, Xavier M.] IAU, Paris, France; [Lazzara, Matthew; Keller, Linda] Univ Wisconsin Madison, Antarctic Meteorol Res &amp; Data Ctr, Madison, WI USA; [Lazzara, Matthew] Madison Area Tech Coll, Madison, WI USA; [Rojo, Patricio] Univ Chile, Dept Astron, Santiago, Chile</t>
  </si>
  <si>
    <t>Universidad de Chile; Universidad de Chile; Universidad de Valparaiso; University of Wisconsin System; University of Wisconsin Madison; Universidad de Chile</t>
  </si>
  <si>
    <t>Rojo, P (corresponding author), Univ Chile, Dept Astron, Santiago, Chile.</t>
  </si>
  <si>
    <t>pato@das.uchile.cl</t>
  </si>
  <si>
    <t>Bozkurt, Deniz/C-9797-2013; Munoz, Ricardo/A-1967-2011; Rondanelli, Roberto/A-4717-2012</t>
  </si>
  <si>
    <t>Carrasco Escaff, Tomas/0000-0002-2564-051X; Munoz, Ricardo/0000-0002-4434-5620; Rondanelli, Roberto/0000-0002-7440-7810</t>
  </si>
  <si>
    <t>U.S. National Science Foundation [1924730]; NOAA Global Monitoring Division; Chilean Army; ANID/FONDAP (CR2) [1523A0002, RT 70-20]; Supercomputing infrastructure of the NLHPC at Universidad de Chile</t>
  </si>
  <si>
    <t>U.S. National Science Foundation(National Science Foundation (NSF)); NOAA Global Monitoring Division(National Oceanic Atmospheric Admin (NOAA) - USA); Chilean Army; ANID/FONDAP (CR2); Supercomputing infrastructure of the NLHPC at Universidad de Chile</t>
  </si>
  <si>
    <t>The Antarctic field work conducted by PR and RG was enabled by INACH Project RT 70-20. RG is supported by ANID/FONDAP Grant 1523A0002 (CR2) . ML and LK are supported by the U.S. National Science Foundation Grant 1924730. SPO data were kindly provided by NOAA Global Monitoring Division. We are grateful to Graham Moss for his support on conducting WRF simulations. This research was partially supported by the supercomputing infrastructure of the NLHPC at Universidad de Chile. We are indebted to the INACH staff that support field operations at Union Glacier camp, especially Dr. Ricardo Jana and Pablo Espinoza, as well as the military personnel in charge of the camp commanded by Coronel Rodrigo Lopez Rojas from the Chilean Army.</t>
  </si>
  <si>
    <t>0003-0007</t>
  </si>
  <si>
    <t>1520-0477</t>
  </si>
  <si>
    <t>B AM METEOROL SOC</t>
  </si>
  <si>
    <t>Bull. Amer. Meteorol. Soc.</t>
  </si>
  <si>
    <t>E2265</t>
  </si>
  <si>
    <t>E2285</t>
  </si>
  <si>
    <t>10.1175/BAMS-D-22-0272.1</t>
  </si>
  <si>
    <t>CQ4H6</t>
  </si>
  <si>
    <t>WOS:001126691800001</t>
  </si>
  <si>
    <t>Audh, RR; Fawcett, SE; Johnson, S; Rampai, T; Vichi, M</t>
  </si>
  <si>
    <t>Audh, Riesna R.; Fawcett, Sarah E.; Johnson, Siobhan; Rampai, Tokoloho; Vichi, Marcello</t>
  </si>
  <si>
    <t>Rafting of Growing Antarctic Sea Ice Enhances In-Ice Biogeochemical Activity in Winter</t>
  </si>
  <si>
    <t>sea ice; biogeochemistry; Antarctica; winter; marginal ice zone; cores</t>
  </si>
  <si>
    <t>OCEAN HEAT-FLUX; WEDDELL SEA; ALGAL BIOMASS; SNOW-COVER; NUTRIENT; GROWTH; PROFILES; INSIGHTS; RATES</t>
  </si>
  <si>
    <t>The study of Antarctic first-year sea-ice biogeochemistry has been limited by samples mostly being collected in pack ice during summer, with few winter data available. Measurements from the Antarctic marginal ice zone (AMIZ) have proven even more difficult to obtain. The AMIZ is a broad, circumpolar feature of the Southern Ocean found at different latitudes during the year where light and nutrients are high enough to sustain primary production and influence ecosystem functioning. We present the first biogeochemical data set from growing ice collected in the Atlantic AMIZ during winter 2019, including measurements from young pancake ice (YI) and consolidated first-year ice (FYI). Measurements of sea-ice temperature, salinity, crystal structure, delta 18O, chlorophyll, and nutrient concentrations were used to investigate the winter sea-ice habitat and decipher the conditions under which the ice formed and grew. Model simulations support the hypothesis that nutrient accumulation in advancing sea ice cannot be explained by passive seawater entrainment and thermodynamics alone. Our data confirm that winter sea ice is biogeochemically active and accumulates remineralized nutrients. We further propose that mechanical thickening enhances the reservoir of nutrients during the ice growth season. The biogeochemical transition from YI to FYI does not appear to be a linear progression of thickness with habitat space reduction as sea ice consolidates. Instead, FYI bulk biogeochemistry results from multiple cycles of rafting of YI, which conserves the biogeochemical properties of YI in the FYI, ultimately increasing the overall nutrient and chlorophyll content. The Antarctic marginal ice zone (AMIZ) is a region of intense air-sea interactions where sea ice begins to form during winter. It is generally assumed that little to no biological activity occurs in winter sea ice, with the chemical and biological composition of the ice instead set by seawater that is incorporated during ice formation. We sampled young ice (YI) and first-year ice (FYI; collectively, growing sea ice) in the Atlantic AMIZ in winter 2019, the first such collection from this region. Our measurements of sea-ice crystal structure and oxygen isotopes suggest that the FYI formed from repeated breaking and piling up of younger ice. This idea is supported by model experiments showing that the FYI was the result of more than just temperature-driven thickening of YI. Additionally, our measurements and modeling of nutrients and chlorophyll in the ice strongly suggest that the biological community was active during winter. Our findings challenge the assumption that winter sea ice is biologically inactive and suggest that the biological and chemical signatures of YI are conserved as growing ice is broken up and reformed. The results of our study will help to improve and validate future modeling efforts. We present the first biogeochemical data for young and growing sea ice in the Atlantic Antarctic marginal ice zoneWinter sea ice is biogeochemically active and acts as a reservoir of concentrated nutrients during the ice growth seasonThe biogeochemical signature of individual floes is conserved during rafting, leading to enhanced nutrients and chlorophyll-a in first-year sea ice</t>
  </si>
  <si>
    <t>[Audh, Riesna R.; Fawcett, Sarah E.; Vichi, Marcello] Univ Cape Town, Dept Oceanog, Rondebosch, South Africa; [Fawcett, Sarah E.; Rampai, Tokoloho; Vichi, Marcello] Univ Cape Town, Marine &amp; Antarctic Res Ctr Innovat &amp; Sustainabil, Rondebosch, South Africa; [Johnson, Siobhan; Rampai, Tokoloho] Univ Cape Town, Dept Chem Engn, Rondebosch, South Africa</t>
  </si>
  <si>
    <t>University of Cape Town; University of Cape Town; University of Cape Town</t>
  </si>
  <si>
    <t>Audh, RR (corresponding author), Univ Cape Town, Dept Oceanog, Rondebosch, South Africa.</t>
  </si>
  <si>
    <t>rr.audh@saeon.nrf.ac.za</t>
  </si>
  <si>
    <t>; Vichi, Marcello/B-8719-2008</t>
  </si>
  <si>
    <t>Fawcett, Sarah/0000-0002-0878-6496; Vichi, Marcello/0000-0002-0686-9634; Audh, Riesna Reuben/0000-0002-4163-4515</t>
  </si>
  <si>
    <t>Horizon 2020 Framework Programme [18745, 129232]; National Research Foundation of South Africa through the South African National Antarctic Program [101003826, CRiceS]; European Union's Horizon 2020 Research and Innovation Program; Marine Biogeochemistry Lab at the University of Cape Town; South African Department of Science and Innovation's Biogeochemistry Research Infrastructure Platform</t>
  </si>
  <si>
    <t>Horizon 2020 Framework Programme(Horizon 2020); National Research Foundation of South Africa through the South African National Antarctic Program; European Union's Horizon 2020 Research and Innovation Program(Horizon 2020); Marine Biogeochemistry Lab at the University of Cape Town; South African Department of Science and Innovation's Biogeochemistry Research Infrastructure Platform</t>
  </si>
  <si>
    <t>This research was supported by the National Research Foundation of South Africa through the South African National Antarctic Program (Grants 18745 and 129232). This work also received funding from the European Union's Horizon 2020 Research and Innovation Program under grant agreement no. 101003826 via project CRiceS (Climate Relevant interactions and feedbacks: the key role of sea ice and Snow in the polar and global climate system). The authors would like to acknowledge the Captain and crew of the R/V S.A. Agulhas II and the Marine Biogeochemistry Lab at the University of Cape Town, and to thank Dr. Raymond Roman and Joshua Mirkin for help with sample analysis, and Hazel Little and Dr. Adam West for laboratory support. The authors also acknowledge the South African Department of Science and Innovation's Biogeochemistry Research Infrastructure Platform and the South African Polar Research Infrastructure for research infrastructure support.</t>
  </si>
  <si>
    <t>e2023JC019925</t>
  </si>
  <si>
    <t>10.1029/2023JC019925</t>
  </si>
  <si>
    <t>CW6R4</t>
  </si>
  <si>
    <t>WOS:001128315600001</t>
  </si>
  <si>
    <t>Barker, S; Knorr, G</t>
  </si>
  <si>
    <t>Barker, Stephen; Knorr, Gregor</t>
  </si>
  <si>
    <t>A Systematic Role for Extreme Ocean-Atmosphere Oscillations in the Development of Glacial Conditions Since the Mid Pleistocene Transition</t>
  </si>
  <si>
    <t>PALEOCEANOGRAPHY AND PALEOCLIMATOLOGY</t>
  </si>
  <si>
    <t>GREENLAND ICE-CORE; MERIDIONAL OVERTURNING CIRCULATION; MILLENNIAL CLIMATE VARIABILITY; SEA-SURFACE TEMPERATURE; NORTH-ATLANTIC; DEEP ATLANTIC; DOME C; DUST VARIABILITY; CARBON STORAGE; LAST</t>
  </si>
  <si>
    <t>We introduce a new hypothesis concerning the role of internal climate dynamics in the non-linear transitions from interglacial to glacial (IG-G) state since the Mid Pleistocene Transition (MPT). These transitions encompass large and abrupt changes in atmospheric CO2, ice volume, and temperature that we suggest involve critical interactions between insolation and high amplitude oscillations in ocean/atmosphere circulation patterns. Specifically, we highlight the large amplitude of millennial-scale climate oscillations across the transition from Marine Isotope Stage (MIS) 5 to 4, which we argue led to amplified cooling of the deep ocean and we demonstrate that analogous episodes of extreme cooling systematically preceded glacial periods of the last 800 kyr. We suggest that such cooling necessitates a reconfiguration of the deep ocean to avoid a density paradox between northern and southern-sourced deep waters (SSW), which could be accomplished by increasing the relative volume and or salinity of SSW, thus providing the necessary storage capacity for the subsequent (delayed) and relatively abrupt drawdown of CO2. We therefore explain the transient decoupling of Antarctic temperature from CO2 across MIS 5/4 as a direct consequence of millennial activity at that time. We further show that similar climatic decoupling typically occurred during times of low obliquity and was a ubiquitous feature of IG-G transitions over the past 800 kyr, producing the appearance of bimodality in records of CO2, benthic delta 18O and others. Finally we argue that the apparent lack of bimodality in the pre-MPT record of benthic delta 18O implies that the dynamics associated with IG-G transitions changed across the MPT. Extreme interstadial-like millennial-scale Antarctic cooling systematically preceded transitions to a glacial state throughout the past 800 kyrSuch cooling could promote glacial ocean stratification by volume expansion and or salinification of southern-sourced deep watersThese dynamics can explain the abrupt nature of interglacial-glacial changes in for example, CO2 since the Mid Pleistocene Transition but apparently not before</t>
  </si>
  <si>
    <t>[Barker, Stephen] Cardiff Univ, Sch Earth &amp; Environm Sci, Cardiff, Wales; [Knorr, Gregor] Alfred Wegener Inst AWI, Helmholtz Ctr Polar &amp; Marine Res, Bremerhaven, Germany</t>
  </si>
  <si>
    <t>Cardiff University; Helmholtz Association; Alfred Wegener Institute, Helmholtz Centre for Polar &amp; Marine Research</t>
  </si>
  <si>
    <t>Barker, S (corresponding author), Cardiff Univ, Sch Earth &amp; Environm Sci, Cardiff, Wales.;Knorr, G (corresponding author), Alfred Wegener Inst AWI, Helmholtz Ctr Polar &amp; Marine Res, Bremerhaven, Germany.</t>
  </si>
  <si>
    <t>barkers3@cf.ac.uk; Gregor.Knorr@awi.de</t>
  </si>
  <si>
    <t>Stephen, Barker/C-2770-2009</t>
  </si>
  <si>
    <t>Knorr, Gregor/0000-0002-8317-5046; Barker, Stephen/0000-0001-7870-6431</t>
  </si>
  <si>
    <t>BMBF; Projekt DEAL</t>
  </si>
  <si>
    <t>BMBF(Federal Ministry of Education &amp; Research (BMBF)); Projekt DEAL</t>
  </si>
  <si>
    <t>We thank the authors of all datasets used here for making their results freely available. This study contributes to the Helmholtz research programme Changing Earth-Sustaining our Future and the German Paleomodelling Research Project PalMod, funded by the BMBF. We thank P. C. Tzedakis for advice on MIS nomenclature. We thank three anonymous reviewers for their constructive suggestions. This is Cardiff EARTH CRediT contribution #10. Open Access funding enabled and organized by Projekt DEAL.</t>
  </si>
  <si>
    <t>2572-4517</t>
  </si>
  <si>
    <t>2572-4525</t>
  </si>
  <si>
    <t>PALEOCEANOGR PALEOCL</t>
  </si>
  <si>
    <t>Paleoceanogr. Paleoclimatology</t>
  </si>
  <si>
    <t>e2023PA004690</t>
  </si>
  <si>
    <t>10.1029/2023PA004690</t>
  </si>
  <si>
    <t>Geosciences, Multidisciplinary; Oceanography; Paleontology</t>
  </si>
  <si>
    <t>Geology; Oceanography; Paleontology</t>
  </si>
  <si>
    <t>CZ1C9</t>
  </si>
  <si>
    <t>WOS:001128952100001</t>
  </si>
  <si>
    <t>Uitz, J; Roesler, C; Organelli, E; Claustre, H; Penkerch, C; Drapeau, S; Leymarie, E; Poteau, A; Schmechtig, C; Dimier, C; Ras, J; Xing, X; Blain, S</t>
  </si>
  <si>
    <t>Uitz, J.; Roesler, C.; Organelli, E.; Claustre, H.; Penkerch, C.; Drapeau, S.; Leymarie, E.; Poteau, A.; Schmechtig, C.; Dimier, C.; Ras, J.; Xing, X.; Blain, S.</t>
  </si>
  <si>
    <t>Characterization of Bio-Optical Anomalies in the Kerguelen Region, Southern Indian Ocean: A Study Based on Shipborne Sampling and BioGeoChemical-Argo Profiling Floats</t>
  </si>
  <si>
    <t>phytoplankton communities; ocean optics; Southern Ocean; BGC-Argo profiling floats</t>
  </si>
  <si>
    <t>DISSOLVED ORGANIC-MATTER; PHYTOPLANKTON COMMUNITY COMPOSITION; SPECTRAL ABSORPTION-COEFFICIENTS; INSTRUMENTED ELEPHANT SEALS; ANTARCTIC PENINSULA WATERS; OPTICAL BACKSCATTERING; LIGHT-ABSORPTION; IN-SITU; DIFFUSE ATTENUATION; IRON FERTILIZATION</t>
  </si>
  <si>
    <t>The Southern Ocean (SO) is known for its atypical bio-optical regime. This complicates the interpretation of proxies measured from satellite and in situ platforms equipped with optical sensors, which occupy an important niche for monitoring the vast and remote SO. A ship-based field study in concert with time series observations from BioGeoChemical-Argo (BGC-Argo) profiling floats were used to investigate spatial and temporal variations in bio-optical relationships in the open ocean waters surrounding the Kerguelen Plateau in the Indian sector of the SO. Compared to other regions with similar chlorophyll concentrations, chlorophyll-specific phytoplankton absorption in the blue waveband presented a consistent negative anomaly. The anomaly was uniform over deep mixed layers and correlated with phytoplankton size, photoacclimation and atypically high concentrations of fucoxanthin. The BGC-Argo observation-based proxies revealed that the blue absorption anomaly increased with chlorophyll concentration both spatially and temporally and, while particularly pronounced in the naturally iron-fertilized waters, was also found in the High Nutrient Low Chlorophyll region. While phytoplankton size was an important driver of the anomaly, photoacclimation associated with self-shading of phytoplankton cells was also involved during intense booms. The backscattering coefficient exhibited negative and positive anomalies in the low and high biomass regimes, respectively. The large positive anomaly in high biomass regimes was attributed to the variable non-algal particles characteristics associated with a relatively high production of bloom by-products. With clear understanding of the bio-optical anomalies, BGC-Argo floats stand as unique tools for monitoring the bio-optical spatio-temporal complexity of the SO. The Southern Ocean (SO) plays a key role in Earth's climate. However, its remoteness and harsh climate necessitate remote sensing approaches such as optical sensors on profiling floats and satellites. These require optical measurements and shipboard samples to relate optical signals to biological properties, called optical proxies. The SO optical proxies have been found to be very different from those measured in other oceanic regions. Here the proxies in the Kerguelen region are investigated along a ship's track crossing from subtropical to subpolar latitudes. The Kerguelen Plateau impedes both wind and currents such that deep waters upwell to the surface providing nutrients to primary producers. This region in the Indian sector of the SO provides a tremendous range in ecosystem properties from nutrient-starved to nutrient-rich, making these results applicable to other SO areas. The authors find that the differences in optical proxies can be explained by the presence of different phytoplankton communities and their responses to being mixed to depths where light is limited. This explains why the proxies vary so significantly across this region and change over the seasons. This knowledge makes the observations obtained by floats and satellites invaluable for understanding the entire SO. Contribution by large diatoms and photoacclimation are major drivers of a negative anomaly in the blue chlorophyll-specific phytoplankton absorption coefficientBioGeoChemical-Argo observations indicate a bio-optical anomaly exists over the entire year with maximal values associated with seasonal bloomsThe Indian Southern Ocean shows a large seasonal and regional variability in bio-optical regimes that lie outside the global means</t>
  </si>
  <si>
    <t>[Uitz, J.; Claustre, H.; Penkerch, C.; Leymarie, E.; Poteau, A.; Ras, J.] Lab Oceanog Villefranche LOV, UMR 7093, CNRS, Villefranche Sur Mer, France; [Uitz, J.; Claustre, H.; Penkerch, C.; Leymarie, E.; Poteau, A.; Ras, J.] Sorbonne Univ, Villefranche Sur Mer, France; [Roesler, C.; Drapeau, S.] Bowdoin Coll, Earth &amp; Oceanog Sci, Brunswick, ME USA; [Organelli, E.] Natl Res Council CNR, Inst Marine Sci ISMAR, Rome, Italy; [Schmechtig, C.] OSU Ecce Terra, UMS 3455, CNRS, Paris, France; [Schmechtig, C.] Sorbonne Univ, Paris, France; [Dimier, C.] CNRS, Villefranche Sur Mer, France; [Dimier, C.] Sorbonne Univ, Inst Mer Villefranche IMEV, Villefranche Sur Mer, France; [Xing, X.] Minist Nat Resources, Inst Oceanog 2, State Key Lab Satellite Ocean Environm Dynam SOED, Hangzhou, Peoples R China; [Blain, S.] Lab Oceanog Microbienne L, Lab Oceanog Microbienne LOMIC, CNRS, Banyuls Sur Mer, France; [Blain, S.] Sorbonne Univ, Banyuls Sur Mer, France</t>
  </si>
  <si>
    <t>Sorbonne Universite; Centre National de la Recherche Scientifique (CNRS); CNRS - National Institute for Earth Sciences &amp; Astronomy (INSU); Sorbonne Universite; Bowdoin College; Consiglio Nazionale delle Ricerche (CNR); Istituto di Scienze Marine (ISMAR-CNR); Centre National de la Recherche Scientifique (CNRS); CNRS - National Institute for Earth Sciences &amp; Astronomy (INSU); Sorbonne Universite; Centre National de la Recherche Scientifique (CNRS); Sorbonne Universite; Ministry of Natural Resources of the People's Republic of China; Centre National de la Recherche Scientifique (CNRS); Sorbonne Universite; Sorbonne Universite</t>
  </si>
  <si>
    <t>Uitz, J (corresponding author), Lab Oceanog Villefranche LOV, UMR 7093, CNRS, Villefranche Sur Mer, France.;Uitz, J (corresponding author), Sorbonne Univ, Villefranche Sur Mer, France.</t>
  </si>
  <si>
    <t>julia.uitz@imev-mer.fr</t>
  </si>
  <si>
    <t>Xing, Xiaogang/AAI-1752-2021</t>
  </si>
  <si>
    <t>Xing, Xiaogang/0000-0002-9940-1204; DIMIER, Celine/0000-0002-0685-3333; Organelli, Emanuele/0000-0001-8191-8179</t>
  </si>
  <si>
    <t>European Research Council; French research program LEFE CYBER of INSU-CNRS; Climate Initiative of the foundation BNP Paribas; French polar institute (IPEV); SIDONI; Program LEFE GMMC; NASA</t>
  </si>
  <si>
    <t>European Research Council(European Research Council (ERC)); French research program LEFE CYBER of INSU-CNRS; Climate Initiative of the foundation BNP Paribas; French polar institute (IPEV); SIDONI; Program LEFE GMMC; NASA(National Aeronautics &amp; Space Administration (NASA))</t>
  </si>
  <si>
    <t>This paper represents a contribution to the following research projects: remOcean (funded by the European Research Council, Grant 246777); SOCLIM (SO and climate) supported by the French research program LEFE CYBER of INSU-CNRS, the Climate Initiative of the foundation BNP Paribas and the French polar institute (IPEV); and SIDONI (Seasonal to interannual dynamics of phytoplankton communities and associated biogeochemical processes in HNLC waters of the SO: A BGC-Argo float investigation) supported by the program LEFE GMMC (INSU-CNRS) as a contribution to the French segment of the BGC-Argo program. NASA's PACE program supported contributions by Roesler. The authors wish to warmly thank the crew of the R/V Marion Dufresne, the IPEV staff, especially Anne Royer, and the SOCLIM research team. The phytoplankton pigment analyses were performed at the SAPIGH national HPLC analytical service at the Institut de la Mer de Villefranche (IMEV). The authors also acknowledge Annick Bricaud, Joannie Ferland and Atsushi Matsuoka for invaluable assistance with the preparation of the UltraPath instrument and experimental setup, and Marin Cornec for his great help in defining the subregions based on BGC-Argo float data. We also thank Sandy Thomalla and Aurea Ciotti for providing constructive in-depth comments on the manuscript.</t>
  </si>
  <si>
    <t>e2023JC019671</t>
  </si>
  <si>
    <t>10.1029/2023JC019671</t>
  </si>
  <si>
    <t>CM6M4</t>
  </si>
  <si>
    <t>WOS:001125706500001</t>
  </si>
  <si>
    <t>Antoine, A; Labrousse, S; Goulet, P; Chevallay, M; Laborie, J; Picard, B; Guinet, C; Nerini, D; Charrassin, JB; Heerah, K</t>
  </si>
  <si>
    <t>Antoine, Adelie; Labrousse, Sara; Goulet, Pauline; Chevallay, Mathilde; Laborie, Joris; Picard, Baptiste; Guinet, Christophe; Nerini, David; Charrassin, Jean-Benoit; Heerah, Karine</t>
  </si>
  <si>
    <t>Beneath the Antarctic sea-ice: Fine-scale analysis of Weddell seal (Leptonychotes weddellii) behavior and predator-prey interactions, using micro-sonar data in Terre Adélie</t>
  </si>
  <si>
    <t>ECOLOGY AND EVOLUTION</t>
  </si>
  <si>
    <t>bio-logging; diving; foraging behavior; predator-prey interaction; sonar tags; Weddell seal</t>
  </si>
  <si>
    <t>FORAGING DIVES; DIVING BEHAVIOR; 3-DIMENSIONAL MOVEMENTS; ENERGY-TRANSFER; MCMURDO SOUND; ISOLATED-HOLE; ROSS SEA; CLASSIFICATION; LACTATION; STRATEGIES</t>
  </si>
  <si>
    <t>Lactation is the most energy-demanding event in mammals' reproduction. In pinnipeds, females are the only food providers to the young and have developed numerous behavioral and physiological lactation strategies, from capital-breeding to income-breeding. Lactating females' fine-scale foraging strategy, and precise understanding of how females supplement their pup's needs as well as their own are important to understand the species' ecology and energetic balance. Polar pinnipeds, inhabiting extreme environments, are sensitive to climate change and variability, understanding their constraints and foraging strategy during lactation is therefore important. In 2019, three sonar tags were deployed on lactating Weddell seals in Terre Adelie (East Antarctica) for 7 days, to study fine-scale predator-prey interactions. Feeding activity was mostly benthic, reduced, central-placed, and spatially limited. Females spent most of their time hauled-out. A total of 331 prey capture attempts (PrCAs) were recorded using triaxial acceleration data, with 125 prey identified on echograms (5 cm, acoustic size). All PrCAs occurred on the seafloor, shallower than usual records (mean depth of 88 m, vs 280 m after their molt). We also found that they only fed in three of the five identified dive shapes, during the ascent or throughout the dive. Half of the prey were reactive to the seal's approach, either leaving the seafloor, or escaping just above the seafloor, suggesting that the seals hunt by chasing them from the seabed. Seals continuously scanned the area during the approach phase, evoking opportunistic foraging. Our results provide additional evidence that Weddell seal forage during lactation, displaying a mix of capital-breeding and income-breeding strategies during this period of physiological stress. This work sheds light on previously unexplored aspects of their foraging behavior, such as shallow water environments, targeting benthic prey, generally focusing on single prey rather than schools, and evidence of visual scanning through observed head movements.</t>
  </si>
  <si>
    <t>[Antoine, Adelie; Labrousse, Sara; Charrassin, Jean-Benoit] Sorbonne Univ, Lab Oceanog &amp; Climat Experimentat &amp; Approches Nume, UMR 7159, CNRS,MNHN,IRD,IPSL, Paris, France; [Goulet, Pauline; Chevallay, Mathilde; Picard, Baptiste; Guinet, Christophe] La Rochelle Univ, Ctr Etud Biol Chize, CNRS, UMR 7372, Villiers En Bois, France; [Laborie, Joris; Heerah, Karine] Aarhus Univ, Dept Biol, Aarhus, Denmark; [Laborie, Joris] Bretagne Vivante, Brest, France; [Nerini, David] Mediterranean Inst Oceanog, Pytheas Inst, UMR 7294, Marseille, France; [Heerah, Karine] France Energie Marine, Plouzane, France</t>
  </si>
  <si>
    <t>Centre National de la Recherche Scientifique (CNRS); CNRS - National Institute for Earth Sciences &amp; Astronomy (INSU); Museum National d'Histoire Naturelle (MNHN); Institut de Recherche pour le Developpement (IRD); Sorbonne Universite; Centre National de la Recherche Scientifique (CNRS); CNRS - Institute of Ecology &amp; Environment (INEE); Aarhus University; Aix-Marseille Universite; Centre National de la Recherche Scientifique (CNRS); CNRS - National Institute for Earth Sciences &amp; Astronomy (INSU)</t>
  </si>
  <si>
    <t>Antoine, A (corresponding author), Sorbonne Univ, Lab Oceanog &amp; Climat Experimentat &amp; Approches Nume, UMR 7159, CNRS,MNHN,IRD,IPSL, Paris, France.</t>
  </si>
  <si>
    <t>adelie.antoine@locean.ipsl.fr</t>
  </si>
  <si>
    <t>Heerah, karine/F-5368-2013</t>
  </si>
  <si>
    <t>Labrousse, Sara/0000-0002-8099-3254; GUINET, Christophe/0000-0003-2481-6947; Chevallay, Mathilde/0000-0003-3035-4187; Antoine, Adelie/0009-0009-8570-1730</t>
  </si>
  <si>
    <t>French Polar Institute (IPEV) program 1182 ASSET; Sentinel of the Sea-Ice Environment SENSEI BNP-Paribas Foundation project; French National Center for Space Studies CNES-TOSCA program Weddell seals bio-oceanographers of the Antarctic sea -ice; Marie Sklodowska Curie fellowship [792042 - FEAST - H2020-MSCA-IF-2017]</t>
  </si>
  <si>
    <t>French Polar Institute (IPEV) program 1182 ASSET; Sentinel of the Sea-Ice Environment SENSEI BNP-Paribas Foundation project; French National Center for Space Studies CNES-TOSCA program Weddell seals bio-oceanographers of the Antarctic sea -ice; Marie Sklodowska Curie fellowship</t>
  </si>
  <si>
    <t>This work was supported by the French Polar Institute (IPEV) program 1182 ASSET, the Sentinel of the Sea-Ice Environment SENSEI BNP-Paribas Foundation project, and the French National Center for Space Studies CNES-TOSCA program Weddell seals bio-oceanographers of the Antarctic sea -ice (P.I.: J.B. Charrassin and S. Labrousse). Adelie Antoine received a PhD fellowship for the GDR OMER (CNRS). Karine Heerah received fundings from a Marie Sklodowska Curie fellowship for this project (project 792042 - FEAST - H2020-MSCA-IF-2017).</t>
  </si>
  <si>
    <t>2045-7758</t>
  </si>
  <si>
    <t>ECOL EVOL</t>
  </si>
  <si>
    <t>Ecol. Evol.</t>
  </si>
  <si>
    <t>e10796</t>
  </si>
  <si>
    <t>10.1002/ece3.10796</t>
  </si>
  <si>
    <t>Ecology; Evolutionary Biology</t>
  </si>
  <si>
    <t>Environmental Sciences &amp; Ecology; Evolutionary Biology</t>
  </si>
  <si>
    <t>CE6Q3</t>
  </si>
  <si>
    <t>WOS:001123615200001</t>
  </si>
  <si>
    <t>Serra, N; Bryan, FO; Stammer, D</t>
  </si>
  <si>
    <t>Serra, N.; Bryan, F. O.; Stammer, D.</t>
  </si>
  <si>
    <t>Frequency Dependence of Ocean Kinetic Energy and Respective Changes Over the Period 1983-2018</t>
  </si>
  <si>
    <t>VARIABILITY; TRENDS; CYCLE</t>
  </si>
  <si>
    <t>Regional horizontal and vertical patterns of ocean kinetic energy (KE) during 1983-2018 are studied using a numerical simulation. The analysis is focused on time-mean and transient components of KE. For understanding its contribution to the total as function of timescale, the transient part is further sub-divided into six frequency bands, with periods &gt;16 months, 16-8 months, 8-4 months, 4-1 months, 1 month-5 days and &lt;5 days. Near the surface, besides intensification due to wind-forced generation, transient KE is enhanced in boundary currents, in equatorial wave guides and in the Southern Ocean. In the deep, KE is enhanced in re-circulation regions under boundary currents and at eastern sides of topographic ridges. On scales &lt;5 days it is enhanced over shelf and in quiet ocean interior areas. The largest fraction of transient energy resides in the eddy-populated band 1 week-4 months. Decadal changes of KE are associated with mean flow variations and changes on inter- and intra-annual periods, especially in the Atlantic and Southern Oceans. Changes in the subpolar Atlantic are correlated with the North Atlantic Oscillation and in the Southern Ocean with the Southern Annular Mode. A decrease/increase in Atlantic/Pacific KE is noticed over the investigated period. Trends are found in the Gulf Stream, Kuroshio Current and along the Antarctic Circumpolar Current, which shows an increase in mean and transient energy in the Indian/west Pacific sectors and a decrease in the Atlantic sector. The strong variations between decades suggest that trends are part of multi-decadal variability.</t>
  </si>
  <si>
    <t>[Serra, N.; Stammer, D.] Univ Hamburg, Ctr Erdsyst Forsch &amp; Nachhaltigkeit, Hamburg, Germany; [Bryan, F. O.] Natl Ctr Atmospher Res, Boulder, CO USA</t>
  </si>
  <si>
    <t>University of Hamburg; National Center Atmospheric Research (NCAR) - USA</t>
  </si>
  <si>
    <t>Serra, N (corresponding author), Univ Hamburg, Ctr Erdsyst Forsch &amp; Nachhaltigkeit, Hamburg, Germany.</t>
  </si>
  <si>
    <t>nuno.serra@uni-hamburg.de</t>
  </si>
  <si>
    <t>German Science Foundation (DFG); NCAR [1852977]; Projekt DEAL</t>
  </si>
  <si>
    <t>German Science Foundation (DFG)(German Research Foundation (DFG)); NCAR(National Science Foundation (NSF)NSF - Directorate for Geosciences (GEO)); Projekt DEAL</t>
  </si>
  <si>
    <t>Computing resources were provided by the Computational and Information Systems Laboratory (CISL) of the National Center for Atmospheric Research (NCAR) and the Texas Advanced Computing Center (TACC) at the University of Texas Austin. We thank Alper Altuntas and Fred Castruccio of NCAR for their assistance in running the simulation. This work is a contribution to the CliCCS Excellence Initiative of the Universitaet Hamburg, funded through the German Science Foundation (DFG). The contribution of FOB to this work was supported by the NCAR, which is a major facility sponsored by the National Science Foundation under Cooperative Agreement No. 1852977. DS acknowledges the hospitality during a stimulating and pleasant research visit spent within the Climate and Global Dynamics Laboratory of NCAR. This study has been conducted using E.U. Copernicus Marine Service Information, namely the data set Global Ocean Gridded L4 Sea Surface Heights And Derived Variables (https://doi. org/10.48670/moi-00145) produced and distributed by the Copernicus Climate Change Service (C3S). Open Access funding enabled and organized by Projekt DEAL.</t>
  </si>
  <si>
    <t>e2023JC020138</t>
  </si>
  <si>
    <t>10.1029/2023JC020138</t>
  </si>
  <si>
    <t>CC7U1</t>
  </si>
  <si>
    <t>WOS:001123124100001</t>
  </si>
  <si>
    <t>Coxon, JC; Chisham, G; Freeman, MP; Forsyth, C; Walach, MT; Murphy, KR; Vines, SK; Anderson, BJ; Smith, AW; Fogg, AR</t>
  </si>
  <si>
    <t>Coxon, John C.; Chisham, Gareth; Freeman, Mervyn P.; Forsyth, Colin; Walach, Maria-Theresia; Murphy, Kyle R.; Vines, Sarah K.; Anderson, Brian J.; Smith, Andrew W.; Fogg, Alexandra R.</t>
  </si>
  <si>
    <t>Extreme Birkeland Currents Are More Likely During Geomagnetic Storms on the Dayside of the Earth</t>
  </si>
  <si>
    <t>JOURNAL OF GEOPHYSICAL RESEARCH-SPACE PHYSICS</t>
  </si>
  <si>
    <t>field-aligned currents; geomagnetic storms; substorms; probability distributions; extreme events; space weather</t>
  </si>
  <si>
    <t>FIELD-ALIGNED CURRENTS; INTERPLANETARY MAGNETIC-FIELD; SUPERPOSED EPOCH ANALYSIS; CURRENT DISTRIBUTIONS; CURRENT SYSTEMS; MAGNETOSPHERE; SUBSTORM; DYNAMICS; PHASE; FLUX</t>
  </si>
  <si>
    <t>We examine the statistical distribution of large-scale Birkeland currents measured by the Active Magnetosphere and Planetary Electrodynamics Response Experiment in four unique categories of geomagnetic activity for the first time: quiet times, storm times, quiet-time substorms, and storm-time substorms. A novel method is employed to sort data into one of these four categories, and the categorizations are provided for future research. The mean current density is largest during substorms and its standard deviation is largest during geomagnetic storms. Current densities which are above a low threshold are more likely during substorms, but extreme currents are far more likely during geomagnetic storms, consistent with a paradigm in which geomagnetic storms represent periods of enhanced variability over quiet times. We demonstrate that extreme currents are most likely to flow within the Region 2 current during geomagnetic storms. This is unexpected in a paradigm of the current systems in which Region 1 current is generally larger. We take measurements from a set of 66 spacecraft orbiting Earth to look at electric currents that flow along Earth's magnetic field lines. We look at different types of space weather called geomagnetic storms and substorms, and combine methods to detect when those types of space weather happen. We use our combined method to separate our measurements into the different types of space weather, and then we look at how strong the currents are during each type of space weather. We plot histograms of the strengths and then use those histograms to work out the underlying mathematics of the strengths: we can then plot further graphs showing how those underlying mathematics change. We then work out when the very strongest currents are likely to flow, and during which type of space weather this occurs, which is useful both for understanding the system and for mitigating against the risks of space weather. Geomagnetic storms are more likely than substorms to drive extreme field-aligned current densitiesExtreme current densities are most likely on the dayside and least likely within 3 hr of midnightThe highest probabilities of extreme current densities occur in Region 2 currents during geomagnetic storms</t>
  </si>
  <si>
    <t>[Coxon, John C.; Murphy, Kyle R.; Smith, Andrew W.] Northumbria Univ, Dept Math Phys &amp; Elect Engn, Newcastle Upon Tyne, England; [Chisham, Gareth; Freeman, Mervyn P.] British Antarctic Survey, Cambridge, England; [Forsyth, Colin] UCL, Mullard Space Sci Lab, Dorking, England; [Walach, Maria-Theresia] Univ Lancaster, Lancaster, England; [Vines, Sarah K.; Anderson, Brian J.] Johns Hopkins Univ, Appl Phys Lab, Laurel, MD USA; [Fogg, Alexandra R.] Dublin Inst Adv Studies, Sch Cosm Phys, DIAS Dunsink Observ, Dublin, Ireland</t>
  </si>
  <si>
    <t>Northumbria University; UK Research &amp; Innovation (UKRI); Natural Environment Research Council (NERC); NERC British Antarctic Survey; University of London; University College London; Lancaster University; Johns Hopkins University; Johns Hopkins University Applied Physics Laboratory; Dublin Institute for Advanced Studies</t>
  </si>
  <si>
    <t>Coxon, JC (corresponding author), Northumbria Univ, Dept Math Phys &amp; Elect Engn, Newcastle Upon Tyne, England.</t>
  </si>
  <si>
    <t>work@johncoxon.co.uk</t>
  </si>
  <si>
    <t>Vines, Sarah/S-4469-2017; Freeman, Mervyn/E-5687-2019; Anderson, Brian J/I-8615-2012; Walach, Maria-Theresia/AAB-1833-2020; Forsyth, Colin/E-4159-2010; Coxon, John/AAN-9355-2021</t>
  </si>
  <si>
    <t>Vines, Sarah/0000-0002-7515-3285; Walach, Maria-Theresia/0000-0002-9352-0659; Forsyth, Colin/0000-0002-0026-8395; Smith, Andrew/0000-0001-7321-4331; Chisham, Gareth/0000-0003-1151-5934; Murphy, Kyle/0000-0002-3063-6451; Fogg, Alexandra Ruth/0000-0002-1139-5920; Coxon, John/0000-0002-0166-6854</t>
  </si>
  <si>
    <t>Science and Technology Facilities Council [ST/V004883/1]; Science and Technology Facilities Council (STFC) Ernest Rutherford Fellowship; British Antarctic Survey (BAS) Polar Science for Planet Earth Programme - Natural Environment Research Council (NERC) [NE/W003066/1]; NERC FINESSE [NE/V002724/1]; NERC SWIMMR [NE/P017185/2, NE/V002554/2]; NERC [ST/V006320/1]; STFC [2002574]; National Science Foundation (NSF) [NE/W009129/1]; NERC Independent Research Fellowship [GOIPD/2022/782]; Irish Research Council Government of Ireland Postdoctoral Fellowship</t>
  </si>
  <si>
    <t>Science and Technology Facilities Council(UK Research &amp; Innovation (UKRI)Science &amp; Technology Facilities Council (STFC)); Science and Technology Facilities Council (STFC) Ernest Rutherford Fellowship(UK Research &amp; Innovation (UKRI)Science &amp; Technology Facilities Council (STFC)); British Antarctic Survey (BAS) Polar Science for Planet Earth Programme - Natural Environment Research Council (NERC); NERC FINESSE; NERC SWIMMR; NERC(UK Research &amp; Innovation (UKRI)Natural Environment Research Council (NERC)); STFC(UK Research &amp; Innovation (UKRI)Science &amp; Technology Facilities Council (STFC)); National Science Foundation (NSF)(National Science Foundation (NSF)); NERC Independent Research Fellowship(UK Research &amp; Innovation (UKRI)Natural Environment Research Council (NERC)); Irish Research Council Government of Ireland Postdoctoral Fellowship(Irish Research Council for Science, Engineering and Technology)</t>
  </si>
  <si>
    <t>John C. Coxon was supported by Science and Technology Facilities Council (STFC) Ernest Rutherford Fellowship ST/V004883/1. Gareth Chisham and Mervyn P. Freeman were supported by the British Antarctic Survey (BAS) Polar Science for Planet Earth Programme funded by the Natural Environment Research Council (NERC), and NERC FINESSE Grant NE/W003066/1. Colin Forsyth was supported by NERC SWIMMR Grant NE/V002724/1. Maria-Theresia Walach was supported by NERC Grant NE/T000937/1. Kyle R. Murphy was supported by STFC Grant ST/V006320/1 and NERC Grants NE/P017185/2 and NE/V002554/2. Brian J. Anderson and Sarah K. Vines were supported by National Science Foundation (NSF) award 2002574. Andrew W. Smith was supported by NERC Independent Research Fellowship NE/W009129/1. Alexandra R. Fogg was supported by Irish Research Council Government of Ireland Postdoctoral Fellowship GOIPD/2022/782.</t>
  </si>
  <si>
    <t>2169-9380</t>
  </si>
  <si>
    <t>2169-9402</t>
  </si>
  <si>
    <t>J GEOPHYS RES-SPACE</t>
  </si>
  <si>
    <t>J. Geophys. Res-Space Phys.</t>
  </si>
  <si>
    <t>e2023JA031946</t>
  </si>
  <si>
    <t>10.1029/2023JA031946</t>
  </si>
  <si>
    <t>AW8K4</t>
  </si>
  <si>
    <t>WOS:001121576300001</t>
  </si>
  <si>
    <t>Lyu, J; Auer, G; Bialik, OM; Christensen, B; Yamaoka, R; De Vleeschouwer, D</t>
  </si>
  <si>
    <t>Lyu, J.; Auer, G.; Bialik, O. M.; Christensen, B.; Yamaoka, R.; De Vleeschouwer, D.</t>
  </si>
  <si>
    <t>Astronomically-Paced Changes in Paleoproductivity, Winnowing, and Mineral Flux Over Broken Ridge (Indian Ocean) Since the Early Miocene</t>
  </si>
  <si>
    <t>X-ray fluorescence; paleoproductivity; current winnowing; high-resolution records; Miocene; Indian Ocean</t>
  </si>
  <si>
    <t>PLIOCENE BIOGENIC BLOOM; INDONESIAN THROUGHFLOW; INTERMEDIATE WATER; NEOGENE HISTORY; TASMAN LEAKAGE; SOUTHERN; EVOLUTION; BIOCHRONOLOGY; PRODUCTIVITY; TRANSPORT</t>
  </si>
  <si>
    <t>A significant shift in Earth's climate characterizes the Neogene, transitioning from a single-ice-sheet planet to the current bipolar configuration. This climate evolution is closely linked to changing ocean currents, but globally-distributed continuous high-resolution sedimentary records are needed to fully capture this interaction. The Ocean Drilling Program (ODP) Site 752, located on Broken Ridge in the Indian Ocean, provides such a Miocene-to-recent archive. We use X-ray fluorescence (XRF) core scanning to build an eccentricity-tuned age-depth model and reconstruct paleoceanographic changes since 23 Ma. We find two intervals of enhanced productivity, during the early and middle Miocene (18.5-13.7 Ma) and late Pliocene/early Pleistocene (3-1 Ma). We also report a mixed eccentricity-obliquity imprint in the XRF-derived paleoproductivity proxy. In terms of grain size, three coarsening steps occur between 19.2-16 Ma, 10.8-8 Ma, and since 2.6 Ma. The steps respectively indicate stronger current winnowing in response to vigorous Antarctic Intermediate Water flow over Broken Ridge in the early Miocene, the first transient onset of Tasman Leakage in the Late Miocene, and the intensification of global oceanic circulation at the Plio-Pleistocene transition. High-resolution iron and manganese series provide a detailed Neogene dust record. This study utilized a single hole from an ODP legacy-site. Nevertheless, we managed to provide novel perspectives on past Indian Ocean responses to astronomical forcing. We conclude that Neogene sediments from Broken Ridge harbor the potential for even more comprehensive reconstructions. Realizing this potential necessitates re-drilling of these sedimentary archives utilizing modern drilling strategies. This study looks into how the Indian Ocean changed since the start of the Neogene (last 23 million years). We use X-ray fluorescence (XRF) analyses to measure the chemical composition of a marine sediment core (ODP Site 752), drilled on Broken Ridge at 1,086 m water depth. Our results show that the central Indian Ocean had overall higher productivity levels between 18.5-13.7 million years ago, but productivity levels varied significantly on timescales from ten thousand to hundred thousand years. These changes were influenced by variations in the Earth's orbit around the Sun. The grain size of the sediment became coarser at three intervals during the last 23 million years, which is thought to be caused by stronger ocean currents over Broken Ridge at those times. Overall, the study suggests that the Indian Ocean has gone through significant changes in the past and that the sediment from this site could be useful for further paleoceanographic research. Ocean Drilling Program Site 752 is marked by a 405 and 100-kyr eccentricity and obliquity imprint in X-ray fluorescence (XRF)-derived recordsLate Miocene Biogenic Bloom is absent at Broken Ridge according to the XRF-derived paleoproductivity proxyShift in inter-ocean connectivity to the middle latitudes modified current intensity over Broken Ridge throughout the Miocene</t>
  </si>
  <si>
    <t>[Lyu, J.; Bialik, O. M.; De Vleeschouwer, D.] Univ Munster, Inst Geol &amp; Palaeontol, Munster, Germany; [Auer, G.] Karl Franzens Univ Graz, Inst Earth Sci Geol &amp; Paleontol, NAWI Graz Geoctr, Graz, Austria; [Christensen, B.] Rowan Univ, Sch Earth &amp; Environm, Dept Environm Sci, Glassboro, NJ USA; [Yamaoka, R.] Japan Agcy Marine Earth Sci &amp; Technol, Kochi Inst Core Sample Res, Kochi, Japan</t>
  </si>
  <si>
    <t>University of Munster; University of Graz; Rowan University; Japan Agency for Marine-Earth Science &amp; Technology (JAMSTEC)</t>
  </si>
  <si>
    <t>Lyu, J (corresponding author), Univ Munster, Inst Geol &amp; Palaeontol, Munster, Germany.</t>
  </si>
  <si>
    <t>j.lyu@uni-muenster.de</t>
  </si>
  <si>
    <t>Lyu, Jing/0000-0001-6024-9148; Christensen, Beth/0000-0003-4346-0851</t>
  </si>
  <si>
    <t>German Research Foundation [446900747 (VL96/3-1), ReC23-01, J-DESC]; German Research Foundation (DFG)</t>
  </si>
  <si>
    <t>German Research Foundation(German Research Foundation (DFG)); German Research Foundation (DFG)(German Research Foundation (DFG))</t>
  </si>
  <si>
    <t>This research used samples and data provided by the IODP and its predecessor, the ODP. We thank all scientific participants and crew of ODP Leg 121 for making this study possible. We also thank the staff of the KCC and the Japan-Agency for Marine-Earth Sciences and Technology (JAMSTEC) for the generous use of their facility and equipment, including the Itrax XRF-core scanner. The German Research Foundation (DFG) provided funding through Project 446900747 (VL96/3-1) awarded to DDV. This study was conducted under the Repository Core Re-Discovery Program (ReCoRD) (ReC23-01), a collaborative program between Kochi Core Center and J-DESC. The authors would like to thank two anonymous reviewers, Anna Joy Drury and Hongrui Zhang for their contribution to improving this manuscript during the peer review process. Open Access funding enabled and organized by Projekt DEAL.</t>
  </si>
  <si>
    <t>e2023PA004761</t>
  </si>
  <si>
    <t>10.1029/2023PA004761</t>
  </si>
  <si>
    <t>AW8M2</t>
  </si>
  <si>
    <t>WOS:001121578100001</t>
  </si>
  <si>
    <t>Mmame, B; Stephenson, JAE; Walker, ADM; Mtumela, Z; Rash, JPS</t>
  </si>
  <si>
    <t>Mmame, B.; Stephenson, J. A. E.; Walker, A. D. M.; Mtumela, Z.; Rash, J. P. S.</t>
  </si>
  <si>
    <t>Observations of ULF Pulsations During TRINNI Events</t>
  </si>
  <si>
    <t>RADIO SCIENCE</t>
  </si>
  <si>
    <t>magnetohydrodynamics; TRINNIs; cross polar cap potential; coherence; pulsation</t>
  </si>
  <si>
    <t>FIELD LINE RESONANCES; RADAR NETWORK SUPERDARN; COMPLEX DEMODULATION; IONOSPHERIC FLOW; NORTHWARD; CONVECTION; SUNWARD; IMF; RECONNECTION; OSCILLATIONS</t>
  </si>
  <si>
    <t>Two magnetospheric phenomena are commonly observed in both SuperDARN (Dual Auroral Radar Network) and ground-based magnetometer network data. These are ULF pulsations driven by magnetohydrodynamic waves, and flow bursts in the high latitude ionosphere driven by magnetic reconnection. Possible connections between these two phenomena are investigated. TRINNI (Tail Reconnection during IMF Northward, Non-substorm Intervals) events, high-speed ionospheric flows resulting from magnetotail reconnection during IMF Bz-positive but By-dominant periods, have been investigated by many researchers. These events produce measurable enhancements of the cross polar cap potential. Four previously reported TRINNI events have been analyzed using SuperDARN data, together with high-latitude magnetometer data which show simultaneous ULF pulsations. Fourier analysis of the cross polar cap potential measured by SuperDARN and two magnetic field components revealed common spectral peaks in the 1-5 mHz range. The signals were narrow-band filtered and complex demodulation was performed to construct the analytic signals, allowing determination of amplitude and phase. In all four events the magnetic field and potential signals showed similar wave packet structure with large-amplitude oscillations at a common frequency for periods of the order of hours. During these periods the phase differences between the field and potential remained constant. It is argued that this phase locking suggests a causal link between the two oscillations, so that the TRINNIs could be the source of the magnetic pulsations, or they at least share a common driver. Magnetic field and cross polar cap potential (CPCP) signals showed some degree of coincidence in periods of large-amplitude oscillationsExamined events show nearly constant phase differences during the large-amplitude oscillation periods, while they fluctuate at other timesThe constant phase differences indicate that the oscillations in magnetic field components and CPCP are phase locked</t>
  </si>
  <si>
    <t>[Mmame, B.] Univ Malawi, Dept Phys &amp; Biochem, Zomba, Malawi; [Stephenson, J. A. E.; Walker, A. D. M.] Univ KwaZulu Natal, Sch Chem &amp; Phys, Durban, South Africa; [Mtumela, Z.] Walter Sisulu Univ, Dept Chem &amp; Phys Sci, Mthatha, South Africa; [Rash, J. P. S.] South African Natl Space Agcy, Hermanus, South Africa</t>
  </si>
  <si>
    <t>University of Malawi; University of Kwazulu Natal; Walter Sisulu University</t>
  </si>
  <si>
    <t>Mmame, B (corresponding author), Univ Malawi, Dept Phys &amp; Biochem, Zomba, Malawi.</t>
  </si>
  <si>
    <t>bernadmmame@gmail.com</t>
  </si>
  <si>
    <t>Walker, David/K-6906-2016; Stephenson, Judy/G-6066-2017</t>
  </si>
  <si>
    <t>Mtumela, Zolile/0000-0002-0669-0327; Rash, Jonathan/0009-0001-6480-8442; Stephenson, Judy/0000-0002-3840-7979; Mmame, bernad/0000-0002-8294-216X</t>
  </si>
  <si>
    <t>NRF, SANAP; South African National Space Agency (SANSA); South African National Antarctic Programme (SANAP), through the National Research Foundation (NRF) [110742]; SANAP; United States of America; National Space Institute at the Technical University of Denmark - Canadian Space Agency; National Astrophysics and Space Science Programme (NASSP) of South Africa</t>
  </si>
  <si>
    <t>NRF, SANAP; South African National Space Agency (SANSA); South African National Antarctic Programme (SANAP), through the National Research Foundation (NRF); SANAP; United States of America; National Space Institute at the Technical University of Denmark - Canadian Space Agency; National Astrophysics and Space Science Programme (NASSP) of South Africa</t>
  </si>
  <si>
    <t>The authors acknowledge support from the South African National Space Agency (SANSA) and the South African National Antarctic Programme (SANAP), through the National Research Foundation (NRF, SANAP Grant 110742). We acknowledge t0068e use of SuperDARN data. SuperDARN is a world-wide network of radars funded by the national scientific funding agencies of Australia, Canada, China, France, Japan, South Africa, the United Kingdom and the United States of America. We thank the National Space Institute at the Technical University of Denmark (DTU Space) for Greenland magnetometer data; CARISMA, funded by the Canadian Space Agency and operated by the University of Alberta, for their data; and the IMAGE team for theirs. We acknowledge use of SuperMAG data sets. This work was funded by the National Astrophysics and Space Science Programme (NASSP) of South Africa, through the University of KwaZulu-Natal node. Professor A.D.M. (David) Walker initiated this research and provided the ideas and analysis approach. Sadly, he passed away in 2018, This paper is dedicated to his legacy.</t>
  </si>
  <si>
    <t>0048-6604</t>
  </si>
  <si>
    <t>1944-799X</t>
  </si>
  <si>
    <t>RADIO SCI</t>
  </si>
  <si>
    <t>Radio Sci.</t>
  </si>
  <si>
    <t>e2023RS007833</t>
  </si>
  <si>
    <t>10.1029/2023RS007833</t>
  </si>
  <si>
    <t>Astronomy &amp; Astrophysics; Geochemistry &amp; Geophysics; Meteorology &amp; Atmospheric Sciences; Remote Sensing; Telecommunications</t>
  </si>
  <si>
    <t>CA3L2</t>
  </si>
  <si>
    <t>WOS:001122488000001</t>
  </si>
  <si>
    <t>Zhan, LY; Zhang, JX; Wu, M; Liu, J; Ye, WW; Sun, H; Guo, XH; Zhao, J; Gao, ZY</t>
  </si>
  <si>
    <t>Zhan, Liyang; Zhang, Jiexia; Wu, Man; Liu, Jian; Ye, Wangwang; Sun, Heng; Guo, Xianghui; Zhao, Jun; Gao, Zhongyong</t>
  </si>
  <si>
    <t>Combined Effect of Anthropogenic and Natural Carbon on Acidification of the Subsurface Ocean Water at the Tip of the Antarctic Peninsula</t>
  </si>
  <si>
    <t>anthropogenic CO2; nitrous oxide; Southern Ocean; ocean acidification</t>
  </si>
  <si>
    <t>NITROUS-OXIDE EMISSIONS; SOUTHERN-OCEAN; ELEPHANT ISLAND; DISSOLVED N2O; COASTAL ZONE; CO2; SYSTEM; WEST; PHYTOPLANKTON; CIRCULATION</t>
  </si>
  <si>
    <t>Dissolved inorganic carbon, total alkalinity, and dissolved N2O samples of upper 500 m were collected at the tip of the Antarctic Peninsula during the 32nd Chinese Antarctic National Research Expedition. The pH and anthropogenic carbon were calculated and the results show that the patterns of anthropogenic carbon uptake and acidification progresses are different in two adjacent regions of this study area. In the region of Weddell-Scotia confluence, hydrographic processes such as convection prompt the transport of anthropogenic carbon into the subsurface layer, whereas in the region east of Powell Basin, where stratification existed, the downward transport of anthropogenic carbon to this depth is inhibited. However, the pH values indicate that the acidification status of the subsurface waters that are influenced by the above two hydrographic features are similar or even identical at a certain depth range. The progress of ocean acidification in the well-ventilated region are dominated by anthropogenic carbon uptake, while in the adjacent well-stratified region, anthropogenic carbon uptake and in situ remineralization of organic matter or horizontal advection of carbon rich water masses or both. In the later region, anthropogenic carbon uptake and in situ remineralization (or horizontal advection) contribute 40% and 60% to pH decline, respectively, suggesting that pH value in water mass of this region may significantly influenced by natural processes.</t>
  </si>
  <si>
    <t>[Zhan, Liyang; Zhang, Jiexia; Wu, Man; Liu, Jian; Ye, Wangwang; Sun, Heng; Gao, Zhongyong] Minist Nat Resources, Inst Oceanog 3, Key Lab Global Change &amp; Marine Atmospher Chem, Xiamen, Peoples R China; [Guo, Xianghui] Xiamen Univ, Coll Ocean &amp; Earth Sci, State Key Lab Marine Environm Sci, Xiamen, Peoples R China; [Zhao, Jun] Minist Nat Resources, Inst Oceanog 2, Key Lab Marine Ecosyst Dynam, Xiamen, Peoples R China</t>
  </si>
  <si>
    <t>Third Institute of Oceanography, Ministry of Natural Resources; Ministry of Natural Resources of the People's Republic of China; Xiamen University; Ministry of Natural Resources of the People's Republic of China</t>
  </si>
  <si>
    <t>Zhan, LY; Gao, ZY (corresponding author), Minist Nat Resources, Inst Oceanog 3, Key Lab Global Change &amp; Marine Atmospher Chem, Xiamen, Peoples R China.</t>
  </si>
  <si>
    <t>zhanliyang@tio.org.cn; gaozhongyong@tio.org.cn</t>
  </si>
  <si>
    <t>; Zhao, Jun/E-2834-2012</t>
  </si>
  <si>
    <t>Guo, Xianghui/0000-0002-8425-677X; Gao, Zhongyong/0000-0002-5155-3428; Zhan, Liyang/0000-0002-1380-453X; Ye, Wangwang/0000-0002-3397-9388; Zhao, Jun/0000-0001-6592-3365</t>
  </si>
  <si>
    <t>Fujian Science and technology innovation leader project [2018031]; Fujian science and technology innovation leader project, Scientific Research Foundation of Third Institute of Oceanography [42276245]; National Natural Science Foundation of China [2016YFE0103300]; National Key Research and Development Program of China</t>
  </si>
  <si>
    <t>Fujian Science and technology innovation leader project; Fujian science and technology innovation leader project, Scientific Research Foundation of Third Institute of Oceanography; National Natural Science Foundation of China(National Natural Science Foundation of China (NSFC)); National Key Research and Development Program of China</t>
  </si>
  <si>
    <t>This work was supported by Fujian science and technology innovation leader project, Scientific Research Foundation of Third Institute of Oceanography, MNR (No. 2018031), the National Natural Science Foundation of China (42276245), and National Key Research and Development Program of China (2016YFE0103300). We thank Prof. Liqi Chen for his hardwork during his tenure in third institute of oceanography, and Dr. Yanmin Wang and other colleagues for their work on sample analysis and data processing. The authors declare that there are no conflicts of interest regarding the publication of this article.</t>
  </si>
  <si>
    <t>e2023JC019935</t>
  </si>
  <si>
    <t>10.1029/2023JC019935</t>
  </si>
  <si>
    <t>AM7L5</t>
  </si>
  <si>
    <t>WOS:001118946900001</t>
  </si>
  <si>
    <t>Shakespeare, CJ</t>
  </si>
  <si>
    <t>Shakespeare, Callum J.</t>
  </si>
  <si>
    <t>Eddy Acceleration and Decay Driven by Internal Tides</t>
  </si>
  <si>
    <t>Eddies; Energy transport; Internal waves; Mesoscale processes</t>
  </si>
  <si>
    <t>WAVE INTERACTIONS; GRAVITY-WAVES; SHEAR-FLOW; OCEAN; MOMENTUM; ENERGY; CIRCULATION; INSTABILITY; GENERATION</t>
  </si>
  <si>
    <t>Recent observations and numerical simulations have demonstrated the potential for significant interactions between mesoscale eddies and smaller-scale tidally generated internal waves-also known as internal tides. Here, we develop a simple theoretical model that predicts the one-way upscale transfer of energy from internal tides to mesoscale eddies through a critical level mechanism. We find that-in the presence of a critical level-the internal tide energy flux into an eddy is partitioned according to the wave frequency fi and local inertial frequency f: a fraction of 1 -f/fi is transferred to the eddy kinetic energy, while the remainder is viscously dissipated or supports mixing. These predictions are validated by comparison with a suite of numerical simulations. The simulations further show that the wave-driven energization of the eddies also accelerates the onset of hydrodynamical instabilities and the breakdown of the eddies, thereby increasing eddy kinetic energy, but reducing eddy lifetimes. Our estimates suggest that in regions of the ocean with both significant eddy fields and internal tides-such as parts of the Gulf Stream and Antarctic Circumpolar Current-the critical level effect could drive a -10% month-1 increase in the kinetic energy of a typical eddy. Our results provide a basis for parameterizing internal tide-eddy interactions in global ocean models where they are currently unrepresented.</t>
  </si>
  <si>
    <t>[Shakespeare, Callum J.] Australian Natl Univ, Res Sch Earth Sci, Canberra, ACT, Australia; [Shakespeare, Callum J.] Australian Natl Univ, ARC Ctr Excellence Climate Extremes, Canberra, ACT, Australia</t>
  </si>
  <si>
    <t>Australian National University; Australian National University</t>
  </si>
  <si>
    <t>Shakespeare, CJ (corresponding author), Australian Natl Univ, Res Sch Earth Sci, Canberra, ACT, Australia.;Shakespeare, CJ (corresponding author), Australian Natl Univ, ARC Ctr Excellence Climate Extremes, Canberra, ACT, Australia.</t>
  </si>
  <si>
    <t>callum.shakespeare@anu.edu.au</t>
  </si>
  <si>
    <t>Shakespeare, Callum/L-1839-2015</t>
  </si>
  <si>
    <t>Shakespeare, Callum/0000-0002-8109-0751</t>
  </si>
  <si>
    <t>Australian Research Council Discovery Project [DP230101836]</t>
  </si>
  <si>
    <t>Australian Research Council Discovery Project(Australian Research Council)</t>
  </si>
  <si>
    <t>The author acknowledges funding from the Australian Research Council Discovery Project DP230101836. The author thanks A. Hogg and O. Buhler for helpful comments on an earlier draft of the manuscript.</t>
  </si>
  <si>
    <t>10.1175/JPO-D-23-0127.1</t>
  </si>
  <si>
    <t>AR4K7</t>
  </si>
  <si>
    <t>WOS:001120172300001</t>
  </si>
  <si>
    <t>Yoon, CE; Cochran, ES; Vanacore, EA; Huerfano, V; Báez-Sánchez, G; Wilding, JD; Smith, J</t>
  </si>
  <si>
    <t>Yoon, Clara E.; Cochran, Elizabeth S.; Vanacore, Elizabeth A.; Huerfano, Victor; Baez-Sanchez, Gisela; Wilding, John D.; Smith, Jonathan</t>
  </si>
  <si>
    <t>A Detailed View of the 2020-2023 Southwestern Puerto Rico Seismic Sequence with Deep</t>
  </si>
  <si>
    <t>BULLETIN OF THE SEISMOLOGICAL SOCIETY OF AMERICA</t>
  </si>
  <si>
    <t>FAULT ZONE; EARTHQUAKE; LOCATION; AFTERSHOCKS; NEOTECTONICS; CONSTRAINTS; RELOCATION; ALGORITHM; RUPTURES; PICKING</t>
  </si>
  <si>
    <t>The 2020-2023 southwestern Puerto Rico seismic sequence, still ongoing in 2023, is remarkable for its multiple-fault rupture complexity and elevated aftershock productivity. We applied an automatic workflow to continuous data from 43 seismic stations in Puerto Rico to build an enhanced earthquake catalog with-180,000 events for the 3+ yr sequence from 28 December 2019 to 1 January 2023. This workflow contained the EQTransformer (EQT) deep learning model for event detection and phase picking, the EikoNet-Hypocenter Inversion with Stein Variational Inference probabilistic earthquake location approach with a neural network trained to solve the eikonal wave equation, and relocation with event-pair waveform cross correlation. EQT increased the number of catalog events in the sequence by about seven times, though its performance was not quite as good as thorough analyst review. The enhanced catalog revealed new structural details of the sequence space-time evolution, including sudden changes in activity, on a complex system of many small normal and strike-slip faults. This sequence started on 28 December 2019 with an M 4.7 strike-slip earthquake followed by 10 days of shallow strike-slip foreshocks, including several M 5+ earthquakes, in a compact region. The oblique normal fault Mw 6.4 mainshock then happened on 7 January 2020. Early aftershocks in January 2020, with several M 5+ earthquakes, quickly expanded into two intersecting fault zones with diffuse seismicity: one extending -35 km on a northward-dipping normal fault and the other -60-km-long and oriented west-northwest-east-southeast on strike-slip faults. Months to years later, aftershocks moved westward, deeper, and to outer reaches of the active fault zones, with abrupt rapid seismicity migration following larger M 4.7+ aftershocks in May, July, and December 2020. The observed seismicity evolution indicates cascading failure from stress transfer on multiple critically stressed faults. High aftershock productivity results from the complex multiple-fault network hosting the sequence, which is characteristic of an immature fault system in the diffuse deformation zone around Puerto Rico, at the complicated North American- Caribbean plate boundary region.</t>
  </si>
  <si>
    <t>[Yoon, Clara E.; Cochran, Elizabeth S.] US Geol Survey, Earthquake Sci Ctr, Pasadena, CA 91106 USA; [Vanacore, Elizabeth A.; Huerfano, Victor; Baez-Sanchez, Gisela] Univ Puerto Rico, Dept Geol, Puerto Rico Seism Network, Mayaguez, PR USA; [Wilding, John D.; Smith, Jonathan] CALTECH, Seismol Lab, Pasadena, CA USA; [Smith, Jonathan] British Antarctic Survey, Cambridge, England</t>
  </si>
  <si>
    <t>United States Department of the Interior; United States Geological Survey; University of Puerto Rico; University of Puerto Rico Mayaguez; California Institute of Technology; UK Research &amp; Innovation (UKRI); Natural Environment Research Council (NERC); NERC British Antarctic Survey</t>
  </si>
  <si>
    <t>Yoon, CE (corresponding author), US Geol Survey, Earthquake Sci Ctr, Pasadena, CA 91106 USA.</t>
  </si>
  <si>
    <t>cyoon@usgs.gov</t>
  </si>
  <si>
    <t>GPUs on the National Aeronautics and Space Administration Ames High-End Computing Capability supercomputers</t>
  </si>
  <si>
    <t>processing units (CPUs) and GPUs on the National Aeronautics and Space Administration Ames High-End Computing Capability supercomputers; the authors thank Sarah Minson, Steve Hickman, and Chris Henze for facilitating access to this essential computing resource. Rob Skoumal, Mostafa Mousavi, and an anonymous reviewer provided helpful reviews of the article. The authors had help-ful discussions about the Puerto Rico earthquake sequence with Jeanne Hardebeck, Andy Michael, Morgan Page, Sandra Rosero Rueda, David Shelly, Jacob Walter, and Weiqiang Zhu. The EQTransformer performance evaluation was inspired by analysis done by Ryan Tam and discussions with Jen Andrews, Rayo Bhadha, Egill Hauksson, Ellen Yu in the Caltech Seismo Lab. Any use of trade, firm, or product names is for descriptive purposes only and does not imply endorsement by the U.S. Government.</t>
  </si>
  <si>
    <t>SEISMOLOGICAL SOC AMER</t>
  </si>
  <si>
    <t>ALBANY</t>
  </si>
  <si>
    <t>400 EVELYN AVE, SUITE 201, ALBANY, CA 94706-1375 USA</t>
  </si>
  <si>
    <t>0037-1106</t>
  </si>
  <si>
    <t>1943-3573</t>
  </si>
  <si>
    <t>B SEISMOL SOC AM</t>
  </si>
  <si>
    <t>Bull. Seismol. Soc. Amer.</t>
  </si>
  <si>
    <t>10.1785/0120220229</t>
  </si>
  <si>
    <t>AB9E6</t>
  </si>
  <si>
    <t>WOS:001116108500001</t>
  </si>
  <si>
    <t>Zhang, S; Wu, YX; Cai, WJ; Cai, WJ; Feely, RA; Wang, ZM; Tanhua, T; Wang, YM; Liu, CY; Li, XC; Yang, QH; Ding, MH; Xu, ZS; Kerr, R; Luo, YM; Cheng, X; Chen, LQ; Qi, D</t>
  </si>
  <si>
    <t>Zhang, Shuang; Wu, Yingxu; Cai, Wei-Jun; Cai, Wenju; Feely, Richard A.; Wang, Zhaomin; Tanhua, Toste; Wang, Yanmin; Liu, Chengyan; Li, Xichen; Yang, Qinghua; Ding, Minghu; Xu, Zhongsheng; Kerr, Rodrigo; Luo, Yiming; Cheng, Xiao; Chen, Liqi; Qi, Di</t>
  </si>
  <si>
    <t>Transport of Anthropogenic Carbon From the Antarctic Shelf to Deep Southern Ocean Triggers Acidification</t>
  </si>
  <si>
    <t>GLOBAL BIOGEOCHEMICAL CYCLES</t>
  </si>
  <si>
    <t>anthropogenic CO2; Southern Ocean; Antarctic bottom water; oceanic uptake and transport of CO2; ocean acidification</t>
  </si>
  <si>
    <t>SEA CO2 EXCHANGE; NET COMMUNITY PRODUCTION; BOTTOM WATER; ROSS SEA; PRYDZ BAY; CLIMATE-CHANGE; WEDDELL GYRE; AMUNDSEN SEA; ARCTIC-OCEAN; ANNUAL CYCLE</t>
  </si>
  <si>
    <t>Flow of dense shelf water provide an efficient mechanism for pumping CO2 to the deep ocean along the continental shelf slope, particularly around the Antarctic bottom water (AABW) formation areas where much of the global bottom water is formed. However, the contribution of the formation of AABW to sequestering anthropogenic carbon (C-ant) and its consequences remain unclear. Here, we show prominent transport of C-ant (25.0 +/- 4.7 Tg C yr(-1)) into the deep ocean (&gt;2,000 m) in four AABW formation regions around Antarctica based on an integrated observational data set (1974-2018). This maintains a lower C-ant in the upper waters than that of other open oceans to sustain a stronger CO2 uptake capacity (16.9 +/- 3.8 Tg C yr(-1)). Nevertheless, the accumulation of C-ant can further trigger acidification of AABW at a rate of -0.0006 +/- 0.0001 pH unit yr(-1). Our findings elucidate the prominent role of AABW in controlling the Southern Ocean carbon uptake and storage to mitigate climate change, whereas its side effects (e.g., acidification) could also spread to other ocean basins via the global ocean conveyor belt.</t>
  </si>
  <si>
    <t>[Zhang, Shuang; Chen, Liqi] Xiamen Univ, State Key Lab Marine Environm Sci, Xiamen, Peoples R China; [Zhang, Shuang; Wu, Yingxu; Wang, Yanmin; Chen, Liqi; Qi, Di] Jimei Univ, Polar &amp; Marine Res Inst, Xiamen, Peoples R China; [Zhang, Shuang; Wang, Yanmin; Chen, Liqi] MNR, Third Inst Oceanog TIO, Xiamen, Peoples R China; [Cai, Wei-Jun] Univ Delaware, Sch Marine Sci &amp; Policy, Newark, DE USA; [Cai, Wenju; Liu, Chengyan; Yang, Qinghua; Luo, Yiming; Cheng, Xiao] CSIRO Oceans &amp; Atmosphere, Ctr Southern Hemisphere Oceans Res CSHOR, Hobart, Tas, Australia; [Feely, Richard A.] NOAA, Pacific Marine Environm Lab, Seattle, WA USA; [Wang, Zhaomin; Qi, Di] Southern Marine Sci &amp; Engn Guangdong Lab Zhuhai, Zhuhai, Peoples R China; [Tanhua, Toste] GEOMAR Helmholtz Ctr Ocean Res Kiel, Kiel, Germany; [Li, Xichen] Chinese Acad Sci, Inst Atmospher Phys, Int Ctr Climate &amp; Environm Sci, Beijing, Peoples R China; [Ding, Minghu] Chinese Acad Meteorol Sci, Beijing, Peoples R China; [Xu, Zhongsheng] Minist Nat Resources MNR, Inst Oceanog 2, Key Lab Marine Ecosyst &amp; Biogeochem, Hangzhou, Peoples R China; [Kerr, Rodrigo] Univ Fed Rio Grande FURG, Lab Estudos Oceanos &amp; Clima, Inst Oceanog, Rio Grande, Brazil</t>
  </si>
  <si>
    <t>Xiamen University; Jimei University; Third Institute of Oceanography, Ministry of Natural Resources; University of Delaware; Commonwealth Scientific &amp; Industrial Research Organisation (CSIRO); National Oceanic Atmospheric Admin (NOAA) - USA; Southern Marine Science &amp; Engineering Guangdong Laboratory; Southern Marine Science &amp; Engineering Guangdong Laboratory (Zhuhai); Helmholtz Association; GEOMAR Helmholtz Center for Ocean Research Kiel; Chinese Academy of Sciences; Institute of Atmospheric Physics, CAS; China Meteorological Administration; Chinese Academy of Meteorological Sciences (CAMS); Ministry of Natural Resources of the People's Republic of China; Second Institute of Oceanography, Ministry of Natural Resources; Universidade Federal do Rio Grande</t>
  </si>
  <si>
    <t>Chen, LQ (corresponding author), Xiamen Univ, State Key Lab Marine Environm Sci, Xiamen, Peoples R China.;Wu, YX; Chen, LQ; Qi, D (corresponding author), Jimei Univ, Polar &amp; Marine Res Inst, Xiamen, Peoples R China.;Chen, LQ (corresponding author), MNR, Third Inst Oceanog TIO, Xiamen, Peoples R China.;Qi, D (corresponding author), Southern Marine Sci &amp; Engn Guangdong Lab Zhuhai, Zhuhai, Peoples R China.</t>
  </si>
  <si>
    <t>yingxu.wu@jmu.edu.cn; chenliqi@jmu.edu.cn; qidi@jmu.edu.cn</t>
  </si>
  <si>
    <t>lin, lin/KFB-9548-2024; Zhang, Lu/KHE-5879-2024; li, liu/JXN-7328-2024; Li, Xichen/ISB-4663-2023; Wang, Xin/KGK-9099-2024; chen, xiao/KFQ-6812-2024; wang, yue/KDO-9209-2024; Kerr, Rodrigo/I-2494-2012; li, yuanfang/KHV-1697-2024; liu, qi/KHC-7509-2024; Wen, Jing/KCL-6614-2024; Wang, Yuhan/KGL-5855-2024; Liu, Xiaohan/KBB-4246-2024; Wang, Yu/KGL-3101-2024; Liu, Yu/KFS-0769-2024; Li, Bo/KHX-7246-2024; zhou, yuwei/KHD-4127-2024; liu, zhao/KGM-5884-2024; Liu, Zhiyuan/KDP-2606-2024; Liu, Chang/KGL-6678-2024; li, yan/KFQ-3850-2024; Pan, Yue/KFS-4602-2024; Zhang, Yi/KHW-2039-2024; Liu, yuqing/KEI-3260-2024; yang, ying/KHW-9378-2024; wang, wenjing/KEH-0575-2024; Li, Yan/KFQ-9244-2024; feng, yue/KHV-4687-2024; Liu, Yan/KFQ-1417-2024; li, lin/KEJ-1056-2024; Li, Kexin/KAO-2519-2024; Yu, ZH/KBC-6889-2024; zhang, zheng/KHY-8870-2024; ZHANG, JING/KHY-1073-2024; Chen, YiJun/KFS-9282-2024; wang, wei/JYP-7819-2024</t>
  </si>
  <si>
    <t>Wang, Xin/0009-0004-7428-3071; Kerr, Rodrigo/0000-0002-2632-3137; Liu, Xiaohan/0009-0009-5291-2494; Cai, Wei-Jun/0000-0003-3606-8325; Wu, Yingxu/0000-0002-7847-6215; Li, Xichen/0000-0001-6325-6626; Tanhua, Toste/0000-0002-0313-2557</t>
  </si>
  <si>
    <t>National Key Research and Development Program of China; National Natural Science Foundation of China [42106222]; Independent Research Projects of Southern Marine Science and Engineering Guangdong Laboratory (Zhuhai) [SML2021SP306]; Natural Science Foundation of Fujian Province, China [2020J05075]; Second Institute of Oceanography, Ministry of Natural Resources, China; [2019YFE0114800]</t>
  </si>
  <si>
    <t>National Key Research and Development Program of China; National Natural Science Foundation of China(National Natural Science Foundation of China (NSFC)); Independent Research Projects of Southern Marine Science and Engineering Guangdong Laboratory (Zhuhai); Natural Science Foundation of Fujian Province, China(Natural Science Foundation of Fujian Province); Second Institute of Oceanography, Ministry of Natural Resources, China;</t>
  </si>
  <si>
    <t>This work was supported by the National Key Research and Development Program of China (2019YFE0114800), National Natural Science Foundation of China (42106222), Independent Research Projects of Southern Marine Science and Engineering Guangdong Laboratory (Zhuhai) (SML2021SP306), and Natural Science Foundation of Fujian Province, China (2020J05075). We are thankful to the numerous data contributors, scientists, technicians, and funding agencies responsible for the collection and production of GLODAP database. We are thankful to the crews of the Chinese National Arctic Research Expedition on board R/V Xuelong, as well as National Arctic and Antarctic Data Center from China. We thank Zhengbing Han and Jianming Pan, from the Second Institute of Oceanography, Ministry of Natural Resources, China, for providing the data of nutrients and the dissolved oxygen (DO). We also thank colleagues from GEOMAR, Zhiqiang Chen, Zhendong Hu, and Kaigui Fan for their assistance in data processing.</t>
  </si>
  <si>
    <t>0886-6236</t>
  </si>
  <si>
    <t>1944-9224</t>
  </si>
  <si>
    <t>GLOBAL BIOGEOCHEM CY</t>
  </si>
  <si>
    <t>Glob. Biogeochem. Cycle</t>
  </si>
  <si>
    <t>e2023GB007921</t>
  </si>
  <si>
    <t>10.1029/2023GB007921</t>
  </si>
  <si>
    <t>Z9HW2</t>
  </si>
  <si>
    <t>WOS:001115119500001</t>
  </si>
  <si>
    <t>Sanders, RNC; Meijers, AJS; Holland, PR; Garabato, ACN</t>
  </si>
  <si>
    <t>Sanders, R. N. C.; Meijers, A. J. S.; Holland, P. R.; Garabato, A. C. Naveira</t>
  </si>
  <si>
    <t>Sea Ice-Driven Variability in the Pacific Subantarctic Mode Water Formation Regions</t>
  </si>
  <si>
    <t>INTERMEDIATE WATER; OCEAN; TRANSPORT; IMPACTS; TRENDS</t>
  </si>
  <si>
    <t>Subantarctic Mode Water (SAMW) forms north of the Subantarctic Front, in regions of deep winter mixed layers, and is important to the absorption and storage of anthropogenic CO2 and heat. Two SAMW pools exist in the Pacific, a lighter Central mode (CPSAMW), and a denser Southeast mode (SEPSAMW). Both have experienced significant interannual variability in thickness and properties in recent years. We compute mixed layer temperature and salinity budgets for the two SAMW formation regions, to determine the relative contribution of processes driving variability in the properties of mixed layers that subduct to form SAMW. The dominant drivers of temperature and salinity variability are shown to be surface fluxes, horizontal advection, and entrainment of deeper water. Salt advection into each SAMW formation region is found to be strongly correlated with changes in sea ice area in the northern Ross Sea, with lags of up to 2 years. Further correlation is found between meridional salt advection in the southeast Pacific formation regions, and sea ice area in the northern Amundsen/Bellingshausen seas, suggesting that freshwater derived from sea ice melt reaches the SEPSAMW formation region within 6 months. In 2016, strong advective freshening of the SEPSAMW formation region, linked to increased winter sea ice in the Amundsen/Bellingshausen seas, led to anomalously fresh mixed layers. However, a regime change in Antarctic sea ice in 2016 resulted in a subsequent lack of the usual advective freshening in the SEPSAMW formation region, driving increased salinity of the mixed layer the following year. Well-mixed mode waters that form in the north of the Southern Ocean are particularly important to the ocean absorption of heat and CO2 from the atmosphere. Two types of mode water form in the Pacific sector of the Southern Ocean: a Central pool and a Southeast pool. Both have shown significant year-to-year variability in recent decades. Variability in the regions where these waters form is shown to be due to changes in air-sea fluxes, horizontal advection, and the upward transport of deeper water. Transport of freshwater into the mode water formation regions is shown to be correlated with year-to-year changes in sea ice area in the Ross Sea and in the Amundsen/Bellingshausen seas. The results suggest that it takes around 6 months for sea ice melt from the Amundsen/Bellingshausen seas to reach the southeast mode water region, and up to 2 years for freshwater from the Ross Sea to reach both mode water formation sites. In 2015, Amundsen/Bellingshausen sea ice was particularly high, leading to more freshwater being transported to the southeast mode water site the following spring/summer. A huge decrease in winter sea ice in 2016 then caused the opposite, and salinity at the formation site was unusually high. Temperature and salinity variability at Pacific Subantarctic Mode Water (SAMW) formation sites is driven by surface fluxes, advection and entrainmentFreshwater anomalies advected from the Ross Sea take up to 2 years to reach the Pacific SAMW formation regionsAnomalies in Amundsen/Bellingshausen sea ice in 2016-2017 drove salinity anomalies at the nearby southeast Pacific SAMW formation site</t>
  </si>
  <si>
    <t>[Sanders, R. N. C.; Meijers, A. J. S.; Holland, P. R.] British Antarctic Survey, Cambridge, England; [Sanders, R. N. C.; Garabato, A. C. Naveira] Univ Southampton, Southampton, England; [Sanders, R. N. C.] NORCE Norwegian Res Ctr, Bjerknes Ctr Climate Res, Bergen, Norway</t>
  </si>
  <si>
    <t>UK Research &amp; Innovation (UKRI); Natural Environment Research Council (NERC); NERC British Antarctic Survey; University of Southampton; Norwegian Research Centre (NORCE); Bjerknes Centre for Climate Research</t>
  </si>
  <si>
    <t>Sanders, RNC (corresponding author), British Antarctic Survey, Cambridge, England.;Sanders, RNC (corresponding author), Univ Southampton, Southampton, England.;Sanders, RNC (corresponding author), NORCE Norwegian Res Ctr, Bjerknes Ctr Climate Res, Bergen, Norway.</t>
  </si>
  <si>
    <t>rasa@norceresearch.no</t>
  </si>
  <si>
    <t>Natural Environmental Research Council; [NE/R009783/1]</t>
  </si>
  <si>
    <t>Natural Environmental Research Council(UK Research &amp; Innovation (UKRI)Natural Environment Research Council (NERC));</t>
  </si>
  <si>
    <t>The authors thank Ivana Cerovecki and Matt Mazloff for their advice computing mixed-layer budgets in the models. This work was supported by the Natural Environmental Research Council [Grant NE/R009783/1].</t>
  </si>
  <si>
    <t>e2023JC020006</t>
  </si>
  <si>
    <t>10.1029/2023JC020006</t>
  </si>
  <si>
    <t>AB0C7</t>
  </si>
  <si>
    <t>hybrid, Green Accepted, Green Published</t>
  </si>
  <si>
    <t>WOS:001115867100001</t>
  </si>
  <si>
    <t>Wang, YY; Ji, Q; Pang, XP; Qu, M; Cha, MX; Zhang, FY; Yan, ZN; He, B</t>
  </si>
  <si>
    <t>Wang, Yueyun; Ji, Qing; Pang, Xiaoping; Qu, Meng; Cha, Mingxing; Zhang, Fanyi; Yan, Zhongnan; He, Bin</t>
  </si>
  <si>
    <t>Distribution Characteristics and Influencing Factors of Sea Ice Leads in the Weddell Sea, Antarctica</t>
  </si>
  <si>
    <t>sea ice leads; MODIS; Weddell Sea; Antarctica</t>
  </si>
  <si>
    <t>WIDTH DISTRIBUTION; TRENDS; OCEAN; COVER</t>
  </si>
  <si>
    <t>The characteristics of sea ice leads (SILs) in the Weddell Sea are an important basis for understanding the mechanism of the atmosphere-ocean system in the Southern Ocean. In this study, we derived the sea ice surface temperature (IST) of the Weddell Sea from MODIS thermal images and then generated a daily SIL map for 2015 and 2022 by utilizing the iterative threshold method on the optimised MOD35 cloud-masked IST. The results showed that SIL variations in the Weddell Sea presented remarkable seasonal characteristics. The trend of the SIL area exhibited an initial rise followed by a decline from January to December, characterised by lower values in spring and summer and higher values in fall and winter. SILs in the Weddell Sea were predominantly concentrated between 70 similar to 78 degrees S and 60 similar to 30 degrees W. The coastal spatial distribution density of the SILs exceeded that of offshore regions, peaking near the Antarctic Peninsula and then near Queen Maud Land. The SIL variation was mainly influenced by dynamical factors, and there were strong positive correlations between the wind field, ocean currents, and sea-ice motion.</t>
  </si>
  <si>
    <t>[Wang, Yueyun; Pang, Xiaoping; Cha, Mingxing; Zhang, Fanyi; Yan, Zhongnan; He, Bin] Wuhan Univ, Chinese Antarctic Ctr Surveying &amp; Mapping, Wuhan 430079, Peoples R China; [Ji, Qing] Anhui Normal Univ, Sch Geog &amp; Tourism, Wuhu 241002, Peoples R China; [Pang, Xiaoping] Wuhan Univ, Key Lab Polar Environm Monitoring &amp; Publ Governanc, Minist Educ, Wuhan 430079, Peoples R China; [Qu, Meng] Polar Res Inst China, Key Lab Polar Sci, Minist Nat Resources, Shanghai 200136, Peoples R China</t>
  </si>
  <si>
    <t>Wuhan University; Anhui Normal University; Wuhan University; Ministry of Natural Resources of the People's Republic of China; Polar Research Institute of China</t>
  </si>
  <si>
    <t>Pang, XP (corresponding author), Wuhan Univ, Chinese Antarctic Ctr Surveying &amp; Mapping, Wuhan 430079, Peoples R China.;Pang, XP (corresponding author), Wuhan Univ, Key Lab Polar Environm Monitoring &amp; Publ Governanc, Minist Educ, Wuhan 430079, Peoples R China.</t>
  </si>
  <si>
    <t>wangyueyun@whu.edu.cn; pxp@whu.edu.cn</t>
  </si>
  <si>
    <t>Qu, Meng/0000-0002-0036-917X; Ji, Qing/0000-0003-1386-5604; Cha, Mingxing/0009-0005-3890-3832</t>
  </si>
  <si>
    <t>10.3390/rs15235568</t>
  </si>
  <si>
    <t>AH5F3</t>
  </si>
  <si>
    <t>WOS:001117579800001</t>
  </si>
  <si>
    <t>Turner, FE; Santos, VM; Edwards, TL; Slangen, ABA; Nicholls, RJ; Le Cozannet, G; O'Neill, J; Adhikari, M</t>
  </si>
  <si>
    <t>Turner, Fiona E.; Santos, Victor Malagon; Edwards, Tamsin L.; Slangen, Aimee B. A.; Nicholls, Robert J.; Le Cozannet, Goneri; O'Neill, James; Adhikari, Mira</t>
  </si>
  <si>
    <t>Illustrative Multi-Centennial Projections of Global Mean Sea-Level Rise and Their Application</t>
  </si>
  <si>
    <t>EARTHS FUTURE</t>
  </si>
  <si>
    <t>ANTARCTIC ICE-SHEET; GREENHOUSE-GAS CONCENTRATIONS; FUTURE; CLIMATE; MODEL; UNCERTAINTY; EXTENSIONS; AGREEMENT</t>
  </si>
  <si>
    <t>We produce projections of global mean sea-level rise to 2500 for low and medium emissions scenarios (Shared Socioeconomic Pathways SSP1-2.6 and SSP2-4.5) relative to 2020, based on extending and combining model ensemble data from current literature. We find that emissions have a large effect on sea-level rise on these long timescales, with [5, 95]% intervals of [0.3, 4.3]m and [1.0, 7.6]m under SSP1-2.6 and SSP2-4.5 respectively, and a difference in the 95% quantile of 1.6 m at 2300 and 3.3 m at 2500 for the two scenarios. The largest and most uncertain component is the Antarctic ice sheet, projected to contribute 5%-95% intervals of [-0.1, 2.3]m by 2500 under SSP1-2.6 and [0.0, 3.8]m under SSP2-4.5. We discuss how the simple statistical extensions used here could be replaced with more physically based methods for more robust predictions. We show that, despite their uncertainties, current multi-centennial projections combined into multi-study projections as presented here can be used to avoid future lock-ins in terms of risk and adaptation needs to sea-level rise. Sea levels are predicted to rise for hundreds to thousands of years, even if emissions are reduced. Decisions about how to adapt to more frequent and severe coastal flooding need predictions showing a range of possible futures. However, few computer modeling studies of the contributing factors to sea level rise extend as far as the year 2300, and few to 2500. We present illustrative predictions of global mean sea level rise for low and medium emissions scenarios to 2500 by combining previous modeling studies and extending them where necessary. We take the widest possible range when combining studies, to show many possible futures. Predictions for global average sea level rise are 0.3-4.3 m at 2500 for the low emissions scenario, where global warming stays below around 2 degrees C. Under medium emissions, where long-term warming is predicted to be around 2-5 degrees C, the predictions are around double this: from 1.0 to 7.6 m. Our aim is to outline possible long-term futures based on physical understanding, so decision-makers can analyze potential implications for society and avoid making decisions that are difficult to change later. We describe some potential applications of our projections, as well as key knowledge gaps and future research directions. Projections of global mean sea-level rise to 2500 have [5, 95]% intervals of [0.3, 4.3]m under SSP1-2.6 and [1.0, 7.6]m under SSP2-4.5The most uncertain sea-level contributor continues to be the Antarctic ice sheet, with multiple studies considered to build a projectionDespite the uncertainties, our projections can be used to analyze their societal implications and recognize and potentially avoid lock-ins</t>
  </si>
  <si>
    <t>[Turner, Fiona E.; Edwards, Tamsin L.; Adhikari, Mira] Kings Coll London, Dept Geog, London, England; [Santos, Victor Malagon; Slangen, Aimee B. A.] NIOZ Royal Netherlands Inst Sea Res, Dept Estuarine &amp; Delta Syst, Yerseke, Netherlands; [Nicholls, Robert J.] Univ East Anglia, Tyndall Ctr Climate Change Res, Norwich, England; [Le Cozannet, Goneri] French Geol Survey, BRGM, Orleans, France; [O'Neill, James] Univ Exeter, Ctr Geog &amp; Environm Sci, Exeter, England</t>
  </si>
  <si>
    <t>University of London; King's College London; Utrecht University; Royal Netherlands Institute for Sea Research (NIOZ); University of East Anglia; Bureau de Recherches Geologiques et Minieres (BRGM); University of Exeter</t>
  </si>
  <si>
    <t>Turner, FE (corresponding author), Kings Coll London, Dept Geog, London, England.</t>
  </si>
  <si>
    <t>fiona.turner@kcl.ac.uk</t>
  </si>
  <si>
    <t>Nicholls, Robert James/G-3898-2010; Slangen, Aimee/H-5839-2015</t>
  </si>
  <si>
    <t>Nicholls, Robert James/0000-0002-9715-1109; Edwards, Tamsin/0000-0002-4760-4704; Turner, Fiona/0000-0002-5919-153X; Slangen, Aimee/0000-0001-6268-6683</t>
  </si>
  <si>
    <t>EU H2020; PROTECT [869304]; European Union; UK Natural Environment Research Council London Doctoral Training Partnership</t>
  </si>
  <si>
    <t>EU H2020(Horizon 2020); PROTECT; European Union(European Union (EU)); UK Natural Environment Research Council London Doctoral Training Partnership</t>
  </si>
  <si>
    <t>We thank Kevin Bulthuis, Andy Aschwanden, and Robert Kopp for sharing and guidance on data sets. We thank the IPCC projection authors for developing and making the sea-level rise projections available, multiple funding agencies for supporting the development of the projections, and the NASA Sea Level Change Team for developing and hosting the IPCC AR6 Sea Level Projection Tool. All authors were supported by PROTECT, which has received funding from the European Union's Horizon 2020 research and innovation programme under Grant agreement 869304, except J.F.O'N. and M.A., who were supported by the UK Natural Environment Research Council London Doctoral Training Partnership. This is PROTECT manuscript no. 80.</t>
  </si>
  <si>
    <t>2328-4277</t>
  </si>
  <si>
    <t>Earth Future</t>
  </si>
  <si>
    <t>e2023EF003550</t>
  </si>
  <si>
    <t>10.1029/2023EF003550</t>
  </si>
  <si>
    <t>AI6P5</t>
  </si>
  <si>
    <t>WOS:001117879500001</t>
  </si>
  <si>
    <t>Dou, J; Zhang, RH</t>
  </si>
  <si>
    <t>Dou, Juan; Zhang, Renhe</t>
  </si>
  <si>
    <t>Impact of Sea Surface Temperature in the Extratropical Southern Indian Ocean on Antarctic Sea Ice in Austral Spring</t>
  </si>
  <si>
    <t>Indian Ocean; Sea ice; Southern Hemisphere; Southern Ocean; Climate variability; Trends</t>
  </si>
  <si>
    <t>WAVE-ACTIVITY FLUX; ATMOSPHERIC CIRCULATION; INTERANNUAL VARIABILITY; WEST ANTARCTICA; TRENDS; CLIMATE; DIPOLE; EXTENT; SST; ATLANTIC</t>
  </si>
  <si>
    <t>The relationship between the seasonal Antarctic sea ice concentration (SIC) variability and the extratropical southern Indian Ocean (SIO) sea surface temperature (SST) is explored in this study. It is found that the Antarctic SIC in a wide band of the SIO, Ross Sea, and Weddell Sea is significantly related to an SIO dipole (SIOD) SST anomaly on the interannual time scale during austral spring. This relationship is linearly independent of the effects of El Nino-Southern Oscillation, the Indian Ocean dipole, and the Southern Hemisphere annular mode. The positive phase of the SIOD, with warm SST anomalies off of western Australia and cold SST anomalies centered around 608E in high latitudes, stimulates a downstream wave train that induces large-scale cyclonic circulations over the SIO and the Ross and Weddell Seas. Subsequently, anomalous horizontal moisture advection causes water vapor divergence, changes the surface energy budget, and cools the underlying ocean, which leads to the increased SIC over the region in the SIO, Ross Sea, and Weddell Sea. This SIOD SST anomaly reached a record low during the austral spring of 2016 and promoted the prominent wave pattern at high latitudes, contributing to the dramatic decline of sea ice in the 2016 spring. In addition, the proportion of the SIC trend that is linearly congruent with the SIOD SST trend during austral spring is quantified. The results indicate that the trend in the SIOD SST may account for a significant component of the 1979-2014 SIC trend in the Ross Sea with the congruency peaking at 60%.</t>
  </si>
  <si>
    <t>[Dou, Juan; Zhang, Renhe] Fudan Univ, Inst Atmospher Sci, Shanghai, Peoples R China; [Dou, Juan; Zhang, Renhe] Fudan Univ, Dept Atmospher &amp; Ocean Sci, Shanghai, Peoples R China; [Zhang, Renhe] Chinese Acad Sci, Inst Atmospher Phys, State Key Lab Numer Modeling Atmospher Sci &amp; Geoph, Beijing, Peoples R China; [Zhang, Renhe] CMA FDU Joint Lab Marine Meteorol, Shanghai, Peoples R China; [Zhang, Renhe] Zhuhai Fudan Innovat Res Inst, Innovat Ctr Ocean &amp; Atmosphere Syst, Zhuhai, Peoples R China</t>
  </si>
  <si>
    <t>Fudan University; Fudan University; Chinese Academy of Sciences; Institute of Atmospheric Physics, CAS</t>
  </si>
  <si>
    <t>Zhang, RH (corresponding author), Fudan Univ, Inst Atmospher Sci, Shanghai, Peoples R China.;Zhang, RH (corresponding author), Fudan Univ, Dept Atmospher &amp; Ocean Sci, Shanghai, Peoples R China.;Zhang, RH (corresponding author), Chinese Acad Sci, Inst Atmospher Phys, State Key Lab Numer Modeling Atmospher Sci &amp; Geoph, Beijing, Peoples R China.;Zhang, RH (corresponding author), CMA FDU Joint Lab Marine Meteorol, Shanghai, Peoples R China.;Zhang, RH (corresponding author), Zhuhai Fudan Innovat Res Inst, Innovat Ctr Ocean &amp; Atmosphere Syst, Zhuhai, Peoples R China.</t>
  </si>
  <si>
    <t>rhzhang@fudan.edu.cn</t>
  </si>
  <si>
    <t>Zhang, Renhe/AAA-6301-2020</t>
  </si>
  <si>
    <t>Zhang, Renhe/0000-0001-7750-8679</t>
  </si>
  <si>
    <t>National Natural Science Foundation of China [42288101]; China's National Key Research and Development Program [2019YFC1509105]</t>
  </si>
  <si>
    <t>National Natural Science Foundation of China(National Natural Science Foundation of China (NSFC)); China's National Key Research and Development Program</t>
  </si>
  <si>
    <t>Acknowledgments. We thank the three anonymous re- viewers for their constructive comments, which are very helpful in improving this paper. This research was jointly supported by the National Natural Science Foundation of China (42288101) and China's National Key Research and Development Program (2019YFC1509105) .</t>
  </si>
  <si>
    <t>10.1175/JCLI-D-22-0655.1</t>
  </si>
  <si>
    <t>X8HQ0</t>
  </si>
  <si>
    <t>WOS:001100797100001</t>
  </si>
  <si>
    <t>Tucholke, BE; Parnell-Turner, R; Smith, DK</t>
  </si>
  <si>
    <t>Tucholke, Brian E.; Parnell-Turner, Ross; Smith, Deborah K.</t>
  </si>
  <si>
    <t>The Global Spectrum of Seafloor Morphology on Mid-Ocean Ridge Flanks Related to Magma Supply</t>
  </si>
  <si>
    <t>JOURNAL OF GEOPHYSICAL RESEARCH-SOLID EARTH</t>
  </si>
  <si>
    <t>ocean crust morphology; mid-ocean ridge magmatism and tectonism; ridge spreading processes; serpentinization; residual mantle Bouguer gravity; oceanic core complex</t>
  </si>
  <si>
    <t>MID-ATLANTIC RIDGE; AUSTRALIAN-ANTARCTIC DISCORDANCE; SOUTHEAST INDIAN RIDGE; OCEANIC CORE COMPLEXES; EAST PACIFIC RISE; CRUSTAL ACCRETION; SPREADING RATE; QUANTITATIVE-ANALYSIS; STOCHASTIC-ANALYSIS; TECTONIC STRUCTURE</t>
  </si>
  <si>
    <t>Magma supply likely exerts primary control on seafloor morphology of oceanic crust, but most studies have related morphology to spreading rate. Here we examine global patterns of morphology on mid-ocean ridge (MOR) flanks in relation to magma supply derived from residual mantle Bouguer gravity anomaly (proxy for relative crustal thickness) and spreading rate. We use multibeam bathymetry to characterize morphology using both qualitative (descriptive) and quantitative approaches, and we compare results to both magma supply and spreading rate. Morphology becomes more isotropic and abyssal hills are more irregular and discontinuous as magma supply decreases, while roughness, area of steeper slopes, and anomalous fabric orientation increase. We interpret these changes to reflect changing magma distribution along-axis, from large-volume and spatially extensive to progressively reduced, increasingly localized, and more irregularly emplaced. Observed relations between crustal thickness and morphology imply that average thickness of purely magmatic crust in the Atlantic and parts of the Indian ridge system is significantly less than average seismically determined crust. Thus seismically defined crustal thickness in those regions likely includes significant non-magmatic components such as serpentinized mantle. Excepting regions of extensive mantle exposure, most morphologic parameters that we examined are sensitive to estimated magma supply but not necessarily to spreading rate alone. We summarize our results in schematic models that relate morphologic variations to changes in magma supply and mantle serpentinization throughout the global MOR system. Finally, we note that combined qualitative and quantitative results of our study may be useful for developing automated morphologic classification schemes. Mid-ocean ridges encircle the globe and spread apart along their axes to form ocean crust. Seafloor morphology of crust on the flanks of different ridges can be highly variable. The variations classically have been attributed to differences in spreading rate but there are notable exceptions to this correlation. Here we use changes in gravity over different mid-ocean ridges (MORs) together with spreading rate to infer magma supply to the ridges, and we examine how morphology varies with changes in the magma supply. We find that features such as long, linear, and structurally continuous abyssal hills correlate well with high magma supply while progressively rougher, steeper, and more irregular morphology forms as magma supply is reduced; this is observed irrespective of spreading rate, indicating that magma supply better predicts morphologic style. Observed relations between crustal thickness and morphology imply that seismically determined crustal thickness in the Atlantic and parts of the Indian Ocean MOR system includes significant components of non-magmatic crust (e.g., altered mantle). Our study characterizes crustal morphology both qualitatively (visually) and quantitatively; correlations between these characterizations may be useful for developing automated morphologic classification schemes. Variable morphology of global mid-ocean ridge flanks is examined qualitatively and quantitatively using multibeam bathymetric dataChange in magma supply as derived from gravity and spreading rate, plus mantle serpentinization, explains observed morphologic variationsMorphologic changes indicate thinner magmatic crust than seismically determined crust in the Atlantic and parts of the Indian Ocean</t>
  </si>
  <si>
    <t>[Tucholke, Brian E.; Smith, Deborah K.] Woods Hole Oceanog Inst, Dept Geol &amp; Geophys, Woods Hole, MA 02543 USA; [Parnell-Turner, Ross] Scripps Inst Oceanog, Inst Geophys &amp; Planetary Phys, La Jolla, CA USA</t>
  </si>
  <si>
    <t>Woods Hole Oceanographic Institution; University of California System; University of California San Diego; Scripps Institution of Oceanography</t>
  </si>
  <si>
    <t>Tucholke, BE (corresponding author), Woods Hole Oceanog Inst, Dept Geol &amp; Geophys, Woods Hole, MA 02543 USA.</t>
  </si>
  <si>
    <t>btucholke@whoi.edu</t>
  </si>
  <si>
    <t>Tucholke, Brian E./M-4144-2016; Parnell-Turner, Ross/AAS-7472-2020</t>
  </si>
  <si>
    <t>Parnell-Turner, Ross/0000-0003-0641-3634</t>
  </si>
  <si>
    <t>Woods Hole Oceanographic Institution; [SWIR 57degrees-58degrees]</t>
  </si>
  <si>
    <t>Woods Hole Oceanographic Institution;</t>
  </si>
  <si>
    <t>We are indebted to Jian Lin, Allegra Hosford Scheirer, Mathilde Cannat, and Kyoko Okino for providing digital multibeam bathymetric and/or residual mantle Bouguer anomaly data for the SWIR 9 degrees-16 degrees E area, the SWIR 57 degrees-58 degrees E area, the SWIR 61 degrees-67 degrees E area, and the area of the western Australia-Antarctic Discordance, respectively, and to Jasmine Zhu and Jian Lin for providing mean values of digital satellite-derived RMBA for data boxes in other areas not covered by shipboard surveys. We benefited from discussions with Javier Escartin during an early stage of this research. We are indebted to John Goff and Roger Buck for careful reviews and suggestions that helped to improve the manuscript. This study was partially funded by unrestricted funds from Woods Hole Oceanographic Institution.</t>
  </si>
  <si>
    <t>2169-9313</t>
  </si>
  <si>
    <t>2169-9356</t>
  </si>
  <si>
    <t>J GEOPHYS RES-SOL EA</t>
  </si>
  <si>
    <t>J. Geophys. Res.-Solid Earth</t>
  </si>
  <si>
    <t>e2023JB027367</t>
  </si>
  <si>
    <t>10.1029/2023JB027367</t>
  </si>
  <si>
    <t>Z2BE6</t>
  </si>
  <si>
    <t>WOS:001110176200001</t>
  </si>
  <si>
    <t>Nakamura, Y; Leblanc, F; Terada, N; Hiruba, S; Murata, I; Nakagawa, H; Sakai, S; Aoki, S; Piccialli, A; Willame, Y; Neary, L; Vandaele, AC; Murase, K; Kataoka, R</t>
  </si>
  <si>
    <t>Nakamura, Yuki; Leblanc, Francois; Terada, Naoki; Hiruba, Sayano; Murata, Isao; Nakagawa, Hiromu; Sakai, Shotaro; Aoki, Shohei; Piccialli, Arianna; Willame, Yannick; Neary, Lori; Vandaele, Ann Carine; Murase, Kiyoka; Kataoka, Ryuho</t>
  </si>
  <si>
    <t>Numerical Prediction of Changes in Atmospheric Chemical Compositions During a Solar Energetic Particle Event on Mars</t>
  </si>
  <si>
    <t>Mars; solar energetic particle; photochemistry; ozone; TGO/NOMAD</t>
  </si>
  <si>
    <t>MARTIAN ATMOSPHERE; MIDDLE ATMOSPHERE; PRECIPITATION EVENTS; DIFFUSE AURORA; ION CHEMISTRY; MODEL; GASES; CO2; PHOTOCHEMISTRY; IONOSPHERE</t>
  </si>
  <si>
    <t>Precipitation of solar energetic particles (SEPs) into planetary atmospheres causes changes in atmospheric chemical composition through ionization, dissociation, and excitation of atmospheric molecules. In contrast to the terrestrial atmosphere, where depletion of ozone in the polar mesosphere has been studied by observations and models for decades, there have been no studies on the effects of SEPs on the neutral chemical composition of Mars' present-day atmosphere. This study provided the first estimate of the impacts of SEPs on neutral chemical composition in the present-day Martian atmosphere coupling a Monte Carlo model and a one-dimensional photochemical model. Our results showed that ozone density in the Martian atmosphere might decrease in the altitude range of 20-60 km with a factor 10 maximum enhancement occurring at 40 km during a Halloween-class SEP event due to an enhanced concentration of HOx. The depletion of ozone occurred in the altitude range of 20-60 km, corresponding to the penetration of protons with an energy range of 4.6-46 MeV. Such ozone depletion should be detected by Trace Gas Orbiter/Nadir and Occultation for MArs Discovery during intense SEP event. A 75% depletion of the ozone density at 40 km can be expected during SEP events occurring once in every 1 year. Therefore, ozone concentration in the Martian atmosphere might sufficiently decrease during a SEP event as on Earth, but through different chemical pathways driven by CO2 ionization and CO recombination catalytic cycle. The solar energetic particle (SEP) effects on the neutral chemical composition in the Martian atmosphere are investigated by numerical simulationsOzone depletion due to enhanced HOx during a large SEP event could be detected by Trace Gas Orbiter/Nadir and Occultation for MArs DiscoveryChemical pathways leading to ozone depletion on Mars differ from those on Earth</t>
  </si>
  <si>
    <t>[Nakamura, Yuki; Terada, Naoki; Hiruba, Sayano; Murata, Isao; Nakagawa, Hiromu; Sakai, Shotaro] Tohoku Univ, Grad Sch Sci, Sendai, Japan; [Nakamura, Yuki; Leblanc, Francois] Sorbonne Univ, LATMOS, CNRS, Paris, France; [Nakamura, Yuki] Univ Tokyo, Grad Sch Sci, Tokyo, Japan; [Sakai, Shotaro] Tohoku Univ, Grad Sch Sci, Planetary Plasma &amp; Atmospher Res Ctr, Sendai, Japan; [Aoki, Shohei] Univ Tokyo, Grad Sch Frontier Sci, Kashiwa, Japan; [Aoki, Shohei; Piccialli, Arianna; Willame, Yannick; Neary, Lori; Vandaele, Ann Carine] Royal Belgian Inst Space Aeron, BIRA IASB, Brussels, Belgium; [Murase, Kiyoka; Kataoka, Ryuho] Natl Inst Polar Res, Tokyo, Japan; [Murase, Kiyoka; Kataoka, Ryuho] Grad Univ Adv Studies, SOKENDAI, Tachikawa, Japan</t>
  </si>
  <si>
    <t>Tohoku University; Centre National de la Recherche Scientifique (CNRS); Universite Paris Saclay; Sorbonne Universite; University of Tokyo; Tohoku University; University of Tokyo; Research Organization of Information &amp; Systems (ROIS); National Institute of Polar Research (NIPR) - Japan; Graduate University for Advanced Studies - Japan</t>
  </si>
  <si>
    <t>Nakamura, Y (corresponding author), Tohoku Univ, Grad Sch Sci, Sendai, Japan.;Nakamura, Y (corresponding author), Sorbonne Univ, LATMOS, CNRS, Paris, France.;Nakamura, Y (corresponding author), Univ Tokyo, Grad Sch Sci, Tokyo, Japan.</t>
  </si>
  <si>
    <t>yuki.nakamura@eps.s.u-tokyo.ac.jp</t>
  </si>
  <si>
    <t>Sakai, Shotaro/AAT-8518-2020; Neary, Lori/S-9299-2017</t>
  </si>
  <si>
    <t>Sakai, Shotaro/0000-0001-9135-2076; Nakamura, Yuki/0000-0003-1700-238X; Shohei, Aoki/0000-0001-6727-125X; Neary, Lori/0000-0001-6773-324X</t>
  </si>
  <si>
    <t>JSPS KAKENHI; JSPS KAKENHI Grant [JP22KJ0280]; International Joint Graduate Program in Earth and Environmental Sciences, Tohoku University (GP-EES); Science Program of Japanese Antarctic Research Expedition Prioritized Research Project [AJ1007]; National Institute of Polar Research under MEXT; European Union [101004052]; [JP22K03695]</t>
  </si>
  <si>
    <t>JSPS KAKENHI(Ministry of Education, Culture, Sports, Science and Technology, Japan (MEXT)Japan Society for the Promotion of ScienceGrants-in-Aid for Scientific Research (KAKENHI)); JSPS KAKENHI Grant(Ministry of Education, Culture, Sports, Science and Technology, Japan (MEXT)Japan Society for the Promotion of ScienceGrants-in-Aid for Scientific Research (KAKENHI)); International Joint Graduate Program in Earth and Environmental Sciences, Tohoku University (GP-EES); Science Program of Japanese Antarctic Research Expedition Prioritized Research Project; National Institute of Polar Research under MEXT; European Union(European Union (EU));</t>
  </si>
  <si>
    <t>This work was supported by JSPS KAKENHI Grant JP22KJ0280. YN was supported by the International Joint Graduate Program in Earth and Environmental Sciences, Tohoku University (GP-EES). This study is a part of the Science Program of Japanese Antarctic Research Expedition Prioritized Research Project (Space environmental changes and atmospheric response explored from the polar cap, AJ1007), supported by National Institute of Polar Research under MEXT. This project has received funding from the European Union's Horizon 2020 research and innovation programme under Grant agreement No 101004052. NT was supported by JSPS KAKENHI Grant Numbers JP18H05439, JP18KK0093, JP19H00707, JP20H00192, and JP22H00164. HN was supported by JSPS KAKENHI Grant Numbers JP22KK0044 and JP23H04646. SS was supported by JSPS KAKENHI Grant Number JP22K03695.</t>
  </si>
  <si>
    <t>e2022JA031250</t>
  </si>
  <si>
    <t>10.1029/2022JA031250</t>
  </si>
  <si>
    <t>Z7AR2</t>
  </si>
  <si>
    <t>WOS:001113567800001</t>
  </si>
  <si>
    <t>Zhai, CZ; Dang, T; Yao, YB; Kong, J; Chen, YT; Cheng, XY</t>
  </si>
  <si>
    <t>Zhai, Changzhi; Dang, Tong; Yao, Yibin; Kong, Jian; Chen, Yutian; Cheng, Xiaoyun</t>
  </si>
  <si>
    <t>Three-Dimensional Ionospheric Evolution and Asymmetry of the Electron Density Depletion Generated by the 21 June 2020 Annular Solar Eclipse</t>
  </si>
  <si>
    <t>solar eclipse; electron density; GNSS; TIEGCM</t>
  </si>
  <si>
    <t>AUGUST 2017; THERMOSPHERIC RESPONSE; COUPLED THERMOSPHERE; VERTICAL STRUCTURE; MILLSTONE-HILL; RECONSTRUCTION; MODEL; TOMOGRAPHY; IONIZATION; SYSTEM</t>
  </si>
  <si>
    <t>The three-dimensional computerized ionospheric tomography (3DCIT) technique has been used to reconstruct the ionospheric response to the 21 June 2020 annular solar eclipse and the results are evaluated by constellation observing system for meteorology, ionosphere, and climate observations. The 3DCIT-derived electron density (Ne) difference between the eclipse and quiet days showed that the Ne depletion was between 200 and 550 km and the maximum magnitude was about -3.0 x 1011 el/m3 which was at 280 km in altitude. The contributions from below 250 and 350 km altitudes to Vertical Total Electron Content (VTEC) depletion were similar to 30% and similar to 60%, respectively. Significant asymmetry of Ne depletion with respect to the eclipse path was captured in 3DCIT results, and the deviation conditions between the Ne depletion central line and eclipse path varied at different altitudes. Simulations with the thermosphere-ionosphere-electrodynamics general circulation model generally showed consistent ionospheric variations with GNSS (Global Navigation Satellite System) VTEC and 3DCIT electron density. Furthermore, term analysis on the ion continuity equation indicates that the asymmetry of Ne depletion was mainly induced by the neutral wind disturbance which converged toward the eclipse region and caused opposite transport effects on both sides of the eclipse path. The thermospheric composition was also changed by disturbed neutral wind and impacted plasma production and loss rates, contributing to the Ne depletion asymmetry. The three-dimensional ionospheric evolution during 21 June 2020 solar eclipse is reconstructed by three-dimensional computerized ionospheric tomography (3DCIT) and validated by constellation observing system for meteorology, ionosphere, and climateSignificant asymmetry of Ne depletion with respect to eclipse path was captured by both 3DCIT and thermosphere-ionosphere-electrodynamics general circulation modelThe asymmetry was mainly induced by the transport of opposite neutral wind disturbances and also the thermospheric composition changes</t>
  </si>
  <si>
    <t>[Zhai, Changzhi; Chen, Yutian; Cheng, Xiaoyun] Hohai Univ, Sch Earth Sci &amp; Engn, Nanjing, Peoples R China; [Dang, Tong] Univ Sci &amp; Technol China, Sch Earth &amp; Space Sci, CAS Key Lab Geospace Environm, Hefei, Peoples R China; [Yao, Yibin] Wuhan Univ, Sch Geodesy &amp; Geomat, Wuhan, Peoples R China; [Kong, Jian] Wuhan Univ, Chinese Antarctic Ctr Surveying &amp; Mapping, Wuhan, Peoples R China</t>
  </si>
  <si>
    <t>Hohai University; Chinese Academy of Sciences; University of Science &amp; Technology of China, CAS; Wuhan University; Wuhan University</t>
  </si>
  <si>
    <t>Dang, T (corresponding author), Univ Sci &amp; Technol China, Sch Earth &amp; Space Sci, CAS Key Lab Geospace Environm, Hefei, Peoples R China.</t>
  </si>
  <si>
    <t>dangt@ustc.edu.cn</t>
  </si>
  <si>
    <t>Yao, Yibin/AAM-9653-2020; Dang, Tong/GPS-6047-2022</t>
  </si>
  <si>
    <t>Yao, Yibin/0000-0002-7723-4601; zhai, changzhi/0000-0003-0183-2063</t>
  </si>
  <si>
    <t>National Key R&amp;D Program of China; National Natural Science Foundation of China [42174198, 42104009, 42241115]; China Postdoctoral Science Foundation [2022M720988]; [2022YFF0504400]</t>
  </si>
  <si>
    <t>National Key R&amp;D Program of China; National Natural Science Foundation of China(National Natural Science Foundation of China (NSFC)); China Postdoctoral Science Foundation(China Postdoctoral Science Foundation);</t>
  </si>
  <si>
    <t>This study is supported by National Key R&amp;D Program of China (2022YFF0504400), National Natural Science Foundation of China (42174198, 42104009, 42241115), and China Postdoctoral Science Foundation (2022M720988). The authors acknowledge the data support from China Earthquake Networks Center, National Earthquake Data Center ().</t>
  </si>
  <si>
    <t>e2023JA031725</t>
  </si>
  <si>
    <t>10.1029/2023JA031725</t>
  </si>
  <si>
    <t>AF8P9</t>
  </si>
  <si>
    <t>WOS:001117145900001</t>
  </si>
  <si>
    <t>Tarique, M; Rahaman, W; Lathika, N; Prabhat, P; Thamban, M; Misra, S</t>
  </si>
  <si>
    <t>Tarique, Mohd; Rahaman, Waliur; Lathika, N.; Prabhat, Priyesh; Thamban, Meloth; Misra, Sambuddha</t>
  </si>
  <si>
    <t>Enhanced CO2 Degassing From the Tropical Indian Ocean During Cold Climatic Events of the Last Glacial Cycle</t>
  </si>
  <si>
    <t>boron isotope; glacial-interglacial; ocean pH; atmospheric CO2; Arabian Sea; CO2 source-sink</t>
  </si>
  <si>
    <t>ANTARCTIC INTERMEDIATE WATER; CARBON-DIOXIDE CONCENTRATION; GLOBIGERINOIDES-RUBER WHITE; BORON ISOTOPE; ATMOSPHERIC CO2; PLANKTONIC-FORAMINIFERA; ARABIAN SEA; NATURAL CARBONATES; CONTINENTAL-MARGIN; SURFACE PCO(2)</t>
  </si>
  <si>
    <t>Atmospheric CO2 variability on the glacial-interglacial (G-IG) timescale reflects a balance between oceanic and terrestrial processes involving carbon uptake and release. The Southern Ocean CO2 uptake is considered as an important modulator for the G-IG atmospheric CO2 variability, while the role of tropical ocean ventilation remains enigmatic. We present critical evidence for CO2 ventilation from the tropical Indian Ocean through the reconstruction of the Arabian Sea-surface pCO(2) for the past similar to 136 ka utilizing boron isotope (delta B-11) record of planktic foraminifera, Globigerinoides ruber. Our site in the Arabian Sea presently acts as a significant source of CO2. The reconstructed Delta pCO(2) (Delta pCO(2) = pCO(2 Seawater) - pCO(2 Atmosphere)) record shows an enhanced CO2 degassing up to similar to 50 ppm during the major cooling events, such as the Last Glacial Maximum, Younger Dryas, and Heinrich-Stadials. Our investigation based on multiproxy records of sea-surface temperature, salinity, and productivity suggests that the northward invasion and shoaling of southern source CO2-rich water, coupled with stronger upwelling, resulted in CO2 degassing during these cold intervals. This finding is in align with the tropical Atlantic which also demonstrated an enhanced CO2 degassing during the cold intervals; however, most of the upwelled CO2 was consumed as the water moved away from the upwelling sites. Therefore, our finding, when considered alongside tropical Atlantic records, suggests that tropical oceans played a minor role in reducing atmospheric CO2 levels during the cold intervals of the last glacial cycle, supporting the prevailing hypothesis.</t>
  </si>
  <si>
    <t>[Tarique, Mohd; Rahaman, Waliur; Lathika, N.; Prabhat, Priyesh; Thamban, Meloth] Minist Earth Sci, Natl Ctr Polar &amp; Ocean Res, Vasco Da Gama, Goa, India; [Misra, Sambuddha] Indian Inst Sci, Ctr Earth Sci, Bangalore, India</t>
  </si>
  <si>
    <t>Ministry of Earth Sciences (MoES) - India; National Centre for Polar and Ocean Research (NCPOR); Indian Institute of Science (IISC) - Bangalore</t>
  </si>
  <si>
    <t>Rahaman, W (corresponding author), Minist Earth Sci, Natl Ctr Polar &amp; Ocean Res, Vasco Da Gama, Goa, India.</t>
  </si>
  <si>
    <t>waliur@ncpor.res.in</t>
  </si>
  <si>
    <t>Rahaman, Waliur/0000-0001-6439-4529; Thamban, Meloth/0000-0003-3379-8189; Misra, Sambuddha/0000-0002-8825-451X</t>
  </si>
  <si>
    <t>Ministry of Earth Sciences; National Centre for Polar and Ocean Research, Goa, Ministry of Earth Sciences, India [J-49/2023-24]; UGC</t>
  </si>
  <si>
    <t>Ministry of Earth Sciences; National Centre for Polar and Ocean Research, Goa, Ministry of Earth Sciences, India; UGC(University Grants Commission, India)</t>
  </si>
  <si>
    <t>We would like to thank editor, Ursula Rohl and two anonymous reviewers for their comments and suggestions that significantly improved the manuscript. We acknowledge National Centre for Polar and Ocean Research, Goa, Ministry of Earth Sciences, India, for financial support through the project PACER-Cryosphere and climate. We acknowledge Avinash Kumar for providing the sediment core samples. The authors would like to thank Rahul Dey for his assistance with statistical analysis. We thank Oscar Branson for helping in CO2 calculation using cbsyst Python program. We are grateful to former NCPOR director, M. Ravichandran, for his support and encouragement. Authors also acknowledge UGC for NET/JRF fellowship. This is the NCPOR contribution number J-49/2023-24.</t>
  </si>
  <si>
    <t>e2022PA004570</t>
  </si>
  <si>
    <t>10.1029/2022PA004570</t>
  </si>
  <si>
    <t>Z2SK4</t>
  </si>
  <si>
    <t>WOS:001110624100001</t>
  </si>
  <si>
    <t>Xie, AH; Zhu, JP; Wang, SM; Qin, X</t>
  </si>
  <si>
    <t>Xie, Aihong; Zhu, Jiangping; Wang, Shimeng; Qin, Xiang</t>
  </si>
  <si>
    <t>Polar Amplification in the Earth's Three Poles Based on MODIS Land Surface Temperatures</t>
  </si>
  <si>
    <t>polar amplification; Earth's three poles; land surface temperature; MODIS</t>
  </si>
  <si>
    <t>ARCTIC AMPLIFICATION; TIBETAN PLATEAU; ANTARCTIC SURFACE; DRIVEN; ABSENCE</t>
  </si>
  <si>
    <t>Polar amplification appears in response to greenhouse gas forcing, which has become a focus of climate change research. However, polar amplification has not been systematically investigated over the Earth's three poles (the Arctic, Antarctica, and the Third Pole). An index of polar amplification is employed, and the annual and seasonal variations of land surface temperature over the Earth's three poles are examined using MODIS (Moderate Resolution Imaging Spectroradiometer) observations for the period 2001-2018. As expected, the warming of the Arctic is most conspicuous, followed by the Third Pole, and is weakest in Antarctica. Compared to the temperature changes for the global land region, positive polar amplification appears in the Arctic and the Third Pole on an annual scale, whereas Antarctic amplification disappears, with a negative amplification index of -0.72. The polar amplification for the Earth's three poles shows seasonal differences. Strong Arctic amplification appears in boreal spring and winter, with a surface warming rate of more than 3.40 times the global mean for land regions. In contrast, the amplification of the Third Pole is most conspicuous in boreal summer. The two poles located in the Northern Hemisphere have the weakest amplification in boreal autumn. Differently from the positive amplification for the Arctic and the Third Pole in all seasons, the faster variations in Antarctic temperature compared to the globe only appear in austral autumn and winter, and the amplification signal is negative in these seasons, with an amplification index of -1.68 and -2.73, respectively. In the austral winter, the strong negative amplification concentrates on West Antarctica and the coast of East Antarctica, with an absolute value of amplification index higher than 5 in general. Generally, the polar amplification is strongest in the Arctic except from June to August, and Antarctic amplification is the weakest among the Earth's three poles. The Earth's three poles are experiencing drastic changes, and the potential influence of climate change should receive attention.</t>
  </si>
  <si>
    <t>[Xie, Aihong; Zhu, Jiangping; Wang, Shimeng; Qin, Xiang] Chinese Acad Sci, Northwest Inst Ecoenvironm &amp; Resources, State Key Lab Cryospher Sci, Lanzhou 730000, Peoples R China</t>
  </si>
  <si>
    <t>Zhu, JP (corresponding author), Chinese Acad Sci, Northwest Inst Ecoenvironm &amp; Resources, State Key Lab Cryospher Sci, Lanzhou 730000, Peoples R China.</t>
  </si>
  <si>
    <t>xieaih@lzb.ac.cn; zhujiangping@nieer.ac.cn; wangshimeng@lzb.ac.cn; qinxiang@lzb.ac.cn</t>
  </si>
  <si>
    <t>We thank the National Centre for Atmospheric Science, European Center for Medium-Range Weather Forecasts and UK National Centre for Atmospheric Science for providing data to improve the paper.</t>
  </si>
  <si>
    <t>10.3390/rs15235566</t>
  </si>
  <si>
    <t>AI6M3</t>
  </si>
  <si>
    <t>WOS:001117876200001</t>
  </si>
  <si>
    <t>Li, L; Xiao, EZ; Wei, XL; Qiu, N; Latif, K; Guo, JX; Sun, B</t>
  </si>
  <si>
    <t>Li, Lin; Xiao, Enzhao; Wei, Xiaolong; Qiu, Ning; Latif, Khalid; Guo, Jingxue; Sun, Bo</t>
  </si>
  <si>
    <t>Crustal Imaging across the Princess Elizabeth Land, East Antarctica from 2D Gravity and Magnetic Inversions</t>
  </si>
  <si>
    <t>East Antarctica; Indo-Antarctic; Princess Elizabeth Land; subglacial bedrock; tectonic; airborne; gravity; magnetic; inversion</t>
  </si>
  <si>
    <t>3-D INVERSION; SURFACE; BED; CONFIGURATION; GRADIENT; COLUMBIA; GLACIER; GEOLOGY</t>
  </si>
  <si>
    <t>The Princess Elizabeth Land landscape in East Antarctica was shaped by a complex process, involving the supercontinent's breakup and convergence cycle. However, the lack of geological knowledge about the subglacial bedrock has made it challenging to understand this process. Our study aimed to investigate the structural characteristics of the subglacial bedrock in the Mount Brown region, utilizing airborne geophysical data collected from the China Antarctic Scientific Expedition in 2015-2017. We reconstructed bedrock density contrast and magnetic susceptibility models by leveraging Tikhonov regularized gravity and magnetic inversions. The deep bedrock in the inland direction exhibited different physical properties, indicating the presence of distinct basement sources. The east-west discontinuity of bedrock changed in the inland areas, suggesting the possibility of large fault structures or amalgamation belts. We also identified several normal faults in the western sedimentary basin, intersected by the southwest section of these survey lines. Furthermore, lithologic separators and sinistral strike-slip faults may exist in the northeast section, demarcating the boundary between Princess Elizabeth Land and Knox Valley. Our study provides new insights into the subglacial geological structure in this region, highlighting the violent impact of the I-A-A-S (Indo-Australo-Antarctic Suture) on the subglacial basement composition. Additionally, by identifying and describing different bedrock types, our study redefines the potential contribution of this region to the paleocontinent splicing process and East Antarctic basement remodeling.</t>
  </si>
  <si>
    <t>[Li, Lin; Xiao, Enzhao; Guo, Jingxue; Sun, Bo] Polar Res Inst China, Shanghai 200136, Peoples R China; [Wei, Xiaolong] Univ Houston, Dept Earth &amp; Atmospher Sci, Houston, TX 77204 USA; [Qiu, Ning] Chinese Acad Sci, South China Sea Inst Oceanol, Guangzhou 510301, Peoples R China; [Latif, Khalid] Univ Peshawar, Natl Ctr Excellence Geol, Peshawar 25130, Pakistan</t>
  </si>
  <si>
    <t>Polar Research Institute of China; University of Houston System; University of Houston; Chinese Academy of Sciences; South China Sea Institute of Oceanology, CAS; University of Peshawar</t>
  </si>
  <si>
    <t>Qiu, N (corresponding author), Chinese Acad Sci, South China Sea Inst Oceanol, Guangzhou 510301, Peoples R China.</t>
  </si>
  <si>
    <t>lilin@pric.org.cn; xiaoenzhao@pric.org.cn; xiaolongw1223@gmail.com; ningqiu@scsio.ac.cn; khalidlatif@uop.edu.pk; guojingxue@pric.org.cn; sunbo@pric.org.cn</t>
  </si>
  <si>
    <t>National Key RD Program of China; Chinese National Antarctic Research Expedition; University of Texas Institute for Geophysics</t>
  </si>
  <si>
    <t>We acknowledge the Chinese National Antarctic Research Expedition and the University of Texas Institute for Geophysics for the undertaking of fieldwork and data acquisition.</t>
  </si>
  <si>
    <t>10.3390/rs15235523</t>
  </si>
  <si>
    <t>AH0D0</t>
  </si>
  <si>
    <t>WOS:001117447500001</t>
  </si>
  <si>
    <t>Sun, XY; Lv, TT; Sun, QZ; Ding, ZM; Shen, H; Gao, Y; He, YW; Fu, M; Li, CH</t>
  </si>
  <si>
    <t>Sun, Xiaoyu; Lv, Tingting; Sun, Qizhen; Ding, Zhuoming; Shen, Hui; Gao, Yi; He, Yawen; Fu, Min; Li, Chunhua</t>
  </si>
  <si>
    <t>Analysis of Spatiotemporal Variations and Influencing Factors of Sea Ice Extent in the Arctic and Antarctic</t>
  </si>
  <si>
    <t>Antarctic; Arctic; sea ice extent; remote sensing</t>
  </si>
  <si>
    <t>RAPID DECLINE; VARIABILITY; DRIVEN; TRENDS</t>
  </si>
  <si>
    <t>The 44 years (1979-2022) of satellite-derived sea ice extent in the Arctic and Antarctic reveals the details and new trends in the process of polar sea ice coverage changes. The speed of Arctic sea ice extent reduction and the interannual difference significantly increased after 2004. Trend analysis suggests that the Arctic Ocean may experience an ice-free period around 2060. The maximum anomaly of Arctic sea ice extent has gradually transitioned from September to October, indicating a trend of prolonged melting period. The center of gravity of sea ice in the Arctic Ocean is biased towards the Pacific side, and the spatial distribution pattern of sea ice is greatly influenced by the Atlantic warm current. The dynamism of the sea ice extent on the Atlantic side is significantly greater than in other regions. Since 2014, the Antarctic sea ice extent has shifted from slow growth to a rapid decreasing trend; the sea ice extent reached a historical minimum in 2022, decreasing by 2.02 x 106 km2 compared to 2014. The Antarctic experiences seven months of ice growth each year and five months of ice melting period, the annual change patterns of sea ice extent in the Arctic and Antarctic are slightly different.</t>
  </si>
  <si>
    <t>[Sun, Xiaoyu; Sun, Qizhen; Ding, Zhuoming; Shen, Hui; Gao, Yi; Fu, Min; Li, Chunhua] Natl Marine Environm Forecasting Ctr, Key Lab Res Marine Hazards Forecasting, Beijing 100081, Peoples R China; [Lv, Tingting] Chinese Acad Sci, Aerosp Informat Res Inst, Beijing 100101, Peoples R China; [He, Yawen] China Univ Petr, Ocean &amp; Spatial Informat Coll, Qingdao 266000, Peoples R China</t>
  </si>
  <si>
    <t>National Marine Environmental Forecasting Center; Chinese Academy of Sciences; Aerospace Information Research Institute, CAS; China University of Petroleum</t>
  </si>
  <si>
    <t>Shen, H (corresponding author), Natl Marine Environm Forecasting Ctr, Key Lab Res Marine Hazards Forecasting, Beijing 100081, Peoples R China.</t>
  </si>
  <si>
    <t>sunxy@nmefc.cn; lvtt@aircas.ac.cn; shenh@nmefc.cn; gaoyi@nmefc.cn; heyw@upc.edu.cn; lch@nmefc.cn</t>
  </si>
  <si>
    <t>yawen, he/N-7137-2013</t>
  </si>
  <si>
    <t>yawen, he/0000-0002-6606-1610</t>
  </si>
  <si>
    <t>Simulation and evaluation of sea ice models and sea-ice-air interactions; Institute of Environmental Physics (IUP) at the University of Bremen; Alfred Wegener Institute, Helmholtz Centre for Polar and Marine Research (AWI); National Centers for Environmental Information (NCEI); British Antarctic Survey (BAS)</t>
  </si>
  <si>
    <t>Simulation and evaluation of sea ice models and sea-ice-air interactions; Institute of Environmental Physics (IUP) at the University of Bremen; Alfred Wegener Institute, Helmholtz Centre for Polar and Marine Research (AWI)(Helmholtz Association); National Centers for Environmental Information (NCEI); British Antarctic Survey (BAS)</t>
  </si>
  <si>
    <t>We would like to express our gratitude to the Institute of Environmental Physics (IUP) at the University of Bremen and the Alfred Wegener Institute, Helmholtz Centre for Polar and Marine Research (AWI) for providing the sea ice extent data. We are also grateful to the National Centers for Environmental Information (NCEI) and the British Antarctic Survey (BAS) for their generous contribution of meteorological data.</t>
  </si>
  <si>
    <t>10.3390/rs15235563</t>
  </si>
  <si>
    <t>AB7L9</t>
  </si>
  <si>
    <t>WOS:001116061900001</t>
  </si>
  <si>
    <t>Wang, YT; Xiao, CD</t>
  </si>
  <si>
    <t>Wang, Yetang; Xiao, Cunde</t>
  </si>
  <si>
    <t>An Increase in the Antarctic Surface Mass Balance during the Past Three Centuries, Dampening Global Sea Level Rise</t>
  </si>
  <si>
    <t>Antarctica; Snow; Climate change; Sea level</t>
  </si>
  <si>
    <t>SOUTHERN ANNULAR MODE; SNOW ACCUMULATION; WEST ANTARCTICA; CLIMATE; VARIABILITY; DATASET; RECORDS; TRENDS</t>
  </si>
  <si>
    <t>Antarctic surface mass balance (SMB) is a direct regulator of global sea level changes, but quantification of its long-term evolution at the ice sheet scale is challenging. Here, we combine for the first time a recently complied dataset of ice core records with the outputs of five different reanalysis products and two regional climate models to produce a rec-onciled 310-yr reconstruction of spatially and temporally complete SMB over the Antarctic Ice Sheet (AIS). Despite greatly variable signs and magnitudes of reconstructed SMB trends in the different regions, a significant positive trend (3.6 +/- 0.8 Gt yr-1 decade-1) is observed for SMB over the entire AIS during the past 300 years, with a larger increase rate since 1801. The increased SMB cumulatively dampened global sea level rise by -14 mm between 1901 and 2010, which did not account for the ice sheet dynamical imbalance. The first and second modes of empirical orthogonal function analysis (EOF1 and EOF2) capture 38.0% and 24.6% of the total variability in reconstructed SMB, respectively. EOF1 consists of an east-west dipole of SMB changes over West Antarctica, primarily driven by Southern Annular Mode (SAM) variability. EOF2 represents a strong signal over the whole Antarctic Peninsula and coastal West Antarctica, which is not associated with SAM, but with El Nino-Southern Oscillation (ENSO) at the decadal scale.</t>
  </si>
  <si>
    <t>[Wang, Yetang] Shandong Normal Univ, Coll Geog &amp; Environm, Jinan, Peoples R China; [Xiao, Cunde] Beijing Normal Univ, State Key Lab Earth Surface Proc &amp; Resource Ecol, Beijing, Peoples R China</t>
  </si>
  <si>
    <t>Shandong Normal University; Beijing Normal University</t>
  </si>
  <si>
    <t>yetangwang@sdnu.edu.cn; cdxiao@bnu.edu.cn</t>
  </si>
  <si>
    <t>National Natural Science Foundation of China [41971081]; Strate- gic Priority Research Program of the Chinese Academy of Sciences [XAD19070103]; National Key Research and Development Program of China [2020YFA0608202]; Project for Outstanding Youth Innovation Team in the Uni- versities of Shandong Province [2019KJH011]</t>
  </si>
  <si>
    <t>National Natural Science Foundation of China(National Natural Science Foundation of China (NSFC)); Strate- gic Priority Research Program of the Chinese Academy of Sciences(Chinese Academy of Sciences); National Key Research and Development Program of China; Project for Outstanding Youth Innovation Team in the Uni- versities of Shandong Province</t>
  </si>
  <si>
    <t>This work was funding by the National Natural Science Foundation of China (41971081) , the Strate- gic Priority Research Program of the Chinese Academy of Sciences (XAD19070103) , the National Key Research and Development Program of China (2020YFA0608202) , and the Project for Outstanding Youth Innovation Team in the Uni- versities of Shandong Province (2019KJH011) . The authors thank Shawn Marshall (the editor) , Marie Cavitte (the re- viewer) , and two anonymous reviewers for their constructive comments and suggestions to improve the paper.</t>
  </si>
  <si>
    <t>10.1175/JCLI-D-22-0747.1</t>
  </si>
  <si>
    <t>X8BC0</t>
  </si>
  <si>
    <t>WOS:001100627000001</t>
  </si>
  <si>
    <t>Kolbasova, G; Syomin, V; Mishin, A; Molodtsova, T; Neretin, N; Neretina, T</t>
  </si>
  <si>
    <t>Kolbasova, Glafira; Syomin, Vitaly; Mishin, Alexey; Molodtsova, Tina; Neretin, Nikolai; Neretina, Tatiana</t>
  </si>
  <si>
    <t>Holopelagic Annelida from the Atlantic sector of the Southern Ocean and adjacent South Atlantic with descriptions of three new species</t>
  </si>
  <si>
    <t>MARINE BIODIVERSITY</t>
  </si>
  <si>
    <t>Antarctic; Alciopidae; Cosmopolitan species; Zooplankton; Biodiversity</t>
  </si>
  <si>
    <t>ZOOPLANKTON COMMUNITY; WEDDELL SEA; POLYCHAETA; RECORDS; ICE; LOPADORHYNCHIDAE; TYPHLOSCOLECIDAE; HETEROGENEITY; ALIGNMENT; ORIGINS</t>
  </si>
  <si>
    <t>Pelagic polychaetes were collected in the Bransfield Strait, the Weddell Sea, and near the South Orkney Islands area in the austral summer of 2022 during the 87th cruise of the R/V Akademik Mstislav Keldysh. The collected material was studied using morphological, taxonomic, and molecular methods; 18S and D1 regions of 28S genes were used as molecular markers. In total, 17 species were recognized in the studied material, including Alciopini (2), Lopadorrhynchidae (4), Iospilidae (1), Typhloscolecidae (6), and Tomopteridae (4). We clarified relationships between Vanadis antarctica McIntosh, 1885, and V. longissima (Levinsen, 1885). One new typhloscolecid Typhloscolex keldyshi sp. nov. and two new species of Lopadorrhynchidae Pelagobia albertych sp. nov. and Pelagobia torquata sp. nov. have been described. Also, we propose to restore Pelagobia viguieri Gravier, 1911, based on molecular data.</t>
  </si>
  <si>
    <t>[Kolbasova, Glafira; Neretin, Nikolai; Neretina, Tatiana] Moscow MV Lomonosov State Univ, NA Pertsov White Sea Biol Stn, Moscow, Russia; [Syomin, Vitaly; Mishin, Alexey; Molodtsova, Tina] Russian Acad Sci, Shirshov Inst Oceanol, Moscow, Russia</t>
  </si>
  <si>
    <t>Lomonosov Moscow State University; Russian Academy of Sciences; Shirshov Institute of Oceanology</t>
  </si>
  <si>
    <t>Kolbasova, G (corresponding author), Moscow MV Lomonosov State Univ, NA Pertsov White Sea Biol Stn, Moscow, Russia.</t>
  </si>
  <si>
    <t>utricularia57@yandex.ru</t>
  </si>
  <si>
    <t>We would like to thank the captain and the crew of the R/V Akademik Mstislav Keldysh, as well as the expedition's chief scientist, Dr. Eugeny G. Morozov, for his contribution to the organization and implementation of zooplankton sampling. We express our gr</t>
  </si>
  <si>
    <t>We would like to thank the captain and the crew of the R/V Akademik Mstislav Keldysh, as well as the expedition's chief scientist, Dr. Eugeny G. Morozov, for his contribution to the organization and implementation of zooplankton sampling. We express our gratitude to Fedor V. Bolshakov and Dr. Andrey I. Lavrov (White Sea Biological Station) and George N. Davidovich and Anatoly G. Bogdanov (Laboratory of Electron Microscopy, MSU) for technical support with scanning electron microscopy. Finally, we would sincerely thank Anna Sokolova for the help with manuscript preparation and two anonymous reviewers for their friendly and valuable corrections.</t>
  </si>
  <si>
    <t>1867-1616</t>
  </si>
  <si>
    <t>1867-1624</t>
  </si>
  <si>
    <t>MAR BIODIVERS</t>
  </si>
  <si>
    <t>Mar. Biodivers.</t>
  </si>
  <si>
    <t>10.1007/s12526-023-01380-x</t>
  </si>
  <si>
    <t>Biodiversity Conservation; Marine &amp; Freshwater Biology</t>
  </si>
  <si>
    <t>Biodiversity &amp; Conservation; Marine &amp; Freshwater Biology</t>
  </si>
  <si>
    <t>Y4RK3</t>
  </si>
  <si>
    <t>WOS:001105147400002</t>
  </si>
  <si>
    <t>Wang, W; Shen, YZ; Chen, QJ; Wang, FW</t>
  </si>
  <si>
    <t>Wang, Wei; Shen, Yunzhong; Chen, Qiujie; Wang, Fengwei</t>
  </si>
  <si>
    <t>Unprecedented mass gain over the Antarctic ice sheet between 2021 and 2022 caused by large precipitation anomalies</t>
  </si>
  <si>
    <t>ENVIRONMENTAL RESEARCH LETTERS</t>
  </si>
  <si>
    <t>Antarctic ice sheet; mass balance; GRACE/GRACE-FO; sea level change; climate change</t>
  </si>
  <si>
    <t>GLACIAL ISOSTATIC-ADJUSTMENT; WEST ANTARCTICA; GRACE; MODEL; OCEAN</t>
  </si>
  <si>
    <t>The Antarctic ice sheet (AIS) is susceptible to global climate change, and its mass loss has been 92 +/- 18 Gt yr -1 between 1992 and 2020. Given the current intensive global warming, we investigate the AIS mass changes from January 2003 to December 2022, using the newly released satellite gravimetry and atmospheric datasets. The results show that the continuous mass loss in the AIS between 2003 and 2020 was 141.8 +/- 55.6 Gt yr-1 . However, the AIS showed a record-breaking mass gain of 129.7 +/- 69.6 Gt yr -1 between 2021 and 2022. During this period, the mass gain over the East AIS and Antarctic Peninsula was unprecedented within the past two decades, and it outpaced the mass loss in the Amundsen sector of the West AIS from 2003 to 2022. Basin-scale analysis shows that the mass gain mainly occurred over Wilhelm II Land, Queen Mary Land, Wilkes Land, and the Antarctic Peninsula due to anomalously enhanced precipitation. Further investigation reveals that during 2021-2022, a pair of symmetrically distributed high-low pressure systems, located at approximately 120 degrees W and 60 degrees E in the Southern Ocean, drove the observed abnormal precipitation and mass accumulation.</t>
  </si>
  <si>
    <t>[Wang, Wei; Shen, Yunzhong; Chen, Qiujie] Tongji Univ, Coll Surveying &amp; Geoinformat, Shanghai, Peoples R China; [Wang, Fengwei] Tongji Univ, State Key Lab Marine Geol, Shanghai, Peoples R China</t>
  </si>
  <si>
    <t>Tongji University; Tongji University</t>
  </si>
  <si>
    <t>Shen, YZ (corresponding author), Tongji Univ, Coll Surveying &amp; Geoinformat, Shanghai, Peoples R China.</t>
  </si>
  <si>
    <t>yzshen@tongji.edu.cn</t>
  </si>
  <si>
    <t>Wang, Siying/KHX-1894-2024; wang, rong/KFQ-7187-2024; Lin, Wei/KFQ-5381-2024</t>
  </si>
  <si>
    <t>We thank the Editor and two anonymous reviewers for their constructive and insightful comments, which helped us considerably improve our manuscript. This work is sponsored by the Natural Science Foundation of China (Grant Numbers 42274005, 41974002, 420611 [42274005, 41974002, 42061134010]; Natural Science Foundation of China [2017YFA0603103]; National Key Ramp;D Program of China</t>
  </si>
  <si>
    <t>We thank the Editor and two anonymous reviewers for their constructive and insightful comments, which helped us considerably improve our manuscript. This work is sponsored by the Natural Science Foundation of China (Grant Numbers 42274005, 41974002, 420611; Natural Science Foundation of China(National Natural Science Foundation of China (NSFC)); National Key Ramp;D Program of China</t>
  </si>
  <si>
    <t>We thank the Editor and two anonymous reviewers for their constructive and insightful comments, which helped us considerably improve our manuscript. This work is sponsored by the Natural Science Foundation of China (Grant Numbers 42274005, 41974002, 42061134010) and the National Key R &amp; D Program of China [2017YFA0603103]. Dr Michiel van den Broeke is acknowledged for providing the RACMO2 SMB data.</t>
  </si>
  <si>
    <t>IOP Publishing Ltd</t>
  </si>
  <si>
    <t>BRISTOL</t>
  </si>
  <si>
    <t>TEMPLE CIRCUS, TEMPLE WAY, BRISTOL BS1 6BE, ENGLAND</t>
  </si>
  <si>
    <t>1748-9326</t>
  </si>
  <si>
    <t>ENVIRON RES LETT</t>
  </si>
  <si>
    <t>Environ. Res. Lett.</t>
  </si>
  <si>
    <t>10.1088/1748-9326/ad0863</t>
  </si>
  <si>
    <t>X5VS8</t>
  </si>
  <si>
    <t>WOS:001099134100001</t>
  </si>
  <si>
    <t>Zhang, YH; Kong, YQ; Yang, S; Hu, XM</t>
  </si>
  <si>
    <t>Zhang, Yihan; Kong, Yunqi; Yang, Song; Hu, Xiaoming</t>
  </si>
  <si>
    <t>Asymmetric Arctic and Antarctic Warming and Its Intermodel Spread in CMIP6</t>
  </si>
  <si>
    <t>Sea ice; Asymmetry; Feedback; Climate change; Surface temperature; Uncertainty</t>
  </si>
  <si>
    <t>POLAR AMPLIFICATION; WATER-VAPOR; LAPSE-RATE; ICE; FEEDBACK; MODEL; SEASONALITY</t>
  </si>
  <si>
    <t>Under the background of global warming, the Arctic region has warmed faster than the Antarctic, which is referred to as asymmetric Arctic and Antarctic warming. The new generation of model simulations from the CMIP6 offers an opportunity to identify the major factors contributing to the asymmetric warming and its intermodel spread. In this study, the preindustrial and abrupt-4 3 CO2 experiments from 18 CMIP6 models are examined to extract the asymmetric warming and its intermodel spread. A climate feedback-response analysis method is applied to reveal the contributions of external and internal feedback processes to the asymmetric warming and its intermodel spread, by decomposing total warming into the partial temperature changes caused by individual factors. It is found that a seasonal energy transfer mechanism (SETM) dominates in both polar warmings. The direct consequence of the sea ice declining in response to the anthropogenic forcing is an increase in the effective heat capacity of the ocean surface layer. Such an increase in the effective heat capacity temporally withholds most of the extra solar energy absorbed during summer and then releases it during winter, contributing to stronger warming in winter. However, the background oceanic circulation in the Southern Ocean, namely, the Antarctic Circumpolar Current, continually transports energy equatorward, resulting in a suppressed SETM and surface warming in the Antarctic. The key factor that accounts for intermodel spread in the asymmetric warming is the difference in their strengths of SETM. The poleward atmospheric transport and water vapor feedback also contribute to the intermodel spread.</t>
  </si>
  <si>
    <t>[Zhang, Yihan; Kong, Yunqi; Yang, Song; Hu, Xiaoming] Sun Yat Sen Univ, Sch Atmospher Sci, Zhuhai, Peoples R China; [Zhang, Yihan; Kong, Yunqi; Yang, Song; Hu, Xiaoming] Southern Marine Sci &amp; Engn Guangdong Lab Zhuhai, Zhuhai, Peoples R China; [Yang, Song; Hu, Xiaoming] Guangdong Prov Key Lab Climate Change &amp; Nat Disast, Zhuhai, Peoples R China</t>
  </si>
  <si>
    <t>Sun Yat Sen University; Southern Marine Science &amp; Engineering Guangdong Laboratory; Southern Marine Science &amp; Engineering Guangdong Laboratory (Zhuhai)</t>
  </si>
  <si>
    <t>Hu, XM (corresponding author), Sun Yat Sen Univ, Sch Atmospher Sci, Zhuhai, Peoples R China.;Hu, XM (corresponding author), Southern Marine Sci &amp; Engn Guangdong Lab Zhuhai, Zhuhai, Peoples R China.;Hu, XM (corresponding author), Guangdong Prov Key Lab Climate Change &amp; Nat Disast, Zhuhai, Peoples R China.</t>
  </si>
  <si>
    <t>huxm6@mail.sysu.edu.cn</t>
  </si>
  <si>
    <t>National Key Research and Develop-ment Program of China [2019YFA0607000]; National Natural Science Foundation of China [42222502, 42075028]; Southern Marine Science and Engineering Guangdong Laboratory (Zhuhai) [SML2021SP302]; Guangdong Province Key Laboratory for Climate Change and Natural Disaster Studies [2020B1212060025]</t>
  </si>
  <si>
    <t>National Key Research and Develop-ment Program of China; National Natural Science Foundation of China(National Natural Science Foundation of China (NSFC)); Southern Marine Science and Engineering Guangdong Laboratory (Zhuhai); Guangdong Province Key Laboratory for Climate Change and Natural Disaster Studies</t>
  </si>
  <si>
    <t>Acknowledgments. We thank the editor Dr. Yi Deng and two anonymous reviewers for their constructive comments leading to the improvement of the manuscript. This study was supported by the National Key Research and Develop-ment Program of China (2019YFA0607000) , the National Natural Science Foundation of China (42222502 and 42075028) , the Southern Marine Science and Engineering Guangdong Laboratory (Zhuhai) (Grant SML2021SP302) , and the Guangdong Province Key Laboratory for Climate Change and Natural Disaster Studies (Grant 2020B1212060025) .</t>
  </si>
  <si>
    <t>10.1175/JCLI-D-23-0118.1</t>
  </si>
  <si>
    <t>Y2ET6</t>
  </si>
  <si>
    <t>WOS:001103458300001</t>
  </si>
  <si>
    <t>Usoskin, I; Miyake, F; Baroni, M; Brehm, N; Dalla, S; Hayakawa, H; Hudson, H; Jull, AJT; Knipp, D; Koldobskiy, S; Maehara, H; Mekhaldi, F; Notsu, Y; Poluianov, S; Rozanov, E; Shapiro, A; Spiegl, T; Sukhodolov, T; Uusitalo, J; Wacker, L</t>
  </si>
  <si>
    <t>Usoskin, Ilya; Miyake, Fusa; Baroni, Melanie; Brehm, Nicolas; Dalla, Silvia; Hayakawa, Hisashi; Hudson, Hugh; Jull, A. J. Timothy; Knipp, Delores; Koldobskiy, Sergey; Maehara, Hiroyuki; Mekhaldi, Florian; Notsu, Yuta; Poluianov, Stepan; Rozanov, Eugene; Shapiro, Alexander; Spiegl, Tobias; Sukhodolov, Timofei; Uusitalo, Joonas; Wacker, Lukas</t>
  </si>
  <si>
    <t>Extreme Solar Events: Setting up a Paradigm</t>
  </si>
  <si>
    <t>SPACE SCIENCE REVIEWS</t>
  </si>
  <si>
    <t>Solar activity; Solar flares; Stellar flares; Cosmogenic isotopes</t>
  </si>
  <si>
    <t>CORONAL MASS EJECTIONS; GROUND-LEVEL ENHANCEMENT; LOW-LATITUDE AURORAS; 20 JANUARY 2005; GEOMAGNETIC-FIELD RECONSTRUCTIONS; COSMOGENIC RADIONUCLIDES BE-10; CHEMISTRY-CLIMATE MODEL; NEUTRAL HYDROGEN-ATOMS; GALACTIC COSMIC-RAYS; SPACE WEATHER EVENT</t>
  </si>
  <si>
    <t>The Sun is magnetically active and often produces eruptive events on different energetic and temporal scales. Until recently, the upper limit of such events was unknown and believed to be roughly represented by direct instrumental observations. However, two types of extreme events were discovered recently: extreme solar energetic particle events on the multi-millennial time scale and super-flares on sun-like stars. Both discoveries imply that the Sun might rarely produce events, called extreme solar events (ESE), whose energy could be orders of magnitude greater than anything we have observed during recent decades. During the years following these discoveries, great progress has been achieved in collecting observational evidence, uncovering new events, making statistical analyses, and developing theoretical modelling. The ESE paradigm lives and is being developed. On the other hand, many outstanding questions still remain open and new ones emerge. Here we present an overview of the current state of the art and the forming paradigm of ESE from different points of view: solar physics, stellar-solar projections, cosmogenic-isotope data, modelling, historical data, as well as terrestrial, technological and societal effects of ESEs. Special focus is paid to open questions and further developments. This review is based on the joint work of the International Space Science Institute (ISSI) team #510 (2020-2022).</t>
  </si>
  <si>
    <t>[Usoskin, Ilya; Koldobskiy, Sergey; Poluianov, Stepan] Univ Oulu, Space Phys &amp; Astron Res Unit, Oulu 90014, Finland; [Usoskin, Ilya; Koldobskiy, Sergey; Poluianov, Stepan] Univ Oulu, Sodankyla Geophys Observ, Oulu 90014, Finland; [Miyake, Fusa; Hayakawa, Hisashi] Nagoya Univ, Inst Space Earth Environm Res, Nagoya 4648601, Japan; [Baroni, Melanie] Aix Marseille Univ, CNRS, IRD, INRAE,CEREGE, Aix En Provnce, France; [Brehm, Nicolas; Wacker, Lukas] Swiss Fed Inst Technol, Dept Phys, Otto Stern Weg 5, CH-8093 Zurich, Switzerland; [Dalla, Silvia] Univ Cent Lancashire, Jeremiah Horrocks Inst, Preston PR1 2HE, England; [Hayakawa, Hisashi] Nagoya Univ, Inst Adv Res, Nagoya 4648601, Japan; [Hayakawa, Hisashi] Rutherford Appleton Lab, RAL Space, Sci &amp; Technol Facil Council, Didcot OX11 0QX, England; [Hayakawa, Hisashi] RIKEN, Wako 3510198, Japan; [Hudson, Hugh] Univ Glasgow, Glasgow G12 8QQ, Scotland; [Hudson, Hugh] Univ Calif Berkeley, SSL, Berkeley, CA 94720 USA; [Jull, A. J. Timothy] Univ Arizona, Dept Geosci, 1040 East Fourth St, Tucson, AZ 85721 USA; [Jull, A. J. Timothy] Inst Nucl Res, Bem ter 18c, H-4026 Debrecen, Hungary; [Knipp, Delores] Univ Colorado Boulder, Smead Aerosp Engn Sci Dept, 3775 Discovery Dr, Boulder, CO 80903 USA; [Knipp, Delores] Univ Colorado Boulder, Space Weather Technol Res &amp; Educ Ctr, 3775 Discovery Dr, Boulder, CO 80903 USA; [Maehara, Hiroyuki] Natl Astron Observ Japan, Subaru Telescope Okayama Branch Off, 3037-5 Honjo, Asakuchi, Okayama 7190232, Japan; [Mekhaldi, Florian] Lund Univ, Dept Geol Quaternary Sci, S-22362 Lund, Sweden; [Mekhaldi, Florian] British Antarctic Survey, Ice Dynam &amp; Paleoclimate, Cambridge CB3 0ET, England; [Notsu, Yuta] Univ Colorado Boulder, Lab Atmospher &amp; Space Phys, 3665 Discovery Dr, Boulder, CO 80303 USA; [Notsu, Yuta] Natl Solar Observ, 3665 Discovery Dr, Boulder, CO 80303 USA; [Rozanov, Eugene; Sukhodolov, Timofei] Phys Meteorol Observ Davos &amp; World Radiat Ctr, Dorfstr 33, CH-7260 Davos, Switzerland; [Rozanov, Eugene; Sukhodolov, Timofei] St Petersburg State Univ, Ozone layer &amp; Upper Atmosphere Res Lab, Ulyanovskaya Ul 1, St Petersburg 198504, Russia; [Shapiro, Alexander] Max Planck Inst Sonnensystemforsch, Justus Von Liebig Weg 3, D-37077 Gottingen, Germany; [Spiegl, Tobias] Free Univ Berlin, Inst Meteorol, Carl Heinrich Becker Weg 6-10, D-12165 Berlin, Germany; [Uusitalo, Joonas] Univ Helsinki, Finnish Museum Nat Hist, POB 64, Helsinki 00014, Finland; [Uusitalo, Joonas] Univ Helsinki, Dept Phys, POB 64, Helsinki 00014, Finland</t>
  </si>
  <si>
    <t>University of Oulu; University of Oulu; Nagoya University; Aix-Marseille Universite; INRAE; Centre National de la Recherche Scientifique (CNRS); Institut de Recherche pour le Developpement (IRD); Swiss Federal Institutes of Technology Domain; ETH Zurich; University of Central Lancashire; Nagoya University; UK Research &amp; Innovation (UKRI); Science &amp; Technology Facilities Council (STFC); STFC Rutherford Appleton Laboratory; RIKEN; University of Glasgow; University of California System; University of California Berkeley; University of Arizona; Hungarian Academy of Sciences; Hungarian Research Network; HUN-REN Institute for Nuclear Research; University of Colorado System; University of Colorado Boulder; University of Colorado System; University of Colorado Boulder; National Institutes of Natural Sciences (NINS) - Japan; National Astronomical Observatory of Japan (NAOJ); Lund University; UK Research &amp; Innovation (UKRI); Natural Environment Research Council (NERC); NERC British Antarctic Survey; University of Colorado System; University of Colorado Boulder; National Solar Observatory; Saint Petersburg State University; Max Planck Society; Free University of Berlin; University of Helsinki; University of Helsinki</t>
  </si>
  <si>
    <t>Usoskin, I (corresponding author), Univ Oulu, Space Phys &amp; Astron Res Unit, Oulu 90014, Finland.;Usoskin, I (corresponding author), Univ Oulu, Sodankyla Geophys Observ, Oulu 90014, Finland.</t>
  </si>
  <si>
    <t>ilya.usoskin@oulu.fi</t>
  </si>
  <si>
    <t>Koldobskiy, Sergey/K-6507-2015; Notsu, Yuta/ITV-3585-2023; Spiegl, Tobias/HJG-5964-2022</t>
  </si>
  <si>
    <t>Koldobskiy, Sergey/0000-0001-9187-0383; Notsu, Yuta/0000-0002-0412-0849; Uusitalo, Joonas/0000-0001-6944-0264; Shapiro, Alexander/0000-0002-8842-5403</t>
  </si>
  <si>
    <t>University of Oulu (Oulu University Hospital); International Space Science Institute (ISSI) in Bern [510]; Academy of Finland [321882]; AFOSR [FA9550-17-1-0258]; NASA [80NSSC20K1252]; JSPS Kakenhi [JP20K20918, JP20H05643]; JSPS (Japan Society for the Promotion of Science) KAKENHI [21J00106]; NASA ADAP award program [80NSSC21K0632]; JSPS [JP20K20918, JP20H05643, JP15H05812, JP21K13957, JP20KK0072, JP21H01124, JP21H04492, JP22K02956]; JSPS Overseas Challenge Program for Young Researchers; NIHU Multidisciplinary Collaborative Research Projects NINJAL unit Rediscovery of Citizen Science Culture in the Regions and Today [H421042227]; ISEE; Young Leader Cultivation (YLC) programme of Nagoya University; Tokai Pathways to Global Excellence (Nagoya University) of the Strategic Professional Development Program for Young Researchers (MEXT); Institute for Advanced Research, Nagoya University of the Program for Promoting the Enhancement of Research Universities; Government of the Russian Federation [075-15-2021-583]; Karbacher Fonds, Graubuenden, Switzerland; UK's STFC [ST/V000934/1]; NERC [NE/V002864/1]</t>
  </si>
  <si>
    <t>University of Oulu (Oulu University Hospital); International Space Science Institute (ISSI) in Bern; Academy of Finland(Research Council of Finland); AFOSR(United States Department of DefenseAir Force Office of Scientific Research (AFOSR)); NASA(National Aeronautics &amp; Space Administration (NASA)); JSPS Kakenhi(Ministry of Education, Culture, Sports, Science and Technology, Japan (MEXT)Japan Society for the Promotion of ScienceGrants-in-Aid for Scientific Research (KAKENHI)); JSPS (Japan Society for the Promotion of Science) KAKENHI(Ministry of Education, Culture, Sports, Science and Technology, Japan (MEXT)Japan Society for the Promotion of ScienceGrants-in-Aid for Scientific Research (KAKENHI)); NASA ADAP award program; JSPS(Ministry of Education, Culture, Sports, Science and Technology, Japan (MEXT)Japan Society for the Promotion of Science); JSPS Overseas Challenge Program for Young Researchers; NIHU Multidisciplinary Collaborative Research Projects NINJAL unit Rediscovery of Citizen Science Culture in the Regions and Today; ISEE; Young Leader Cultivation (YLC) programme of Nagoya University; Tokai Pathways to Global Excellence (Nagoya University) of the Strategic Professional Development Program for Young Researchers (MEXT); Institute for Advanced Research, Nagoya University of the Program for Promoting the Enhancement of Research Universities; Government of the Russian Federation; Karbacher Fonds, Graubuenden, Switzerland; UK's STFC(UK Research &amp; Innovation (UKRI)Science &amp; Technology Facilities Council (STFC)); NERC(UK Research &amp; Innovation (UKRI)Natural Environment Research Council (NERC))</t>
  </si>
  <si>
    <t>Open Access funding provided by University of Oulu (including Oulu University Hospital). This work was supported by the International Space Science Institute (ISSI) in Bern, through ISSI International Team project # 510 (Solar Extreme Events: Setting Up a Paradigm - SEESUP) and Visiting Scientist program for I.U. This work was partly supported by the Academy of Finland (project ESPERA No. 321882). SOHO is a project of international cooperation between ESA and NASA. Hinode is a Japanese mission developed and launched by ISAS/JAXA, with NAOJ as a domestic partner and NASA and STFC (UK) as international partners. It is operated by these agencies in cooperation with ESA and NSC (Norway). RHESSI is a NASA Small Explorer mission. Data for Fig. 49 panels a, b and d, were accessed via the University of Colorado Space Weather Data Portal https://lasp.colorado.edu/space-weather-portal. H.H. thanks WDCs for Geomag-netism at Kyoto and Edinburgh for providing geomagnetic data and geomagnetic indices and WDC SILSO for providing sunspot numbers. D.J.K. was partially supported by AFOSR Award No: FA9550-17-1-0258 and by NASA Award 80NSSC20K1252 and acknowledges important conversations with Richard Horne of the British Antarctic Survey and Steve Kahler of the US Air Force Research Laboratory. F.M. was supported by JSPS Kakenhi Grant Numbers JP20K20918 and JP20H05643. Y.N. was supported by JSPS (Japan Society for the Promotion of Science) KAKENHI Grant Numbers 21J00106 and was also supported by NASA ADAP award program Number 80NSSC21K0632. Y.N. also acknowledges helpful discussions with Kazunari Shibata of Kyoto University. H.H. was supported by JSPS Grant-in-Aids JP15H05812, JP20K20918, JP20H05643, JP21K13957, JP20KK0072, JP21H01124, JP21H04492, and JP22K02956. H.H. was partly funded by JSPS Overseas Challenge Program for Young Researchers, JSPS Overseas Challenge Program for Young Researchers, NIHU Multidisciplinary Collaborative Research Projects NINJAL unit Rediscovery of Citizen Science Culture in the Regions and Today (H421042227), the ISEE director's leadership fund for FYs 2021, 2022 and 2023, Young Leader Cultivation (YLC) programme of Nagoya University, Tokai Pathways to Global Excellence (Nagoya University) of the Strategic Professional Development Program for Young Researchers (MEXT), and the young researcher units for the advancement of new and undeveloped fields, Institute for Advanced Research, Nagoya University of the Program for Promoting the Enhancement of Research Universities. H. H. thanks the Local Meteorological Offices at Niigata for allowing him studying and reproducing the Japanese auroral drawing in Feb 1958 (Figure 33), the Ulugh Beg Astronomical Institute of the Uzbekistan Academy of Sciences for allowing him studying and reproducing the Tashkent H alpha flare drawing in March 1946 (Figure 35), Zentralbibliothek Zuuerich (Department of Prints and Drawings/Photo Archive) for allowing him studying and reproducing ZB Graphische Sammlung (GSB), PAS II 19/4 (Figure 42), and Yasuyuki Mitsuma for sharing his trace copies in Figures 44 and 45. Work by E.R. and T.S. was partially funded by the Government of the Russian Federation under the agreement [075-15-2021-583]. The work of T.S. was also supported by the Karbacher Fonds, Graubuenden, Switzerland. S.D. acknowledges support from the UK's STFC through grant ST/V000934/1 and from NERC via the SWARM project, part of the SWIMMR programme (grant NE/V002864/1).</t>
  </si>
  <si>
    <t>0038-6308</t>
  </si>
  <si>
    <t>1572-9672</t>
  </si>
  <si>
    <t>SPACE SCI REV</t>
  </si>
  <si>
    <t>Space Sci. Rev.</t>
  </si>
  <si>
    <t>10.1007/s11214-023-01018-1</t>
  </si>
  <si>
    <t>W9BC1</t>
  </si>
  <si>
    <t>WOS:001094498300002</t>
  </si>
  <si>
    <t>Lischka, A; Braid, HE; Gaw, S; Bolstad, KSR</t>
  </si>
  <si>
    <t>Lischka, A.; Braid, H. E.; Gaw, S.; Bolstad, K. S. R.</t>
  </si>
  <si>
    <t>First reports of trace element bioaccumulation in the Antarctic deep-sea squid Psychroteuthis glacialis</t>
  </si>
  <si>
    <t>MARINE BIOLOGY</t>
  </si>
  <si>
    <t>Ross sea; Antarctic squid; Biomonitoring; Baseline studies; Bioindicators; Trace elements</t>
  </si>
  <si>
    <t>ROSS SEA; MERCURY CONCENTRATIONS; DETOXIFICATION PROCESSES; MARINE ORGANISMS; SOUTHERN-OCEAN; FLYING SQUID; HEAVY-METALS; FOOD-WEB; CADMIUM; COPPER</t>
  </si>
  <si>
    <t>Trophic interactions in the Antarctic Ocean are likely to be affected by changing environmental conditions. Some of these impacts can be observed, and predicted, by monitoring trace element concentrations in the tissues of animals at certain trophic levels. The 'glacial' squid (Psychroteuthis glacialis) is an ideal indicator species for measuring trace element bioaccumulation in the Ross Sea because it plays a central role in local marine food webs. Trace elements (Al, As, Cd, Co, Cu, Fe, Hg, Ni, Mn, Pb, U, V, and Zn) were measured in mantle and digestive gland tissues of 57 P. glacialis specimens, including juvenile and mature individuals. Significant differences in Al, As, Cd, Cu, Fe, Mn, V, and Zn concentrations were observed across life stages, with juveniles generally having the highest concentrations. As the bioaccumulation of most trace elements is influenced by diet, our results suggest different feeding patterns between juvenile and mature P. glacialis. In turn, it is likely that the life stage of P. glacialis individuals consumed by predators will determine trace element exposure higher up the trophic web. Overall, this Antarctic squid appears to be influenced by the trace element cycling in the Ross Sea and contains lower concentrations of trace elements than have been observed in squids in warmer waters.</t>
  </si>
  <si>
    <t>[Lischka, A.; Braid, H. E.; Bolstad, K. S. R.] Auckland Univ Technol, Sch Sci, AUT Lab Cephalopod Ecol &amp; Systemat, Private Bag 92006, Auckland 1142, New Zealand; [Gaw, S.] Univ Canterbury, Sch Phys &amp; Chem Sci, Private Bag 4800, Christchurch 8140, New Zealand</t>
  </si>
  <si>
    <t>Auckland University of Technology; University of Canterbury</t>
  </si>
  <si>
    <t>Lischka, A (corresponding author), Auckland Univ Technol, Sch Sci, AUT Lab Cephalopod Ecol &amp; Systemat, Private Bag 92006, Auckland 1142, New Zealand.</t>
  </si>
  <si>
    <t>alexandralischka90@gmail.com</t>
  </si>
  <si>
    <t>We would like to thank Darren Stevens from the National Institute of Water and Atmospheric Research, Ltd (NIWA) for sampling the specimens used in this study. We would also like to thank Sadie Mills and Diana MacPherson from NIWA for their help. We would f [TAN1901]; National Institute of Water and Atmospheric Research, Ltd (NIWA); Auckland University of Technology (AUT); University of Canterbury</t>
  </si>
  <si>
    <t>We would like to thank Darren Stevens from the National Institute of Water and Atmospheric Research, Ltd (NIWA) for sampling the specimens used in this study. We would also like to thank Sadie Mills and Diana MacPherson from NIWA for their help. We would f; National Institute of Water and Atmospheric Research, Ltd (NIWA); Auckland University of Technology (AUT); University of Canterbury</t>
  </si>
  <si>
    <t>We would like to thank Darren Stevens from the National Institute of Water and Atmospheric Research, Ltd (NIWA) for sampling the specimens used in this study. We would also like to thank Sadie Mills and Diana MacPherson from NIWA for their help. We would further like to thank the crew of the RV Tangaroa (TAN1901) for their efforts and collaboration. AL thanks Jaever Santos and Tilly Gibb for their help with the sample processing; it was very appreciated. Our thanks go to Auckland University of Technology (AUT) as well as University of Canterbury for their financial support. We would like to thank Robert Stainthorpe from the University of Canterbury for performing the ICP-MS analysis.</t>
  </si>
  <si>
    <t>0025-3162</t>
  </si>
  <si>
    <t>1432-1793</t>
  </si>
  <si>
    <t>MAR BIOL</t>
  </si>
  <si>
    <t>Mar. Biol.</t>
  </si>
  <si>
    <t>10.1007/s00227-023-04304-2</t>
  </si>
  <si>
    <t>Marine &amp; Freshwater Biology</t>
  </si>
  <si>
    <t>U7QE0</t>
  </si>
  <si>
    <t>WOS:001086706400002</t>
  </si>
  <si>
    <t>Zhang, XD; Chen, XY; Orr, A; Overland, JE; Vihma, T; Wang, MY; Yang, QH; Zhang, RH</t>
  </si>
  <si>
    <t>Zhang, Xiangdong; Chen, Xianyao; Orr, Andrew; Overland, James E.; Vihma, Timo; Wang, Muyin; Yang, Qinghua; Zhang, Renhe</t>
  </si>
  <si>
    <t>Preface to the Special Issue on Changing Arctic Climate and Low/Mid-latitudes Connections</t>
  </si>
  <si>
    <t>ADVANCES IN ATMOSPHERIC SCIENCES</t>
  </si>
  <si>
    <t>EVENTS</t>
  </si>
  <si>
    <t>[Zhang, Xiangdong] North Carolina State Univ, Asheville, NC 28801 USA; [Chen, Xianyao] Ocean Univ China, Frontier Sci Ctr Deep Ocean Multispheres &amp; Earth S, Key Lab Phys Oceanog, Qingdao 266100, Peoples R China; [Orr, Andrew] British Antarctic Survey, Madingley Rd, Cambridge CB3 0ET, England; [Overland, James E.; Wang, Muyin] NOAA, Pacific Marine Environm Lab, Seattle, WA 98115 USA; [Vihma, Timo] Finnish Meteorol Inst, FI-00560 Helsinki, Finland; [Wang, Muyin] Univ Washington, Seattle, WA 98105 USA; [Yang, Qinghua] Sun Yat Sen Univ, Sch Atmospher Sci, Zhuhai 519082, Peoples R China; [Yang, Qinghua] Southern Marine Sci &amp; Engn Guangdong Lab Zhuhai, Zhuhai 519082, Peoples R China; [Zhang, Renhe] Fudan Univ, Dept Atmospher &amp; Ocean Sci, Shanghai 200438, Peoples R China</t>
  </si>
  <si>
    <t>North Carolina State University; Ocean University of China; UK Research &amp; Innovation (UKRI); Natural Environment Research Council (NERC); NERC British Antarctic Survey; National Oceanic Atmospheric Admin (NOAA) - USA; Finnish Meteorological Institute; University of Washington; University of Washington Seattle; Sun Yat Sen University; Southern Marine Science &amp; Engineering Guangdong Laboratory; Southern Marine Science &amp; Engineering Guangdong Laboratory (Zhuhai); Fudan University</t>
  </si>
  <si>
    <t>Zhang, XD (corresponding author), North Carolina State Univ, Asheville, NC 28801 USA.</t>
  </si>
  <si>
    <t>SCIENCE PRESS</t>
  </si>
  <si>
    <t>BEIJING</t>
  </si>
  <si>
    <t>16 DONGHUANGCHENGGEN NORTH ST, BEIJING 100717, PEOPLES R CHINA</t>
  </si>
  <si>
    <t>0256-1530</t>
  </si>
  <si>
    <t>1861-9533</t>
  </si>
  <si>
    <t>ADV ATMOS SCI</t>
  </si>
  <si>
    <t>Adv. Atmos. Sci.</t>
  </si>
  <si>
    <t>10.1007/s00376-023-3015-8</t>
  </si>
  <si>
    <t>U5FP1</t>
  </si>
  <si>
    <t>WOS:001085057800001</t>
  </si>
  <si>
    <t>Kim, BH; Hur, SP; Choi, SH; Lee, YD; Lee, CH</t>
  </si>
  <si>
    <t>Kim, Byeong-Hoon; Hur, Sung-Pyo; Choi, Song-Hee; Lee, Young-Don; Lee, Chi-Hoon</t>
  </si>
  <si>
    <t>Exploring Rearing Water Temperature Conditions for Inducing Body Growth without Water Temperature Stress in Red-Spotted Grouper (Epinephelus akaara)</t>
  </si>
  <si>
    <t>OCEAN SCIENCE JOURNAL</t>
  </si>
  <si>
    <t>Antioxidant enzyme genes; Growth performance; Hepatocyte; Red-spotted grouper; Water temperature</t>
  </si>
  <si>
    <t>BASS DICENTRARCHUS-LABRAX; MESSENGER-RNA EXPRESSION; OXIDATIVE STRESS; ANTARCTIC FISH; INTESTINAL HEALTH; SIZE; SEA; SURVIVAL; IMMUNE; DAMAGE</t>
  </si>
  <si>
    <t>This study explored appropriate rearing water temperatures that can minimize water temperature stress and induce body growth in the farmed red-spotted grouper (Epinephelus akaara). An examination of annual growth performance showed that body growth (body weight and total length) was induced faster from July to September 2020 than during other periods. Weight gain (WG), specific growth rate (SGR), and feed efficiency (FF) were highest in August 2020. The hepatocyte diam-eter increased significantly in June and October 2020. It was observed that the body weight and total length were significantly induced under the conditions of 26 degrees C and 32 degrees C. WG and SGR were highest at 26 degrees C and 32 degrees C, respectively, and FCR was highest at 26 degrees C. The expression of Cu/Zn-Superoxide dismutase (SOD) and Mn-SOD mRNA in the brain was significantly higher in the 32 degrees C group than that in the 26 degrees C group after 12 weeks. Expression of catalase (CAT) mRNA was signifi-cantly higher in the natural group than in the 26 degrees C group. The expression of Cu/Zn-SOD and CAT mRNA in the liver was significantly higher at a natural temperature at 8 weeks. The expression of Mn-SOD mRNA was significantly higher in the natural temperature group than that in the 32 degrees C group. The hepatosomatic index values and hepatocyte diameter tended to decrease more significantly at 26 degrees C and 32 degrees C. Our findings are based on growth performance and physiological indicators, and it is considered that a water temperature of 26 degrees C is suitable for farmed red-spotted groupers.</t>
  </si>
  <si>
    <t>[Kim, Byeong-Hoon] Jeju Natl Univ, Educ &amp; Res Grp Future Strategy Aquat Life Ind, Jeju 63243, South Korea; [Hur, Sung-Pyo] Jeju Natl Univ, Dept Marine Life Sci, Jeju 63243, South Korea; [Choi, Song-Hee; Lee, Young-Don; Lee, Chi-Hoon] Jeju Natl Univ, Marine Sci Inst, Jeju 63333, South Korea</t>
  </si>
  <si>
    <t>Jeju National University; Jeju National University; Jeju National University</t>
  </si>
  <si>
    <t>Lee, CH (corresponding author), Jeju Natl Univ, Marine Sci Inst, Jeju 63333, South Korea.</t>
  </si>
  <si>
    <t>chlee074@daum.net</t>
  </si>
  <si>
    <t>Basic Science Research Program through the National Research Foundation of Korea (NRF) - Ministry of Education [2020R1I1A1A01067225]; Korea Institute of Planning and Evaluation for Technology in Food, Agriculture, Forestry (IPET) through the Golden Seed Project - Ministry of Oceans and Fisheries (MOF) [213008-05-5-SB510]</t>
  </si>
  <si>
    <t>Basic Science Research Program through the National Research Foundation of Korea (NRF) - Ministry of Education(National Research Foundation of KoreaMinistry of Education (MOE), Republic of KoreaNational Research Council for Economics, Humanities &amp; Social Sciences, Republic of Korea); Korea Institute of Planning and Evaluation for Technology in Food, Agriculture, Forestry (IPET) through the Golden Seed Project - Ministry of Oceans and Fisheries (MOF)</t>
  </si>
  <si>
    <t>This research was supported by Basic Science Research Program through the National Research Foundation of Korea (NRF) funded by the Ministry of Education (grant number 2020R1I1A1A01067225). And this work was supported by the Korea Institute of Planning and Evaluation for Technology in Food, Agriculture, Forestry (IPET) through the Golden Seed Project funded by the Ministry of Oceans and Fisheries (MOF) (grant number 213008-05-5-SB510).</t>
  </si>
  <si>
    <t>KOREA INST OCEAN SCIENCE &amp; TECHNOLOGY-KIOST</t>
  </si>
  <si>
    <t>BUSAN</t>
  </si>
  <si>
    <t>HAEYANG-RO 385, YEONGDO-GU, BUSAN, SOUTH KOREA</t>
  </si>
  <si>
    <t>1738-5261</t>
  </si>
  <si>
    <t>2005-7172</t>
  </si>
  <si>
    <t>OCEAN SCI J</t>
  </si>
  <si>
    <t>Ocean Sci. J.</t>
  </si>
  <si>
    <t>10.1007/s12601-023-00117-y</t>
  </si>
  <si>
    <t>R5TE0</t>
  </si>
  <si>
    <t>WOS:001064967400001</t>
  </si>
  <si>
    <t>Huang, R; Yao, JX; Zhou, L; Li, X; Zhu, JR; Hu, YQ; Liu, JK</t>
  </si>
  <si>
    <t>Huang, Rong; Yao, Jiaxu; Zhou, Li; Li, Xiang; Zhu, Jinrui; Hu, Yueqi; Liu, Jikai</t>
  </si>
  <si>
    <t>Protective effect and mechanism insight of purified Antarctic krill phospholipids against mice ulcerative colitis combined with bioinformatics (vol 13, 11, 2023)</t>
  </si>
  <si>
    <t>NATURAL PRODUCTS AND BIOPROSPECTING</t>
  </si>
  <si>
    <t>[Huang, Rong; Yao, Jiaxu; Zhou, Li; Li, Xiang; Zhu, Jinrui; Hu, Yueqi; Liu, Jikai] South Cent MinZu Univ, Natl Demonstrat Ctr Expt Ethnopharmacol Educ, Sch Pharmaceut Sci, Wuhan 430074, Peoples R China</t>
  </si>
  <si>
    <t>South Central Minzu University</t>
  </si>
  <si>
    <t>Zhou, L; Liu, JK (corresponding author), South Cent MinZu Univ, Natl Demonstrat Ctr Expt Ethnopharmacol Educ, Sch Pharmaceut Sci, Wuhan 430074, Peoples R China.</t>
  </si>
  <si>
    <t>zhou2018@scuec.edu.cn; liujikai@mail.scuec.edu.cn</t>
  </si>
  <si>
    <t>zhou, li/0000-0002-8179-2139</t>
  </si>
  <si>
    <t>2192-2195</t>
  </si>
  <si>
    <t>2192-2209</t>
  </si>
  <si>
    <t>NAT PRODUCT BIOPROSP</t>
  </si>
  <si>
    <t>Nat. Product. Bioprospecting</t>
  </si>
  <si>
    <t>10.1007/s13659-023-00379-y</t>
  </si>
  <si>
    <t>Chemistry, Medicinal</t>
  </si>
  <si>
    <t>Pharmacology &amp; Pharmacy</t>
  </si>
  <si>
    <t>F6DD8</t>
  </si>
  <si>
    <t>WOS:000983221100001</t>
  </si>
  <si>
    <t>Protective effect and mechanism insight of purified Antarctic kill phospholipids against mice ulcerative colitis combined with bioinformatics</t>
  </si>
  <si>
    <t>Ulcerative colitis; Krill phospholipids; Bioinformatics analysis; Tight junction protein; Intestinal microbiota</t>
  </si>
  <si>
    <t>DIFFERENTIALLY EXPRESSED GENES; KRILL OIL; ATTENUATES INFLAMMATION; 5-AMINOSALICYLIC ACID; INTESTINAL-BARRIER; FATTY-ACIDS; EXTRACTION; IDENTIFICATION; DISEASE; MEAL</t>
  </si>
  <si>
    <t>Antarctic krill oil is functional oil and has a complex phospholipids composition that poses difficulties in elucidating its effect mechanism on ulcerative colitis (UC). The mechanism of UC action was studied by bioinformatics, and the therapeutic effect of Antarctic krill phospholipids (APL) on dextran sulfate sodium (DSS)-induced colitis mice was verified. GO functional enrichment analysis uncovered an enrichment of these genes in the regulation of cell-cell adhesion, membrane region, signaling receptor activator activity, and cytokine activity. Meanwhile, the KEGG results revealed the genes were enriched in the TNF signaling pathway, pathogenic Escherichia coli infection, inflammatory bowel disease and tight junction. Animal experiments showed that APL treatment alleviated the UC symptoms and reduced inflammatory damage. Meanwhile, the expressions of the tight junction (TJ) proteins, ZO-1 and occludin, were restored, and the levels of IL-6 and TNF-alpha were reduced. Moreover, Firmicutes/Bacteroidetes ratio in the intestinal microbiota was regulated, and the contents of short-chain fatty acids metabolites were raised. These findings would provide an insight for the beneficial effects of APL and dietary therapy strategies for UC.</t>
  </si>
  <si>
    <t>zhou, li/0000-0002-8179-2139; Huang, Rong/0000-0002-7850-6736</t>
  </si>
  <si>
    <t>National Natural Science Foundation of China [3150152, 21502239]; Fundamental Research Funds for the Central Universities, South-Central MinZu University [CZY19032, CZQ21017]</t>
  </si>
  <si>
    <t>National Natural Science Foundation of China(National Natural Science Foundation of China (NSFC)); Fundamental Research Funds for the Central Universities, South-Central MinZu University</t>
  </si>
  <si>
    <t>This work received supports from the National Natural Science Foundation of China (3150152, 21502239) and the Fundamental Research Funds for the Central Universities, South-Central MinZu University (CZY19032, CZQ21017).</t>
  </si>
  <si>
    <t>10.1007/s13659-023-00375-2</t>
  </si>
  <si>
    <t>C6QY1</t>
  </si>
  <si>
    <t>WOS:000963151500001</t>
  </si>
  <si>
    <t>Castellano, KR; Batta-Lona, P; Bucklin, A; O'Neill, RJ</t>
  </si>
  <si>
    <t>Castellano, Kate R.; Batta-Lona, Paola; Bucklin, Ann; O'Neill, Rachel J.</t>
  </si>
  <si>
    <t>Salpa genome and developmental transcriptome analyses reveal molecular flexibility enabling reproductive success in a rapidly changing environment</t>
  </si>
  <si>
    <t>SOUTHERN-OCEAN SALP; VERTICAL MIGRATION; HUMAN ENDOMETRIUM; EXPRESSION; RNA; PROTEIN; GENES; SCALE; KRILL; THOMPSONI</t>
  </si>
  <si>
    <t>Ocean warming favors pelagic tunicates, such as salps, that exhibit increasingly frequent and rapid population blooms, impacting trophic dynamics and composition and human marine-dependent activities. Salp blooms are a result of their successful reproductive life history, alternating seasonally between asexual and sexual protogynous (i.e. sequential) hermaphroditic stages. While predicting future salp bloom frequency and intensity relies on an understanding of the transitions during the sexual stage from female through parturition and subsequent sex change to male, these transitions have not been explored at the molecular level. Here we report the development of the first complete genome of S. thompsoni and the North Atlantic sister species S. aspera. Genome and comparative analyses reveal an abundance of repeats and G-quadruplex (G4) motifs, a highly stable secondary structure, distributed throughout both salp genomes, a feature shared with other tunicates that perform alternating sexual-asexual reproductive strategies. Transcriptional analyses across sexual reproductive stages for S. thompsoni revealed genes associated with male sex differentiation and spermatogenesis are expressed as early as birth and before parturition, inconsistent with previous descriptions of sequential sexual differentiation in salps. Our findings suggest salp are poised for reproductive success at birth, increasing the potential for bloom formation as ocean temperatures rise.</t>
  </si>
  <si>
    <t>[Castellano, Kate R.; O'Neill, Rachel J.] Univ Connecticut, Dept Mol &amp; Cell Biol, Storrs, CT 06269 USA; [Castellano, Kate R.; O'Neill, Rachel J.] Univ Connecticut, Inst Syst Genom, Storrs, CT 06269 USA; [Batta-Lona, Paola; Bucklin, Ann] Univ Connecticut, Dept Marine Sci, Groton, CT 06340 USA; [O'Neill, Rachel J.] Univ Connecticut, Ctr Hlth, Dept Genet &amp; Genome Sci, Farmington, CT 06030 USA</t>
  </si>
  <si>
    <t>University of Connecticut; University of Connecticut; University of Connecticut; University of Connecticut</t>
  </si>
  <si>
    <t>O'Neill, RJ (corresponding author), Univ Connecticut, Dept Mol &amp; Cell Biol, Storrs, CT 06269 USA.;O'Neill, RJ (corresponding author), Univ Connecticut, Inst Syst Genom, Storrs, CT 06269 USA.;O'Neill, RJ (corresponding author), Univ Connecticut, Ctr Hlth, Dept Genet &amp; Genome Sci, Farmington, CT 06030 USA.</t>
  </si>
  <si>
    <t>rachel.oneill@uconn.edu</t>
  </si>
  <si>
    <t>Castellano, Kate/0000-0002-5642-1037</t>
  </si>
  <si>
    <t>NSF Antarctic Research [PLR-1643825]</t>
  </si>
  <si>
    <t>NSF Antarctic Research</t>
  </si>
  <si>
    <t>KRC, PBL, AB, and RJO were supported by NSF Antarctic Research (Award No. PLR-1643825 to AB and RJO). Sequencing was performed in the UConn Institute for Systems Genomics's Center for Genome Innovation (CGI) and data analyses used HPC facilities available through the UConn Institute for Systems Genomics's Computational Biology Core. Thank you to Nicole Pauloski for assistance with ONT library preparation support, Bo Reese for sequencing support and Jill Wegrzyn, Noah Reid and Vijender Singh for computational support. We thank the captain, crew and participating scientists of the R/V Polarstern (ANT-XXVII-2) and R/V Neil Armstrong (SVC VI) for valuable assistance during the field programs when samples were collected.</t>
  </si>
  <si>
    <t>NOV 30</t>
  </si>
  <si>
    <t>10.1038/s41598-023-47429-6</t>
  </si>
  <si>
    <t>CG8G6</t>
  </si>
  <si>
    <t>WOS:001124186700015</t>
  </si>
  <si>
    <t>Still, H; Odolinski, R; Bowman, MH; Hulbe, C; Prior, DJ</t>
  </si>
  <si>
    <t>Still, Holly; Odolinski, Robert; Bowman, M. Hamish; Hulbe, Christina; Prior, David J.</t>
  </si>
  <si>
    <t>Observing glacier dynamics with low-cost, multi-GNSS positioning in Victoria Land, Antarctica</t>
  </si>
  <si>
    <t>Antarctic glaciology; ice dynamics; glacier monitoring; glaciological instruments and methods</t>
  </si>
  <si>
    <t>ICE STREAM-B; SINGLE-FREQUENCY; GPS DATA; HIGH-PRECISION; BDS; VARIABILITY; SEISMICITY; STRATEGIES; ALTIMETRY; IMPACT</t>
  </si>
  <si>
    <t>This study examines the performance of low-cost, low-power GNSS positioning systems for glacier monitoring in high-latitude environments. We compare the positioning performance of co-located low-cost u-blox ZED-F9P GNSS units (a few hundred USDs) and survey-grade Trimble R10 units (&gt; $10,000 USD) under stationary (on land) and dynamic (on glacier) conditions near Terra Nova Bay, Antarctica. Low-cost and survey-grade systems yield almost identical error magnitudes under short (3 m), medium (34 km) and long (390 km) baseline kinematic-positioning scenarios. We further examined the efficacy of low-cost GNSS for glaciological applications by installing four u-blox and two Trimble receivers on Priestley Glacier to observe tide-modulated ice flexure. All receivers successfully detected subtle tidal oscillations with amplitudes &lt; 3 cm, consistent with the predicted phasing from a tide model. These experiments offer a strong rationale for the widespread use of low-cost receivers to expand and densify GNSS monitoring networks, both in Antarctica and in glaciated regions worldwide.</t>
  </si>
  <si>
    <t>[Still, Holly; Odolinski, Robert; Hulbe, Christina] Univ Otago, Sch Surveying, Dunedin, New Zealand; [Bowman, M. Hamish; Prior, David J.] Univ Otago, Dept Geol, Otago, New Zealand</t>
  </si>
  <si>
    <t>University of Otago; University of Otago</t>
  </si>
  <si>
    <t>Still, H (corresponding author), Univ Otago, Sch Surveying, Dunedin, New Zealand.</t>
  </si>
  <si>
    <t>holly.still@postgrad.otago.ac.nz</t>
  </si>
  <si>
    <t>Odolinski, Robert/AFS-0064-2022</t>
  </si>
  <si>
    <t>Odolinski, Robert/0000-0001-5073-4457; Prior, David/0000-0002-4653-2112; Hulbe, Christina/0000-0003-4765-7037</t>
  </si>
  <si>
    <t>University of Otago Doctoral Scholarship; Marsden Fund [UOO052]; School of Surveying, University of Otago</t>
  </si>
  <si>
    <t>University of Otago Doctoral Scholarship; Marsden Fund(Royal Society of New ZealandMarsden Fund (NZ)); School of Surveying, University of Otago</t>
  </si>
  <si>
    <t>HS is supported by the Antarctica New Zealand Doctoral Scholarship and the University of Otago Doctoral Scholarship. The field campaign was supported by the Marsden Fund (grant number UOO052) awarded to DJP. We express our gratitude to Antarctica New Zealand and the staff at Scott Base for logistical support. We also express our appreciation to the staff at Mario Zucchelli Station for supporting both logistical and field operations, and for assistance to install a temporary base station. We thank Brent Pooley for fabricating the ground plates used for the patch antennas, and the School of Surveying, University of Otago, for lending the Trimble GNSS equipment. The authors gratefully acknowledge T. Takasu for their contribution to developing the open-source GNSS processing software RTKLIB. We acknowledge the editor and three reviewers for their helpful feedback on the original manuscript.</t>
  </si>
  <si>
    <t>2023 NOV 30</t>
  </si>
  <si>
    <t>10.1017/jog.2023.101</t>
  </si>
  <si>
    <t>NOV 2023</t>
  </si>
  <si>
    <t>HY6N0</t>
  </si>
  <si>
    <t>WOS:001163111400001</t>
  </si>
  <si>
    <t>Wilder, T; Zhai, XM; Munday, D; Joshi, M</t>
  </si>
  <si>
    <t>Wilder, Thomas; Zhai, Xiaoming; Munday, David; Joshi, Manoj</t>
  </si>
  <si>
    <t>Constraining an eddy energy dissipation rate due to relative wind stress for use in energy budget-based eddy parameterisations</t>
  </si>
  <si>
    <t>OCEAN CIRCULATION; MESOSCALE EDDIES; GEOSTROPHIC TURBULENCE; SOUTHERN-HEMISPHERE; TRACER TRANSPORTS; DEEP-WATER; MODEL; HEAT; PARAMETERIZATION; CURRENTS</t>
  </si>
  <si>
    <t>A geostrophic eddy energy dissipation rate due to the interaction of the large-scale wind field and mesoscale ocean currents, or relative wind stress, is derived here for use in eddy energy budget-based eddy parameterisations. We begin this work by analytically deriving a relative wind stress damping term and a baroclinic geostrophic eddy energy equation. The time evolution of this analytical eddy energy in response to relative wind stress damping is compared directly with a baroclinic eddy in a general circulation model for both anticyclones and cyclones. The dissipation of eddy energy is comparable between each model and eddy type, although the numerical model diverges from the analytical model at around day 150, likely due to the presence of non-linear baroclinic processes. A constrained dissipation rate due to relative wind stress is then proposed using terms from the analytical eddy energy budget. This dissipation rate depends on the potential energy of the eddy thermocline displacement, which also depends on eddy length scale. Using an array of ocean datasets, and computing two forms for the eddy length scale, a range of values for the dissipation rate are presented. The analytical dissipation rate is found to vary from 0.25 to 4 times that of a constant dissipation rate employed in previous studies. The dissipation rates are generally enhanced in the Southern Ocean but smaller in the western boundaries. This proposed dissipation rate offers a tool to parameterise the damping of total eddy energy in coarse resolution global climate models and may have implications for a wide range of climate processes.</t>
  </si>
  <si>
    <t>[Wilder, Thomas; Zhai, Xiaoming] Univ East Anglia, Sch Environm Sci, Norwich, England; [Wilder, Thomas] Univ Reading, Natl Ctr Atmospher Sci, Dept Meteorol, Reading, England; [Munday, David] British Antarctic Survey, High Cross Madingley Rd, Cambridge, England; [Joshi, Manoj] Univ East Anglia, Climat Res Unit, Norwich, England</t>
  </si>
  <si>
    <t>University of East Anglia; University of Reading; UK Research &amp; Innovation (UKRI); Natural Environment Research Council (NERC); NERC National Centre for Atmospheric Science; UK Research &amp; Innovation (UKRI); Natural Environment Research Council (NERC); NERC British Antarctic Survey; University of East Anglia</t>
  </si>
  <si>
    <t>Wilder, T (corresponding author), Univ East Anglia, Sch Environm Sci, Norwich, England.;Wilder, T (corresponding author), Univ Reading, Natl Ctr Atmospher Sci, Dept Meteorol, Reading, England.</t>
  </si>
  <si>
    <t>t.m.wilder@reading.ac.uk</t>
  </si>
  <si>
    <t>Zhai, Xiaoming/AAB-7129-2021; Munday, David/R-1986-2016</t>
  </si>
  <si>
    <t>Zhai, Xiaoming/0000-0003-4519-1931; Wilder, Thomas/0000-0002-1108-4655; Munday, David/0000-0003-1920-708X</t>
  </si>
  <si>
    <t>Natural Environment Research Council; Research and Specialist Computing Support service at the University of East Anglia (UK)</t>
  </si>
  <si>
    <t>Natural Environment Research Council(UK Research &amp; Innovation (UKRI)Natural Environment Research Council (NERC)); Research and Specialist Computing Support service at the University of East Anglia (UK)</t>
  </si>
  <si>
    <t>TW thanks XZ, DM, and MJ for their guidance and mentorship throughout this work. Further thanks goes to Julian Mak and an anonymous reviewer who provided constructive feedback and thought-provoking suggestions. The research presented in this paper was carried out on the High Performance Computing Cluster supported by the Research and Specialist Computing Support service at the University of East Anglia (UK). The authors thank the Open Access Team at the University of Reading (UK) for their assistance in organising the funding of this paper.</t>
  </si>
  <si>
    <t>10.5194/os-19-1669-2023</t>
  </si>
  <si>
    <t>IU4U5</t>
  </si>
  <si>
    <t>WOS:001168845600001</t>
  </si>
  <si>
    <t>Chen, QQ; Shi, GT; Revell, LE; Zhang, J; Zuo, CC; Wang, DH; Le Ru, EC; Wu, GM; Mitrano, DM</t>
  </si>
  <si>
    <t>Chen, Qiqing; Shi, Guitao; Revell, Laura E.; Zhang, Jun; Zuo, Chencheng; Wang, Danhe; Le Ru, Eric C.; Wu, Guangmei; Mitrano, Denise M.</t>
  </si>
  <si>
    <t>Long-range atmospheric transport of microplastics across the southern hemisphere</t>
  </si>
  <si>
    <t>POTENTIAL DECAY; IDENTIFICATION; CELLULOSES; SEDIMENTS; WATER</t>
  </si>
  <si>
    <t>Airborne microplastics (MPs) can undergo long range transport to remote regions. Yet there is a large knowledge gap regarding the occurrence and burden of MPs in the marine boundary layer, which hampers comprehensive modelling of their global atmospheric transport. In particular, the transport efficiency of MPs with different sizes and morphologies remains uncertain. Here we show a hemispheric-scale analysis of airborne MPs along a cruise path from the mid-Northern Hemisphere to Antarctica. We present the inaugural measurements of MPs concentrations over the Southern Ocean and interior Antarctica and find that MPs fibers are transported more efficiently than MPs fragments along the transect, with the transport dynamics of MPs generally similar to those of non-plastic particles. Morphology is found to be the dominant factor influencing the hemispheric transport of MPs to remote Antarctic regions. This study underlines the importance of long-range atmospheric transport in MPs cycling dynamics in the environment. Airborne microplastics (MPs) are observed over the Southern Ocean and Antarctica. MPs morphology is the primary factor influencing the hemispheric transport to these remote areas that may suffer increased pollution from urbanized, land-based sources.</t>
  </si>
  <si>
    <t>[Chen, Qiqing; Shi, Guitao; Zuo, Chencheng] East China Normal Univ, State Key Lab Estuarine &amp; Coastal Res, Shanghai 200241, Peoples R China; [Shi, Guitao; Wang, Danhe; Wu, Guangmei] East China Normal Univ, Sch Geog Sci, Key Lab Geog Informat Sci, Minist Educ, Shanghai 200241, Peoples R China; [Revell, Laura E.] Univ Canterbury, Sch Phys &amp; Chem Sci, Christchurch 8140, New Zealand; [Zhang, Jun] New York Univ Shanghai, NYU ECNU Phys &amp; Math Res Inst, Shanghai 200062, Peoples R China; [Zhang, Jun] NYU, Dept Phys, New York, NY 10003 USA; [Le Ru, Eric C.] Victoria Univ Wellington, MacDiarmid Inst Adv Mat &amp; Nanotechnol, Sch Chem &amp; Phys Sci, Wellington 6140, New Zealand; [Mitrano, Denise M.] Swiss Fed Inst Technol, Dept Environm Syst Sci, CH-8092 Zurich, Switzerland</t>
  </si>
  <si>
    <t>East China Normal University; East China Normal University; University of Canterbury; NYU Shanghai; New York University; Victoria University Wellington; Swiss Federal Institutes of Technology Domain; ETH Zurich</t>
  </si>
  <si>
    <t>Shi, GT (corresponding author), East China Normal Univ, State Key Lab Estuarine &amp; Coastal Res, Shanghai 200241, Peoples R China.;Shi, GT (corresponding author), East China Normal Univ, Sch Geog Sci, Key Lab Geog Informat Sci, Minist Educ, Shanghai 200241, Peoples R China.</t>
  </si>
  <si>
    <t>gtshi@geo.ecnu.edu.cn</t>
  </si>
  <si>
    <t>Revell, Laura/0000-0002-8974-7703; Le Ru, Eric/0000-0002-3052-9947; Shi, Guitao/0000-0003-1702-6322</t>
  </si>
  <si>
    <t>National Key Research and Development Program of China [2022YFC3105900]; National Natural Science Foundation of China (NSFC) [42276243, 41922046, 42077371, 92252204]; Program of Shanghai Academic/Technology Research Leader [20XD1421600]; Swiss National Science Foundation [PCEFP_186856]; Royal Society of New Zealand Marsden Fund [MFP-UOC1903, VUW2118]; Rutherford Discovery Fellowships from New Zealand Government</t>
  </si>
  <si>
    <t>National Key Research and Development Program of China; National Natural Science Foundation of China (NSFC)(National Natural Science Foundation of China (NSFC)); Program of Shanghai Academic/Technology Research Leader; Swiss National Science Foundation(Swiss National Science Foundation (SNSF)); Royal Society of New Zealand Marsden Fund(Royal Society of New ZealandMarsden Fund (NZ)); Rutherford Discovery Fellowships from New Zealand Government</t>
  </si>
  <si>
    <t>This work was supported by the National Key Research and Development Program of China (2022YFC3105900 to Q.C.), the National Natural Science Foundation of China (NSFC) (42276243 and 41922046 to G.S., 42077371 to Q.C., 92252204 to J.Z.), the Program of Shanghai Academic/Technology Research Leader (20XD1421600 to G.S.). D.M.M. was funded through the Swiss National Science Foundation, grant number PCEFP_186856. L.E.R. and E.C.L.R. were supported by the Royal Society of New Zealand Marsden Fund (MFP-UOC1903 and VUW2118). L.E.R. appreciates support by the Rutherford Discovery Fellowships from New Zealand Government funding, administered by the Royal Society Te Ap &amp; amacr;rangi. The authors are grateful to CHINARE members for their support and assistance in atmosphere sampling.</t>
  </si>
  <si>
    <t>10.1038/s41467-023-43695-0</t>
  </si>
  <si>
    <t>Z5JX5</t>
  </si>
  <si>
    <t>WOS:001112447600023</t>
  </si>
  <si>
    <t>Chen, CZ; Chen, L; Huang, QH; Yu, G; Lu, ZB; Gabrielsen, GW</t>
  </si>
  <si>
    <t>Chen, Chunzhao; Chen, Ling; Huang, Qinghui; Yu, Gang; Lu, Zhibo; Gabrielsen, Geir Wing</t>
  </si>
  <si>
    <t>Determination of organotin compounds in marine sediments from Arctic Svalbard and West Antarctic Fildes Peninsula</t>
  </si>
  <si>
    <t>Organotin; Polar region; Contamination; Sediment; Source apportionment</t>
  </si>
  <si>
    <t>CONTAMINATION; SPECIATION; IMPOSEX; TIN</t>
  </si>
  <si>
    <t>This study investigated the contamination levels of five typical organotin compounds in Arctic and Antarctic marine sediments. Organotin total concentrations ranged from not detected (ND) to 37.9 ng Sn/g dw and from ND to 34.0 ng Sn/g dw in surface sediments of Svalbard and Fildes Peninsula, respectively. Dibutyltin accounted for 11.3 %-100 % of butyltins in Arctic sediments, whilst diphenyltin was the predominant phenyltin species in both Arctic and Antarctic. However, the concentrations of tributyltin and triphenyltin were lower than low-substituted organotins in the study areas, indicating the effectiveness of international ban on the use of triorganotin-based antifouling paints. No significant difference in organotin contamination was found between Arctic and Antarctic, although the time suffered from human interference was shorter in the Antarctic. Overall, these data can provide a diagnosis of recent organotin inputs in polar regions and serve as a baseline for future study assessing their local applications.</t>
  </si>
  <si>
    <t>[Chen, Chunzhao; Yu, Gang] Beijing Normal Univ, Adv Interdisciplinary Inst Environm &amp; Ecol, Zhuhai 519087, Peoples R China; [Chen, Chunzhao; Huang, Qinghui; Lu, Zhibo] Tongji Univ, Coll Environm Sci &amp; Engn, Key Lab Yangtze River Water Environm Minist Educ, Minist Educ, Shanghai, Peoples R China; [Chen, Ling; Huang, Qinghui] Shanghai Inst Pollut Control &amp; Ecol Secur, Shanghai, Peoples R China; [Chen, Ling] Tongji Univ, Coll Environm Sci &amp; Engn, State Key Lab Pollut Control &amp; Resource Reuse, Shanghai, Peoples R China; [Gabrielsen, Geir Wing] Fram Ctr, Norwegian Polar Inst, Tromso, Norway</t>
  </si>
  <si>
    <t>Beijing Normal University; Tongji University; Tongji University; Norwegian Polar Institute</t>
  </si>
  <si>
    <t>Huang, QH (corresponding author), Tongji Univ, Coll Environm Sci &amp; Engn, Key Lab Yangtze River Water Environm Minist Educ, Minist Educ, Shanghai, Peoples R China.</t>
  </si>
  <si>
    <t>qhhuang@tongji.edu.cn</t>
  </si>
  <si>
    <t>ZHIBO, LU/HHS-4083-2022</t>
  </si>
  <si>
    <t>Beijing Normal University at Zhuhai [310432106]; Fundamental Research Funds for the Central Universities [22120230414]</t>
  </si>
  <si>
    <t>Beijing Normal University at Zhuhai; Fundamental Research Funds for the Central Universities(Fundamental Research Funds for the Central Universities)</t>
  </si>
  <si>
    <t>This work was financially supported by the Start-up Fund from the Beijing Normal University at Zhuhai (No. 310432106) and the Fundamental Research Funds for the Central Universities (No. 22120230414) . Special thanks to the collaborators on R/V LANCE from the Norwegian Polar Institute during the 2017 Kongsfjorden-Rijpfjorden Cruise (KR2017) .</t>
  </si>
  <si>
    <t>10.1016/j.marpolbul.2023.115845</t>
  </si>
  <si>
    <t>CW7C2</t>
  </si>
  <si>
    <t>WOS:001128326600001</t>
  </si>
  <si>
    <t>Zhu, YG; Cui, XY; Kang, B; Liu, CL; Reygondeau, G; Wang, YF; Cheung, WWL; Chu, JS</t>
  </si>
  <si>
    <t>Zhu, Yugui; Cui, Xiaoyue; Kang, Bin; Liu, Chunlong; Reygondeau, Gabriel; Wang, Yunfeng; Cheung, William W. L.; Chu, Jiansong</t>
  </si>
  <si>
    <t>Comparative analysis of climate-induced changes in distribution of representative fish species in the Yellow Sea</t>
  </si>
  <si>
    <t>Climate change; Thermophily; Habitat; Spatio-temporal distribution; Relative abundance</t>
  </si>
  <si>
    <t>MARINE; IMPACTS; FUTURE; ABUNDANCE; SHIFTS; OCEAN</t>
  </si>
  <si>
    <t>Climate changes are posing remarkable impacts on marine fish and fisheries. Although many studies have addressed the distributional effects of climate change on single fish species or taxa in recent years, comparative studies focusing on different types of fish are still lacking. In this study, we applied dynamic bioclimate envelop models (DBEM), based on three earth system models, to predict sea surface and bottom temperature, as well as the spatial and temporal distribution of nine representative fishes in the Yellow Sea, contain two habitats, i.e., continental shelf benthopelagic (CBD) and continental shelf pelagic-neritic (CPN) fishes, and two thermophilies, i.e., warm temperate (WT) and warm water (WW) fishes. Under a low emissions scenario (RCP 2.6) and a high emissions scenario (RCP 8.5) between 1970 and 2060, results reveal that: a) CPN fishes show a distinct tendency to move to higher latitudes than CBD fishes, and WW fishes show a significant tendency to migrate more widely to the north than WT fishes; b) The relative abundance of CPN fishes is expected to be higher than that of CBD fishes, while there is no apparent difference in relative abundance between WW fishes and WT fishes. The main reasons for this difference are presumed to be: variance of temperature rise between the sea surface and bottom layers, divergent adaptations of the species, and disparate degrees of anthropogenic influence.</t>
  </si>
  <si>
    <t>[Zhu, Yugui; Cui, Xiaoyue; Kang, Bin; Liu, Chunlong] Ocean Univ China, Coll Fisheries, Key Lab Mariculture, Minist Educ, Qingdao 266003, Peoples R China; [Chu, Jiansong] Ocean Univ China, Coll Marine Life Sci, Qingdao 266003, Peoples R China; [Reygondeau, Gabriel; Cheung, William W. L.] Univ British Columbia, Inst Oceans &amp; Fisheries, Changing Ocean Res Unit, Vancouver, BC V5K 0A1, Canada; [Reygondeau, Gabriel] Yale Univ, Yale Ctr Biodivers Movement &amp; Global Change, Dept Ecol &amp; Evolutionary Biol Max Planck, New Haven, CT 06501 USA; [Wang, Yunfeng] Chinese Acad Sci, Inst Oceanol, Qingdao 266071, Shandong, Peoples R China; [Zhu, Yugui; Chu, Jiansong] Southern Marine Sci &amp; Engn Guangdong Lab, Guangzhou 511458, Peoples R China</t>
  </si>
  <si>
    <t>Ocean University of China; Ocean University of China; University of British Columbia; Yale University; Chinese Academy of Sciences; Institute of Oceanology, CAS; Southern Marine Science &amp; Engineering Guangdong Laboratory; Southern Marine Science &amp; Engineering Guangdong Laboratory (Guangzhou)</t>
  </si>
  <si>
    <t>Chu, JS (corresponding author), Ocean Univ China, Coll Marine Life Sci, Qingdao 266003, Peoples R China.;Chu, JS (corresponding author), Southern Marine Sci &amp; Engn Guangdong Lab, Guangzhou 511458, Peoples R China.</t>
  </si>
  <si>
    <t>oucjs@ouc.edu.cn</t>
  </si>
  <si>
    <t>Reygondeau, Gabriel/G-1903-2017</t>
  </si>
  <si>
    <t>National Natural Science Founda-tion of China [42176234]; Chinese Arctic and Antarctic Creative Program [JDB20210211]</t>
  </si>
  <si>
    <t>National Natural Science Founda-tion of China(National Natural Science Foundation of China (NSFC)); Chinese Arctic and Antarctic Creative Program</t>
  </si>
  <si>
    <t>This study was supported by the National Natural Science Founda-tion of China (No. 42176234) , and the Chinese Arctic and Antarctic Creative Program (No. JDB20210211) .</t>
  </si>
  <si>
    <t>10.1016/j.scitotenv.2023.168699</t>
  </si>
  <si>
    <t>CV5N5</t>
  </si>
  <si>
    <t>WOS:001128025300001</t>
  </si>
  <si>
    <t>Amsler, CD; Amsler, MO; Heiser, S; McClintock, JB; Iken, K; Galloway, AWE; Klein, AG</t>
  </si>
  <si>
    <t>Amsler, Charles D.; Amsler, Margaret O.; Heiser, Sabrina; McClintock, James B.; Iken, Katrin; Galloway, Aaron W. E.; Klein, Andrew G.</t>
  </si>
  <si>
    <t>Vertical distribution of brown and red macroalgae along the central Western Antarctic Peninsula</t>
  </si>
  <si>
    <t>BOTANICA MARINA</t>
  </si>
  <si>
    <t>depth distribution; Phaeophyceae; polar; Rhodophyceae; seaweeds</t>
  </si>
  <si>
    <t>KING-GEORGE ISLAND; SEA-ICE COVER; LIFE-HISTORY; POTTER COVE; ADELAIDE ISLAND; BIOMASS; BAY; BIODIVERSITY; ASSOCIATIONS; DIVERSITY</t>
  </si>
  <si>
    <t>Fleshy macroalgae dominate the hard bottom, shallow waters along the Western Antarctic Peninsula (WAP). Although there are numerous reports on their ecology, geographic distribution, and to a lesser extent, vertical (depth) distribution in the northern portions of the WAP, much less is known farther south along the central portion of the WAP. Here we provide the first report of the vertical distributions of brown and red fleshy macroalgae in this region based on scuba-derived collections at 14 study sites between southern Anvers Island (64.8 degrees S, 64.4 degrees W) in the north and central Marguerite Bay (68.7 degrees S, 67.5 degrees W) in the south. Although several overstory brown macroalgal species that can be common along the northern WAP including Desmarestia anceps and Cystosphaera jacquinotii are mostly absent from the central WAP, the vertical distributions of the brown macroalgae Desmarestia menziesii and Himantothallus grandifolius are similar to the northern WAP even though their percent cover is much lower. Likewise, the vertical distribution of the 14 most widespread red macroalgae, where they occur, mirrored those known from the northern part of the WAP even though macroalgal cover, biomass, and total species richness declined markedly to the south across this region due to increasing sea ice concentrations.</t>
  </si>
  <si>
    <t>[Amsler, Charles D.; Amsler, Margaret O.; Heiser, Sabrina; McClintock, James B.] Univ Alabama Birmingham, Dept Biol, Birmingham, AL 35294 USA; [Iken, Katrin] Univ Alaska Fairbanks, Coll Fisheries &amp; Ocean Sci, Fairbanks, AK 99775 USA; [Galloway, Aaron W. E.] Univ Oregon, Oregon Inst Marine Biol, Dept Biol, Charleston, OR 97420 USA; [Klein, Andrew G.] Texas A&amp;M Univ, Dept Geog, College Stn, TX 77843 USA</t>
  </si>
  <si>
    <t>University of Alabama System; University of Alabama Birmingham; University of Alaska System; University of Alaska Fairbanks; University of Oregon; Texas A&amp;M University System; Texas A&amp;M University College Station</t>
  </si>
  <si>
    <t>Amsler, CD (corresponding author), Univ Alabama Birmingham, Dept Biol, Birmingham, AL 35294 USA.</t>
  </si>
  <si>
    <t>amsler@uab.edu; mamsler@uab.edu; sabrina.heiser@austin.utexas.edu; mcclinto@uab.edu; kbiken@alaska.edu; agallow3@uoregon.edu; klein@tamu.edu</t>
  </si>
  <si>
    <t>Iken, Katrin/0000-0001-7961-1012; Amsler, Margaret/0000-0002-7196-1576; Heiser, Sabrina/0000-0003-3307-3233; Galloway, Aaron/0000-0001-7826-299X; Klein, Andrew/0000-0003-3804-8205</t>
  </si>
  <si>
    <t>Division of Antarctic Sciences</t>
  </si>
  <si>
    <t>We are grateful to Julie Schram, Ross Whippo, and Alex Lowe who contributed greatly to the fieldwork as well as to our other shipmates on the ARSV Laurence M. Gould (LMG). This included Captain Zsolt Esztergomi and his LMG crew and the Antarctic Support Contract LMG team of Sean Bercaw, Chuck Holloway, Linnah Neidel, Kevin Pedigo, Gina Pikton, and Rich Thompson. We are also grateful to Prof. Matthew Dring and two anonymous reviewers for comments on the original submission that substantially improved the final version.</t>
  </si>
  <si>
    <t>WALTER DE GRUYTER GMBH</t>
  </si>
  <si>
    <t>GENTHINER STRASSE 13, D-10785 BERLIN, GERMANY</t>
  </si>
  <si>
    <t>0006-8055</t>
  </si>
  <si>
    <t>1437-4323</t>
  </si>
  <si>
    <t>BOT MAR</t>
  </si>
  <si>
    <t>Bot. Marina</t>
  </si>
  <si>
    <t>FEB 26</t>
  </si>
  <si>
    <t>10.1515/bot-2023-0085</t>
  </si>
  <si>
    <t>HV5F2</t>
  </si>
  <si>
    <t>WOS:001112104300001</t>
  </si>
  <si>
    <t>Scherrer, KJN; Rousseau, Y; Teh, LCL; Sumaila, UR; Galbraith, ED</t>
  </si>
  <si>
    <t>Scherrer, Kim J. N.; Rousseau, Yannick; Teh, Lydia C. L.; Sumaila, U. Rashid; Galbraith, Eric D.</t>
  </si>
  <si>
    <t>Diminishing returns on labour in the global marine food system</t>
  </si>
  <si>
    <t>NATURE SUSTAINABILITY</t>
  </si>
  <si>
    <t>FISHERIES MANAGEMENT; ENERGY-CONSUMPTION; JOB-SATISFACTION; ECONOMIC-GROWTH; EMISSIONS</t>
  </si>
  <si>
    <t>Technological advances over the past century have greatly reduced the proportion of human labour required to produce the world's food. On land, these advances have continually increased yields, feeding a growing human population even as the number of farmers has fallen. It has long been recognized that technological advances do not necessarily increase fishery yields in the same way; since the natural productivity of wild fish stocks puts a strong limit on capture fisheries, high labour inputs can lead to overfishing. However, the global evolution of labour in marine fisheries has not been assessed, leaving the overall interactions among technology, fishers and catches unknown. Here we reconstruct the global number of marine fishers from 1950 to 2015 and show that the total number of fishers grew with no sign of reversal despite mechanization, as large increases in lower- and middle-income countries overwhelmed an similar to 60% decrease in higher-income countries. As a result, the wild fish catch per fisher has declined since the 1990s despite major technological advances-a stark contrast to the 70% increase of the production per farmer over the same period. Our results show that, globally averaged, fisheries displayed diminishing-or even negative-returns on labour over 1950-2015, which has been detrimental for food production efficiency, marine ecosystems and fishing communities.</t>
  </si>
  <si>
    <t>[Scherrer, Kim J. N.; Galbraith, Eric D.] Univ Autonoma Barcelona, Inst Ciencia &amp; Tecnol Ambientals ICTA, Cerdanyola Del Valles, Spain; [Scherrer, Kim J. N.] Univ Bergen, Dept Biol Sci, Bergen, Norway; [Rousseau, Yannick] Inst Marine &amp; Antarctic Studies, Hobart, Tas, Australia; [Rousseau, Yannick] Dalhousie Univ, FOME Lab, Halifax, NS, Canada; [Teh, Lydia C. L.; Sumaila, U. Rashid] Univ British Columbia, Inst Oceans &amp; Fisheries, Vancouver, BC, Canada; [Sumaila, U. Rashid] Univ British Columbia, Sch Publ Policy &amp; Global Affairs, Vancouver, BC, Canada; [Galbraith, Eric D.] McGill Univ, Dept Earth &amp; Planetary Sci, Montreal, PQ, Canada</t>
  </si>
  <si>
    <t>Autonomous University of Barcelona; University of Bergen; University of Tasmania; Dalhousie University; University of British Columbia; University of British Columbia; McGill University</t>
  </si>
  <si>
    <t>Scherrer, KJN (corresponding author), Univ Autonoma Barcelona, Inst Ciencia &amp; Tecnol Ambientals ICTA, Cerdanyola Del Valles, Spain.;Scherrer, KJN (corresponding author), Univ Bergen, Dept Biol Sci, Bergen, Norway.</t>
  </si>
  <si>
    <t>kim.jn.scherrer@gmail.com</t>
  </si>
  <si>
    <t>Scherrer, Kim/V-3008-2019; Sumaila, U. Rashid/ABE-6475-2020; Galbraith, Eric/F-9469-2014</t>
  </si>
  <si>
    <t>Scherrer, Kim/0000-0001-6198-5745; Sumaila, Rashid/0000-0002-1851-1621; Rousseau, Yannick/0000-0003-0765-7518; Galbraith, Eric/0000-0003-4476-4232</t>
  </si>
  <si>
    <t>European Research Council under the European Union [682602]; Norwegian Research Council [326896]; Canada Research Chairs Program [CRC-2020-00108]</t>
  </si>
  <si>
    <t>European Research Council under the European Union(European Research Council (ERC)); Norwegian Research Council(Research Council of Norway); Canada Research Chairs Program(Canada Research Chairs)</t>
  </si>
  <si>
    <t>This work is funded by the European Research Council under the European Union's Horizon 2020 Research and Innovation Programme under grant agreement 682602 (K.J.N.S. and E.D.G.), with partial support from the Norwegian Research Council, project 326896 (K.J.N.S.) and the Canada Research Chairs Program, award CRC-2020-00108 (E.D.G.). We thank R. Heneghan for statistical advice.</t>
  </si>
  <si>
    <t>2398-9629</t>
  </si>
  <si>
    <t>NAT SUSTAIN</t>
  </si>
  <si>
    <t>Nat. Sustain.</t>
  </si>
  <si>
    <t>10.1038/s41893-023-01249-8</t>
  </si>
  <si>
    <t>Green &amp; Sustainable Science &amp; Technology; Environmental Sciences; Environmental Studies</t>
  </si>
  <si>
    <t>Science &amp; Technology - Other Topics; Environmental Sciences &amp; Ecology</t>
  </si>
  <si>
    <t>FU3W1</t>
  </si>
  <si>
    <t>WOS:001111462800001</t>
  </si>
  <si>
    <t>Tunnicliffe, V; Chen, C; Giguère, T; Rowden, AA; Watanabe, HK; Brunner, O</t>
  </si>
  <si>
    <t>Tunnicliffe, Verena; Chen, Chong; Giguere, Thomas; Rowden, Ashley Alun; Watanabe, Hiromi Kayama; Brunner, Otis</t>
  </si>
  <si>
    <t>Hydrothermal vent fauna of the western Pacific Ocean: Distribution patterns and biogeographic networks</t>
  </si>
  <si>
    <t>DIVERSITY AND DISTRIBUTIONS</t>
  </si>
  <si>
    <t>beta-diversity; biogeography; conservation; endemism; faunal distribution; hydrothermal vent; network connectivity; seabed mining; western Pacific</t>
  </si>
  <si>
    <t>AimDeep-sea hydrothermal vent habitats support a low-diversity fauna in which most species are unique to the ecosystem. To inform conservation planning around this vulnerable marine ecosystem, we examine species distributions over a wide area to assess the underlying beta-diversity components and to examine biogeographic patterns. We assess the concept of a highly connected fauna that would repopulate areas of local extinction from distal locations.LocationWestern Pacific Ocean from Japan to New Zealand.MethodsWe assemble a database of 295 confirmed species records for 11 western Pacific vent systems. The SET beta-diversity framework supports query of the distribution of pairwise pattern components in comparisons among vent systems. We build a network based in graph theory to examine connectivity among vent systems based on shared species similarity. A bipartite network revealed the relative role of each species in linkages among vent system nodes. We assess the importance of sampling bias and distance between systems.ResultsOverall, two-thirds of the taxa are restricted to a single basin or arc. The Mariana Trough system has the highest corrected weighted endemism for vent-specific species, followed by that of the Okinawa Trough. Species replacement is the dominant feature of beta-diversity. Eleven vent systems form seven network modules with stronger connectivity in the Southwest than Northwest Pacific. The Manus Basin vent system emerges as a network 'hub' reflecting its central geographic near the equator.Main ConclusionTwo western Pacific biogeographic provinces arise, north and south of the equator that few species transcend. Local and regional conservation plans should consider the low network connectivity and high system endemism in management of hydrothermal vent ecosystems in the event of seabed mining. Species recruitment is unlikely to transcend vent system boundaries. We identify Okinawa Trough, Mariana Trough, Manus Basin, Feni-Tabar Arc and Kermadec Arc for development of conservation plans that initiate or expand protection.</t>
  </si>
  <si>
    <t>[Tunnicliffe, Verena] Univ Victoria, Dept Biol, Victoria, BC V8W 2Y2, Canada; [Tunnicliffe, Verena] Univ Victoria, Sch Earth &amp; Ocean Sci, Victoria, BC V8W 2Y2, Canada; [Chen, Chong; Watanabe, Hiromi Kayama] Japan Agcy Marine Earth Sci &amp; Technol JAMSTEC, X STAR, Yokosuka, Kanagawa, Japan; [Giguere, Thomas] Archipelago Marine Res Ltd, Marine Environm Serv, Victoria, BC, Canada; [Rowden, Ashley Alun] Natl Inst Water &amp; Atmospher Res, Wellington, New Zealand; [Rowden, Ashley Alun] Victoria Univ Wellington, Wellington, New Zealand; [Brunner, Otis] British Antarctic Survey, Cambridge, England</t>
  </si>
  <si>
    <t>University of Victoria; University of Victoria; Japan Agency for Marine-Earth Science &amp; Technology (JAMSTEC); National Institute of Water &amp; Atmospheric Research (NIWA) - New Zealand; Victoria University Wellington; UK Research &amp; Innovation (UKRI); Natural Environment Research Council (NERC); NERC British Antarctic Survey</t>
  </si>
  <si>
    <t>Tunnicliffe, V (corresponding author), Univ Victoria, Dept Biol, Victoria, BC V8W 2Y2, Canada.;Tunnicliffe, V (corresponding author), Univ Victoria, Sch Earth &amp; Ocean Sci, Victoria, BC V8W 2Y2, Canada.</t>
  </si>
  <si>
    <t>verenat@uvic.ca</t>
  </si>
  <si>
    <t>Brunner, Otis/KFT-1104-2024; Chen, Chong/F-7489-2019</t>
  </si>
  <si>
    <t>Watanabe, Hiromi/0000-0001-5031-9018; Tunnicliffe, Verena/0000-0003-2791-6337; Chen, Chong/0000-0002-5035-4021</t>
  </si>
  <si>
    <t>National Institute of Water &amp; Atmospheric Research of New Zealand</t>
  </si>
  <si>
    <t>Information on the missions that supported our data contributions is documented in Appendix I, Text S1. Pierre Methou (JAMSTEC) helped identify vent shrimps from the Izu-Bonin Arc. Kermadec Arc and some Tonga-Tofu Arc data records were obtained from the 'niwainverts' database of the National Institute of Water &amp; Atmospheric Research (NIWA). We acknowledge Sadie Mills, Manager of the NIWA Invertebrate Collection for the compilation. VT and TG acknowledge support from the Natural Sciences and Engineering Research Council of Canada. AR acknowledges support from NIWA for his contribution to the study (CDSB1601). Please see specific acknowledgements in Appendix I, Text S1 that encompass the numerous cruises that provided data for this contribution.</t>
  </si>
  <si>
    <t>1366-9516</t>
  </si>
  <si>
    <t>1472-4642</t>
  </si>
  <si>
    <t>DIVERS DISTRIB</t>
  </si>
  <si>
    <t>Divers. Distrib.</t>
  </si>
  <si>
    <t>10.1111/ddi.13794</t>
  </si>
  <si>
    <t>EO5T0</t>
  </si>
  <si>
    <t>WOS:001110229900001</t>
  </si>
  <si>
    <t>Pei, ZC; Fiddes, SL; French, WJR; Alexander, SP; Mallet, MD; Kuma, P; McDonald, A</t>
  </si>
  <si>
    <t>Pei, Zhangcheng; Fiddes, Sonya L.; French, W. John R.; Alexander, Simon P.; Mallet, Marc D.; Kuma, Peter; McDonald, Adrian</t>
  </si>
  <si>
    <t>Assessing the cloud radiative bias at Macquarie Island in the ACCESS-AM2 model</t>
  </si>
  <si>
    <t>SOUTHERN-OCEAN CLOUD; LONGWAVE RADIATION; SURFACE; SATELLITE; PRECIPITATION; SIMULATIONS; PARAMETERS; PROFILES</t>
  </si>
  <si>
    <t>As a long-standing problem in climate models, large positive shortwave radiation biases exist at the surface over the Southern Ocean, impacting the accurate simulation of sea surface temperature, atmospheric circulation, and precipitation. Underestimations of low-level cloud fraction and liquid water content are suggested to predominantly contribute to these radiation biases. Most model evaluations for radiation focus on summer and rely on satellite products, which have their own limitations. In this work, we use surface-based observations at Macquarie Island to provide the first long-term, seasonal evaluation of both downwelling surface shortwave and longwave radiation in the Australian Community Climate and Earth System Simulator Atmosphere-only Model version 2 (ACCESS-AM2) over the Southern Ocean. The capacity of the Clouds and the Earth's Radiant Energy System (CERES) product to simulate radiation is also investigated. We utilize the novel lidar simulator, the Automatic Lidar and Ceilometer Framework (ALCF), and all-sky cloud camera observations of cloud fraction to investigate how radiation biases are influenced by cloud properties.Overall, we find an overestimation of + 9.5 +/- 33.5 W m - 2 for downwelling surface shortwave radiation fluxes and an underestimation of - 2.3 +/- 13.5 W m - 2 for downwelling surface longwave radiation in ACCESS-AM2 in all-sky conditions, with more pronounced shortwave biases of + 25.0 +/- 48.0 W m - 2 occurring in summer. CERES presents an overestimation of + 8.0 +/- 18.0 W m - 2 for the shortwave and an underestimation of - 12.1 +/- 12.2 W m - 2 for the longwave in all-sky conditions. For the cloud radiative effect (CRE) biases, there is an overestimation of + 4.8 +/- 28.0 W m - 2 in ACCESS-AM2 and an underestimation of - 7.9 +/- 20.9 W m - 2 in CERES. An overestimation of downwelling surface shortwave radiation is associated with an underestimated cloud fraction and low-level cloud occurrence. We suggest that modeled cloud phase is also having an impact on the radiation biases. Our results show that the ACCESS-AM2 model and CERES product require further development to reduce these radiation biases not just in shortwave and in all-sky conditions, but also in longwave and in clear-sky conditions.</t>
  </si>
  <si>
    <t>[Pei, Zhangcheng; Fiddes, Sonya L.; French, W. John R.; Alexander, Simon P.; Mallet, Marc D.] Univ Tasmania, Inst Marine &amp; Antarctic Studies, Australian Antarctic Program Partnership, Hobart, Australia; [Pei, Zhangcheng; Fiddes, Sonya L.] Univ Tasmania, Australian Res Council, Ctr Excellence Climate Extremes, Hobart, Australia; [Pei, Zhangcheng] Ocean Univ China, Coll Ocean &amp; Atmospher Sci, Qingdao, Peoples R China; [French, W. John R.; Alexander, Simon P.] Australian Antarctic Div, Kingston, TAS, Australia; [Kuma, Peter] Stockholm Univ, Dept Meteorol, Stockholm, Sweden; [McDonald, Adrian] Univ Canterbury, Sch Phys &amp; Chem Sci, Christchurch, New Zealand</t>
  </si>
  <si>
    <t>University of Tasmania; University of Tasmania; Ocean University of China; Australian Antarctic Division; Stockholm University; University of Canterbury</t>
  </si>
  <si>
    <t>Pei, ZC (corresponding author), Univ Tasmania, Inst Marine &amp; Antarctic Studies, Australian Antarctic Program Partnership, Hobart, Australia.;Pei, ZC (corresponding author), Univ Tasmania, Australian Res Council, Ctr Excellence Climate Extremes, Hobart, Australia.;Pei, ZC (corresponding author), Ocean Univ China, Coll Ocean &amp; Atmospher Sci, Qingdao, Peoples R China.</t>
  </si>
  <si>
    <t>zhangcheng.pei@utas.edu.au</t>
  </si>
  <si>
    <t>Fiddes, Sonya L./HKM-5559-2023; Keyes, Dennis/AAZ-9285-2021</t>
  </si>
  <si>
    <t>Fiddes, Sonya L./0000-0002-2752-0845; Mallet, Marc/0000-0003-2749-8833; McDonald, Adrian/0000-0002-1456-6254</t>
  </si>
  <si>
    <t>Australian Government; Australian Government as part of the Antarctic Science Collaboration Initiative program, under the Australian Antarctic Program Partnership [ASCI000002, jk72, hh5, rt52]; Australian Antarctic Division through Australian Antarctic Science Project [4292]; European Union [101003470]</t>
  </si>
  <si>
    <t>Australian Government(Australian Government); Australian Government as part of the Antarctic Science Collaboration Initiative program, under the Australian Antarctic Program Partnership; Australian Antarctic Division through Australian Antarctic Science Project; European Union(European Union (EU))</t>
  </si>
  <si>
    <t>This project received grant funding from the Australian Government as part of the Antarctic Science Collaboration Initiative program, under the Australian Antarctic Program Partnership, ASCI000002. This research was undertaken with the assistance of resources and services from the National Computational Infrastructure (projects jk72, hh5, and rt52), which is supported by the Australian Government. Technical and logistical support for the deployment to Macquarie Island were provided by the Australian Antarctic Division through Australian Antarctic Science Project 4292, and we thank Andrew Klekociuk, Peter de Vries, Terry Egan, Nick Cartwright and Ken Barrett for all of their assistance. ZP and SF would like to thank the ARC Centre of Excellence for Climate Extremes computer modeling support team for their maintenance of virtual environments and code/model support. PK would like to thank the nextGEMS project funded by the European Union Horizon 2020 grant number 101003470. The authors would like to acknowledge the teams at the DOE ARM, NASA CERES, and ECMWF for making the data used in this work available.</t>
  </si>
  <si>
    <t>NOV 29</t>
  </si>
  <si>
    <t>10.5194/acp-23-14691-2023</t>
  </si>
  <si>
    <t>IU3L1</t>
  </si>
  <si>
    <t>WOS:001168809700001</t>
  </si>
  <si>
    <t>Bamford, CCG; Hollyman, PR; Abreu, J; Darby, C; Collins, MA</t>
  </si>
  <si>
    <t>Bamford, C. C. G.; Hollyman, P. R.; Abreu, J.; Darby, C.; Collins, M. A.</t>
  </si>
  <si>
    <t>Spatial, temporal, and demographic variability in patagonian toothfish (Dissostichus eleginoides) spawning from twenty-five years of fishery data at South Georgia</t>
  </si>
  <si>
    <t>DEEP-SEA RESEARCH PART I-OCEANOGRAPHIC RESEARCH PAPERS</t>
  </si>
  <si>
    <t>Hotspot analysis; Getis-Ord Gi*; Spawning; Longline fishery</t>
  </si>
  <si>
    <t>ANTARCTIC CIRCUMPOLAR CURRENT; EARLY-LIFE HISTORY; COD GADUS-MORHUA; FALKLAND ISLANDS; ORANGE ROUGHY; BODY-SIZE; ATLANTIC; OCEAN; BEHAVIOR; REPRODUCTION</t>
  </si>
  <si>
    <t>Patagonian toothfish (Dissostichus eleginoides) are a commercially important species that support a longline fishery at the subantarctic island of South Georgia (CCAMLR Subarea 48.3). Understanding the life history of Patagonian toothfish is key to the successful management and sustainability of this fishery. Using catch data from the past 25-years, 1997 to 2021, we provide an updated assessment of the spatial, temporal, and demographic variability of Patagonian toothfish spawning at South Georgia. Our findings confirm that spawning occurs in the vicinity of the shelf-break of South Georgia, with significant spawning hotspots detected at Shag Rocks, midway along both the northern and southern shelf breaks, and at the eastern end of the island. The location of these hotspots were consistent over the 25-years examined. Based on data between 1997 and 2007, when fishing occurred routinely all around the island and at Shag Rocks, 40% of detected hotspot locations overlapped with regions where Benthic Closed Areas (BCAs) were established in 2008. With this, we can estimate that approximately 40% of spawning hotspots are located within, and already protected by, the existing network of BCAs. There was evidence that the timing of toothfish spawning exhibited bimodality at South Georgia with a peak in April being observed in the first two years of the time series. This peak fell outside the seasonally restricted fishing season for many subsequent years. These findings are discussed in the context of both historic, current, and possible future regulatory changes to this longline fishery.</t>
  </si>
  <si>
    <t>[Bamford, C. C. G.; Hollyman, P. R.; Abreu, J.; Collins, M. A.] NERC, British Antarctic Survey, Madingley Rd, Cambridge CB3 0ET, England; [Abreu, J.] Univ Coimbra, MARE Marine &amp; Environm Sci Ctr, Dept Life Sci, ARNET, P-3000456 Coimbra, Portugal; [Darby, C.] Ctr Environm Fisheries &amp; Aquaculture Sci, Pakefield Rd, Lowestoft, Suffolk, England</t>
  </si>
  <si>
    <t>UK Research &amp; Innovation (UKRI); Natural Environment Research Council (NERC); NERC British Antarctic Survey; Universidade de Coimbra; Centre for Environment Fisheries &amp; Aquaculture Science</t>
  </si>
  <si>
    <t>Bamford, CCG (corresponding author), NERC, British Antarctic Survey, Madingley Rd, Cambridge CB3 0ET, England.</t>
  </si>
  <si>
    <t>conord48@bas.ac.uk</t>
  </si>
  <si>
    <t>UK Government Blue Belt programme</t>
  </si>
  <si>
    <t>Acknowledgements This work was funded through the UK Government Blue Belt programme.</t>
  </si>
  <si>
    <t>0967-0637</t>
  </si>
  <si>
    <t>1879-0119</t>
  </si>
  <si>
    <t>DEEP-SEA RES PT I</t>
  </si>
  <si>
    <t>Deep-Sea Res. Part I-Oceanogr. Res. Pap.</t>
  </si>
  <si>
    <t>10.1016/j.dsr.2023.104199</t>
  </si>
  <si>
    <t>DB7D9</t>
  </si>
  <si>
    <t>WOS:001129629300001</t>
  </si>
  <si>
    <t>Chen, QJ; Li, DL; Feng, JL; Zhao, L; Qi, JF; Yin, BS</t>
  </si>
  <si>
    <t>Chen, Qiaojun; Li, Delei; Feng, Jianlong; Zhao, Liang; Qi, Jifeng; Yin, Baoshu</t>
  </si>
  <si>
    <t>Understanding the compound marine heatwave and low-chlorophyll extremes in the western Pacific Ocean</t>
  </si>
  <si>
    <t>western Pacific Ocean; marine heatwaves; low-chlorophyll; compound extreme events; multi-scale variability; climate change</t>
  </si>
  <si>
    <t>IMPACTS; VARIABILITY; ECOSYSTEM; EVENTS; RECORD; CARBON; MODEL; ENSO</t>
  </si>
  <si>
    <t>The western Pacific Ocean is the global center for marine biodiversity, with high vulnerability to climate change. A better understanding of the spatiotemporal characteristics and potential drivers of compound marine heatwaves (MHWs) and low-chlorophyll (LChl) extreme events is essential for the conservation and management of local marine organisms and ecosystems. Here, using daily satellite sea surface temperature and model-based chlorophyll concentration, we find that the climatological spatial distribution of MHW-LChl events in total days, duration, and intensity exhibits heterogeneous distributions. The southwest sections of the South China Sea (WSCS) and Indonesian Seas are the hotspots for compound events, with total MHW-LChl days that are more than 2.5 times higher than in the other sub-regions. Notably, there is a trend toward more frequent (&gt; 4.2 d/decade), stronger (&gt; 0.5), and longer-lasting (&gt; 1.4 d/decade) MHW-LChl occurrences in the WSCS. The occurrence of compound MHW-LChl extremes exhibits remarkable seasonal differences, with the majority of these events transpiring during winter. Moreover, there are generally statistically significant increasing trends in MHW-LChl events for all properties on both seasonal and inter-annual timescales. Furthermore, we reveal that the total days of compound MHW-LChl extremes are strongly modulated by large-scale climate modes such as the El Nino-Southern Oscillation and Dipole Mode Index. Overall, pinpointing MHW-LChl hotspots and understanding their changes and drivers help vulnerable communities in better preparing for heightened and compounded risks to marine organism and ecosystems under climate change.</t>
  </si>
  <si>
    <t>[Chen, Qiaojun; Feng, Jianlong; Zhao, Liang] Tianjin Univ Sci &amp; Technol, Key Lab Marine Resource Chem &amp; Food Technol TUST, Tianjin, Peoples R China; [Chen, Qiaojun; Li, Delei; Qi, Jifeng; Yin, Baoshu] Chinese Acad Sci, Inst Oceanol, CAS Key Lab Ocean Circulat &amp; Waves, Qingdao, Peoples R China; [Yin, Baoshu] Univ Chinese Acad Sci, Coll Earth &amp; Planetary Sci, Beijing, Peoples R China; [Yin, Baoshu] Chinese Acad Sci, Inst Oceanol, CAS Engn Lab Marine Ranching, Qingdao, Peoples R China</t>
  </si>
  <si>
    <t>Tianjin University Science &amp; Technology; Chinese Academy of Sciences; Institute of Oceanology, CAS; Chinese Academy of Sciences; University of Chinese Academy of Sciences, CAS; Chinese Academy of Sciences; Institute of Oceanology, CAS</t>
  </si>
  <si>
    <t>Feng, JL (corresponding author), Tianjin Univ Sci &amp; Technol, Key Lab Marine Resource Chem &amp; Food Technol TUST, Tianjin, Peoples R China.;Li, DL (corresponding author), Chinese Acad Sci, Inst Oceanol, CAS Key Lab Ocean Circulat &amp; Waves, Qingdao, Peoples R China.</t>
  </si>
  <si>
    <t>deleili@qdio.ac.cn; fjl181988@tust.edu.cn</t>
  </si>
  <si>
    <t>LI, Delei/S-1564-2019; Wang, Xingyi/KHT-7171-2024</t>
  </si>
  <si>
    <t>National Key Research and Development Project of China [2022YFE0112800]; National Natural Science Foundation of China [42176198]; Strategic Priority Research Program of the Chinese Academy of Sciences [XDB42000000]; Youth Innovation Promotion Association CAS [2022204]; Taishan Scholars Program [tsqn202211252, RFSOCC2020-2022-No.18]; Tianjin Research Innovation Project for Postgraduate Students [2022SKY104]</t>
  </si>
  <si>
    <t>National Key Research and Development Project of China; National Natural Science Foundation of China(National Natural Science Foundation of China (NSFC)); Strategic Priority Research Program of the Chinese Academy of Sciences(Chinese Academy of Sciences); Youth Innovation Promotion Association CAS; Taishan Scholars Program; Tianjin Research Innovation Project for Postgraduate Students</t>
  </si>
  <si>
    <t>The authors would like to thank the organizations that provided the data used in this work, including the National Oceanic and Atmospheric Administration (NOAA) and the Copernicus Marine Environment Monitoring Service (CMEMS).r The author(s) declare financial support was received for the research, authorship, and/or publication of this article. The study was supported by the National Key Research and Development Project of China (2022YFE0112800), the National Natural Science Foundation of China (grants 42176198), the Strategic Priority Research Program of the Chinese Academy of Sciences (XDB42000000), the Youth Innovation Promotion Association CAS (2022204), the Taishan Scholars Program (tsqn202211252), the Impact and response of Antarctic seas to climate change under contract RFSOCC2020-2022-No.18 and the Tianjin Research Innovation Project for Postgraduate Students (2022SKY104).</t>
  </si>
  <si>
    <t>10.3389/fmars.2023.1303663</t>
  </si>
  <si>
    <t>CR5E6</t>
  </si>
  <si>
    <t>WOS:001126975400001</t>
  </si>
  <si>
    <t>Zilberman, NV; Thierry, V; King, B; Alford, M; André, X; Balem, K; Briggs, N; Chen, ZH; Cabanes, C; Coppola, L; Dall'Olmo, G; Desbruyéres, D; Fernandez, D; Foppert, A; Gardner, W; Gasparin, F; Hally, B; Hosoda, S; Johnson, GC; Kobayashi, T; Le Boyer, A; Llovel, W; Oke, P; Purkey, S; Remy, E; Roemmich, D; Scanderbeg, M; Sutton, P; Walicka, K; Wallace, L; van Wijk, EM</t>
  </si>
  <si>
    <t>Zilberman, Nathalie V.; Thierry, Virginie; King, Brian; Alford, Matthew; Andre, Xavier; Balem, Kevin; Briggs, Nathan; Chen, Zhaohui; Cabanes, Cecile; Coppola, Laurent; Dall'Olmo, Giorgio; Desbruyeres, Damien; Fernandez, Denise; Foppert, Annie; Gardner, Wilford; Gasparin, Florent; Hally, Bryan; Hosoda, Shigeki; Johnson, Gregory C.; Kobayashi, Taiyo; Le Boyer, Arnaud; Llovel, William; Oke, Peter; Purkey, Sarah; Remy, Elisabeth; Roemmich, Dean; Scanderbeg, Megan; Sutton, Philip; Walicka, Kamila; Wallace, Luke; van Wijk, Esmee M.</t>
  </si>
  <si>
    <t>Observing the full ocean volume using Deep Argo floats</t>
  </si>
  <si>
    <t>deep ocean; ocean observation; ocean heat content (OHC); sea level (SL); ocean deoxygenation; bathymetry accuracy; ocean mixing; sediment transport</t>
  </si>
  <si>
    <t>SEA-LEVEL RISE; BOTTOM WATER; CONVECTION; OXYGEN; CIRCULATION; BATHYMETRY; REANALYSIS; REDUCTION; PROFILES; DRIVERS</t>
  </si>
  <si>
    <t>The ocean is the main heat reservoir in Earth's climate system, absorbing most of the top-of-the-atmosphere excess radiation. As the climate warms, anomalously warm and fresh ocean waters in the densest layers formed near Antarctica spread northward through the abyssal ocean, while successions of warming and cooling events are seen in the deep-ocean layers formed near Greenland. The abyssal warming and freshening expands the ocean volume and raises sea level. While temperature and salinity characteristics and large-scale circulation of upper 2000 m ocean waters are well monitored, the present ocean observing network is limited by sparse sampling of the deep ocean below 2000 m. Recently developed autonomous robotic platforms, Deep Argo floats, collect profiles from the surface to the seafloor. These instruments supplement satellite, Core Argo float, and ship-based observations to measure heat and freshwater content in the full ocean volume and close the sea level budget. Here, the value of Deep Argo and planned strategy to implement the global array are described. Additional objectives of Deep Argo may include dissolved oxygen measurements, and testing of ocean mixing and optical scattering sensors. The development of an emerging ocean bathymetry dataset using Deep Argo measurements is also described.</t>
  </si>
  <si>
    <t>[Zilberman, Nathalie V.; Alford, Matthew; Le Boyer, Arnaud; Purkey, Sarah; Roemmich, Dean; Scanderbeg, Megan] Univ Calif San Diego, Scripps Inst Oceanog, Integrat Oceanog Div, San Diego, CA 92093 USA; [Zilberman, Nathalie V.; Alford, Matthew; Le Boyer, Arnaud; Purkey, Sarah; Roemmich, Dean; Scanderbeg, Megan] Univ Calif San Diego, Scripps Inst Oceanog, Climate Atmospher Sci &amp; Phys Oceanog Div, San Diego, CA 92093 USA; [Thierry, Virginie; Balem, Kevin; Cabanes, Cecile; Desbruyeres, Damien; Llovel, William] Univ Brest, Lab Oceang Phys &amp; Spatiale LOPS, Ifremer, IRD,CNRS,IUEM, F-29280 Plouzane, France; [King, Brian; Briggs, Nathan] Natl Oceanog Ctr, Southampton, England; [Andre, Xavier] IFREMER, RDT, F-29280 Plouzane, France; [Chen, Zhaohui] Ocean Univ China, Inst Adv Ocean Sci, Frontiers Sci Ctr Deep Ocean Multispheres &amp; Earth, Key Lab Phys Oceanog, Qingdao, Peoples R China; [Coppola, Laurent] Sorbonne Univ, Lab Oceanog Villefranche, UMR 7093, CNRS, Villefranche Sur Mer, France; [Coppola, Laurent] Sorbonne Univ, CNRS, OSU STAMAR, UAR 2017, Paris, France; [Dall'Olmo, Giorgio] Natl Inst Oceanog &amp; Appl Geophys, Sez Oceanog, OGS, Trieste, Italy; [Fernandez, Denise; Sutton, Philip] Natl Inst Water &amp; Atmospher Res, Wellington, New Zealand; [Foppert, Annie; van Wijk, Esmee M.] Univ Tasmania, Inst Marine &amp; Antarctic Studies, Australian Antarctic Program Partnership, Hobart, Tas, Australia; [Gardner, Wilford] Texas A&amp;M Univ, Dept Oceanog, College Stn, TX USA; [Gasparin, Florent] Univ Toulouse, LEGOS, CNRS, CNES,UPS,IRD, Toulouse, France; [Hally, Bryan; Wallace, Luke] Univ Tasmania, Hobart, Tas, Australia; [Hosoda, Shigeki; Kobayashi, Taiyo] Japan Agcy Marine Earth Sci &amp; Technol, Yokosuka, Japan; [Johnson, Gregory C.] NOAA, Pacific Marine Environm Lab, Seattle, WA USA; [Oke, Peter; van Wijk, Esmee M.] Commonwealth Sci &amp; Ind Res Org CSIRO Environm, Hobart, Tas, Australia; [Remy, Elisabeth] Operat Oceanog Dept, Mercator Ocean Int, Toulouse, France; [Walicka, Kamila] British Oceanog Data Ctr, Natl Oceanog Ctr, Liverpool, England</t>
  </si>
  <si>
    <t>University of California System; University of California San Diego; Scripps Institution of Oceanography; University of California System; University of California San Diego; Scripps Institution of Oceanography; Institut de Recherche pour le Developpement (IRD); Ifremer; Centre National de la Recherche Scientifique (CNRS); Universite de Bretagne Occidentale; Institut Universitaire Europeen de la Mer (IUEM); NERC National Oceanography Centre; Ifremer; Ocean University of China; Centre National de la Recherche Scientifique (CNRS); CNRS - National Institute for Earth Sciences &amp; Astronomy (INSU); Sorbonne Universite; Sorbonne Universite; Centre National de la Recherche Scientifique (CNRS); Istituto Nazionale di Oceanografia e di Geofisica Sperimentale; National Institute of Water &amp; Atmospheric Research (NIWA) - New Zealand; University of Tasmania; Texas A&amp;M University System; Texas A&amp;M University College Station; Universite de Toulouse; Universite Toulouse III - Paul Sabatier; Centre National de la Recherche Scientifique (CNRS); Institut de Recherche pour le Developpement (IRD); Laboratoire d'Etudes en Geophysique et oceanographie spatiales; University of Tasmania; Japan Agency for Marine-Earth Science &amp; Technology (JAMSTEC); National Oceanic Atmospheric Admin (NOAA) - USA; NERC National Oceanography Centre</t>
  </si>
  <si>
    <t>Zilberman, NV (corresponding author), Univ Calif San Diego, Scripps Inst Oceanog, Integrat Oceanog Div, San Diego, CA 92093 USA.;Zilberman, NV (corresponding author), Univ Calif San Diego, Scripps Inst Oceanog, Climate Atmospher Sci &amp; Phys Oceanog Div, San Diego, CA 92093 USA.</t>
  </si>
  <si>
    <t>nzilberman@ucsd.edu</t>
  </si>
  <si>
    <t>KIng, Brian/KDN-7191-2024; Johnson, Gregory C/I-6559-2012; Hally, Bryan/KDN-1311-2024; Thierry, Virginie/M-3086-2015</t>
  </si>
  <si>
    <t>Johnson, Gregory C/0000-0002-8023-4020; Le Boyer, Arnaud/0000-0002-1904-1895; BALEM, Kevin/0000-0002-4956-8698; Thierry, Virginie/0000-0003-1602-6478; Walicka, Kamila/0000-0003-0139-3662; Hally, Bryan/0000-0003-2771-492X; Cabanes, Cecile/0000-0003-3873-5259; Llovel, william/0000-0002-0798-7595; Andre, Xavier/0000-0002-0505-3297; Desbruyeres, Damien/0000-0003-0405-421X</t>
  </si>
  <si>
    <t>NOPP (NOAA); NSF [NA18OAR0110434]; NOAA Global Ocean Monitoring and Observing Program [OCE-2242742]; NOAA Global Ocean Monitoring and Observation Program and NOAA Research [NA20OAR4320278]; French government; Agence Nationale de la Recherche (ANR); Australian Antarctic Program Partnership [ANR-21-ESRE-0019]; Australian Hydrographic Office, Australian Government; University of Tasmania, Hobart, TAS, Australia; Agence Nationale de la Recherche (ANR) [ANR-21-ESRE-0019] Funding Source: Agence Nationale de la Recherche (ANR)</t>
  </si>
  <si>
    <t>NOPP (NOAA)(National Oceanic Atmospheric Admin (NOAA) - USA); NSF(National Science Foundation (NSF)); NOAA Global Ocean Monitoring and Observing Program(National Oceanic Atmospheric Admin (NOAA) - USA); NOAA Global Ocean Monitoring and Observation Program and NOAA Research; French government; Agence Nationale de la Recherche (ANR)(Agence Nationale de la Recherche (ANR)); Australian Antarctic Program Partnership; Australian Hydrographic Office, Australian Government; University of Tasmania, Hobart, TAS, Australia; Agence Nationale de la Recherche (ANR)(Agence Nationale de la Recherche (ANR))</t>
  </si>
  <si>
    <t>The author(s) declare financial support was received for the research, authorship, and/or publication of this article. The authors gratefully acknowledge financial support by the following projects and grants: NZ was supported by NOPP (NOAA grant NA18OAR0110434) and NSF (OCE-2242742). NZ, SP, DR and MS received support from NOAA Global Ocean Monitoring and Observing Program through Award NA20OAR4320278. GJ was supported by the NOAA Global Ocean Monitoring and Observation Program and NOAA Research. VT, XA, KB, CC and DD were supported by the Ifremer PIANO project and by the Equipex+ Argo-2030 project that received support from the French government within the framework of the Investissements d'avenir program integrated in France 2030 and managed by the Agence Nationale de la Recherche (ANR; grant ANR-21-ESRE-0019). EW was supported by the Australian Antarctic Program Partnership. BH was supported by funding from the Australian Hydrographic Office, Australian Government. LW was supported by the University of Tasmania, Hobart, TAS, Australia.</t>
  </si>
  <si>
    <t>10.3389/fmars.2023.1287867</t>
  </si>
  <si>
    <t>CI1A9</t>
  </si>
  <si>
    <t>WOS:001124521000001</t>
  </si>
  <si>
    <t>Tuohy, P; Cvitanovic, C; Shellock, RJ; Karcher, DB; Duggan, J; Cooke, SJ</t>
  </si>
  <si>
    <t>Tuohy, P.; Cvitanovic, C.; Shellock, R. J.; Karcher, D. B.; Duggan, J.; Cooke, S. J.</t>
  </si>
  <si>
    <t>Considerations for Research Funders and Managers to Facilitate the Translation of Scientific Knowledge into Practice</t>
  </si>
  <si>
    <t>ENVIRONMENTAL MANAGEMENT</t>
  </si>
  <si>
    <t>Research for development; Knowledge translation; Knowledge broker; Research impact; Science funding</t>
  </si>
  <si>
    <t>FUNDING AGENCIES; SCIENCE; EXCHANGE; BARRIERS; POLICY; PERSPECTIVES; INTERDISCIPLINARY; INTERFACE; SUPPORT; SYSTEMS</t>
  </si>
  <si>
    <t>Research funders and managers can play a critical role in supporting the translation of knowledge into action by facilitating the brokering of knowledge and partnerships. We use semi-structured interviews with a research funding agency, the Australian Centre for International Agricultural Research (ACIAR), to explore (i) ways that funders can facilitate knowledge brokering, the (ii) barriers to, and (iii) enablers for, facilitating knowledge brokering, and (iv) the individual skills and attributes for research program funders and managers to be effective brokers. Based on these findings, we generate three considerations for research funders elsewhere, in particular R4D funders, seeking to build capacity for knowledge brokering: (i) formalise the process and practice, (ii) develop shared language and understanding, and (iii) build individual competencies and capabilities. Our findings complement the existing literature with a context specific analysis of how research funders can facilitate knowledge brokering, and by identifying the barriers and enablers in doing so.</t>
  </si>
  <si>
    <t>[Tuohy, P.; Shellock, R. J.] Univ Tasmania, Inst Marine &amp; Antarctic Sci, Hobart, Tas, Australia; [Cvitanovic, C.] Univ New South Wales, Sch Business, Canberra, ACT, Australia; [Shellock, R. J.] Univ Tasmania, Ctr Marine Socioecol, Hobart, Tas, Australia; [Karcher, D. B.] Australian Natl Univ, Australian Natl Ctr Publ Awareness Sci, Canberra, ACT, Australia; [Duggan, J.] Australian Natl Univ, Fenner Sch Environm &amp; Soc, Canberra, ACT, Australia; [Cooke, S. J.] Carleton Univ, Dept Biol, Ottawa, ON, Canada; [Cooke, S. J.] Carleton Univ, Inst Environm &amp; Interdisciplinary Sci, Ottawa, ON, Canada</t>
  </si>
  <si>
    <t>University of Tasmania; University of New South Wales Sydney; University of Tasmania; Australian National University; Australian National University; Carleton University; Carleton University</t>
  </si>
  <si>
    <t>Tuohy, P (corresponding author), Univ Tasmania, Inst Marine &amp; Antarctic Sci, Hobart, Tas, Australia.</t>
  </si>
  <si>
    <t>paris.tuohy@utas.edu.au</t>
  </si>
  <si>
    <t>Karcher, Denis B./0000-0001-8006-1943</t>
  </si>
  <si>
    <t>Australian Centre for International Agricultural Research</t>
  </si>
  <si>
    <t>0364-152X</t>
  </si>
  <si>
    <t>1432-1009</t>
  </si>
  <si>
    <t>ENVIRON MANAGE</t>
  </si>
  <si>
    <t>Environ. Manage.</t>
  </si>
  <si>
    <t>10.1007/s00267-023-01895-w</t>
  </si>
  <si>
    <t>IQ5M6</t>
  </si>
  <si>
    <t>WOS:001120114600001</t>
  </si>
  <si>
    <t>Watson, KM; Pillay, D; von der Heyden, S</t>
  </si>
  <si>
    <t>Watson, Katie M.; Pillay, Deena; von der Heyden, Sophie</t>
  </si>
  <si>
    <t>Using transplantation to restore seagrass meadows in a protected South African lagoon</t>
  </si>
  <si>
    <t>PEERJ</t>
  </si>
  <si>
    <t>Seagrass conservation; Restoration; Zostera capensis; Coastal ecosystems; Climate change; Ecological interactions</t>
  </si>
  <si>
    <t>EELGRASS ZOSTERA-MARINA; ECOSYSTEM ENGINEERS; CALLIANASSA-KRAUSSI; LANGEBAAN LAGOON; BEDS; CAPENSIS; SEA; PARADIGMS; MANGROVE; ESTUARY</t>
  </si>
  <si>
    <t>Background: Seagrass meadows provide valuable ecosystem services but are threatened by global change pressures, and there is growing concern that the functions seagrasses perform within an ecosystem will be reduced or lost without intervention. Restoration has become an integral part of coastal management in response to major seagrass declines, but is often context dependent, requiring an assessment of methods to maximise restoration success. Here we investigate the use of different restoration strategies for the endangered Zostera capensis in South Africa. Methods: We assessed restoration feasibility by establishing seagrass transplant plots based on different transplant source materials (diameter (empty set) 10 cm cores and anchored individual shoots), planting patterns (line, dense, bullseye) and planting site (upper, upper-mid and mid-intertidal zones). Monitoring of area cover, shoot length, and macrofaunal diversity was conducted over 18 months. Results: Mixed model analysis showed distinct effects of transplant material used, planting pattern and site on transplant survival and area cover. Significant declines in seagrass cover across all treatments was recorded post-transplantation (2 months), followed by a period of recovery. Of the transplants that persisted after 18 months of monitoring (similar to 58% plots survived across all treatments), seagrass area cover increased (similar to 112%) and in some cases expanded by over &gt;400% cover, depending on type of transplant material, planting arrangement and site. Higher bioturbator pressure from sandprawns (Kraussillichirus kraussi) significantly reduced transplant survival and area cover. Transplant plots were colonised by invertebrates, including seagrass specialists, such as South Africa's most endangered marine invertebrate, the false-eelgrass limpet (Siphonaria compressa). For future seagrass restoration projects, transplanting cores was deemed the best method, showing higher long-term persistence and cover, however this approach is also resource intensive with potentially negative impacts on donor meadows at larger scales. There is a clear need for further research to address Z. capensis restoration scalability and improve long-term transplant persistence.</t>
  </si>
  <si>
    <t>[Watson, Katie M.; von der Heyden, Sophie] Univ Stellenbosch, Dept Bot &amp; Zool, Stellenbosch, South Africa; [Pillay, Deena] Univ Cape Town, Marine &amp; Antarctic Ctr Innovat &amp; Sustainabil, Dept Biol Sci, Cape Town, South Africa; [von der Heyden, Sophie] Univ Stellenbosch, Sch Climate Studies, Stellenbosch, South Africa</t>
  </si>
  <si>
    <t>Stellenbosch University; University of Cape Town; Stellenbosch University</t>
  </si>
  <si>
    <t>von der Heyden, S (corresponding author), Univ Stellenbosch, Dept Bot &amp; Zool, Stellenbosch, South Africa.;von der Heyden, S (corresponding author), Univ Stellenbosch, Sch Climate Studies, Stellenbosch, South Africa.</t>
  </si>
  <si>
    <t>svdh@sun.ac.za</t>
  </si>
  <si>
    <t>von der Heyden, Sophie/0000-0001-9166-976X; Watson, Katie/0000-0003-2361-7858</t>
  </si>
  <si>
    <t>PEERJ INC</t>
  </si>
  <si>
    <t>341-345 OLD ST, THIRD FLR, LONDON, EC1V 9LL, ENGLAND</t>
  </si>
  <si>
    <t>2167-8359</t>
  </si>
  <si>
    <t>PeerJ</t>
  </si>
  <si>
    <t>e16500</t>
  </si>
  <si>
    <t>10.7717/peerj.16500</t>
  </si>
  <si>
    <t>Z9YJ8</t>
  </si>
  <si>
    <t>WOS:001115558600004</t>
  </si>
  <si>
    <t>Halici, MG; Güllü, M; Bölükbasi, E; Yigit, MK</t>
  </si>
  <si>
    <t>Halici, Mehmet Gokhan; Gullu, Mithat; Bolukbasi, Ekrem; Yigit, Merve Kahraman</t>
  </si>
  <si>
    <t>Thamnolecania yunusii (Ramalinaceae) - A new species of lichenised fungus from Horseshoe Island (Antarctic Peninsula)</t>
  </si>
  <si>
    <t>Antarctica; DNA barcoding; biodiversity; lichenized fungi</t>
  </si>
  <si>
    <t>MOLECULAR PHYLOGENY; ASCOMYCOTA; PRIMERS</t>
  </si>
  <si>
    <t>The new terricolous lichen species Thamnolecania yunusii Halici, Gullu, Bolukbasi &amp; Kahraman, which is characterised by its cream to greyish brown granulose-crustose thallus without vegetative propagules, is described from Horseshoe Island in the South-West Antarctic Peninsula region. All Thamnolecania species are known only from the Antarctic. The only species of the genus with a crustose thallus is T. racovitzae, but it differs from T. yunusii by growing on rocks, having an effuse to subeffigurate thallus that is sometimes isidiate and with shorter and narrower ascospores (c. 15 x 3.5 mu m vs. 15.5-19.5 x 3.5-5.5 mu m). The nrITS, mtSSU and RPB1 gene regions of the new species were studied and the phylogenetic position of the species was shown to be in the same clade as Thamnolecania gerlachei, T. brialmontii and T. racovitzae, but occurs on a different branch from these species. As T. yunusii is an Antarctic endemic, like the other Thamnolecania species, and most of the morphological characters fit well with this genus, we describe this new species under the genus Thamnolecania.</t>
  </si>
  <si>
    <t>[Halici, Mehmet Gokhan; Gullu, Mithat; Yigit, Merve Kahraman] Erciyes Univ, Fac Sci, Dept Biol, Kayseri, Turkiye; [Bolukbasi, Ekrem] Amasya Univ, Suluova Vocat Sch, Dept Environm Protect Technol, Amasya, Turkiye</t>
  </si>
  <si>
    <t>Erciyes University; Amasya University; Ministry of National Education - Turkey</t>
  </si>
  <si>
    <t>Halici, MG (corresponding author), Erciyes Univ, Fac Sci, Dept Biol, Kayseri, Turkiye.</t>
  </si>
  <si>
    <t>mghalici@gmail.com</t>
  </si>
  <si>
    <t>Kahraman Yiğit, Merve/AAW-5674-2021; BOLUKBASI, Ekrem/U-4066-2018</t>
  </si>
  <si>
    <t>BOLUKBASI, Ekrem/0000-0003-3828-1226</t>
  </si>
  <si>
    <t>Presidency of the Republic of Turkey; Ministry of Industry and Technology</t>
  </si>
  <si>
    <t>This study was carried out under the auspices of the Presidency of the Republic of Turkey, supported by the Ministry of Industry and Technology, coordinated by TUBITAK MAM Polar Research Institute.</t>
  </si>
  <si>
    <t>e37</t>
  </si>
  <si>
    <t>10.1017/S003224742300030X</t>
  </si>
  <si>
    <t>Z6RP0</t>
  </si>
  <si>
    <t>WOS:001113330700001</t>
  </si>
  <si>
    <t>Votier, SC; Sherley, RB; Scales, KL; Camphuysen, K; Phillips, RA</t>
  </si>
  <si>
    <t>Votier, S. C.; Sherley, R. B.; Scales, K. L.; Camphuysen, K.; Phillips, R. A.</t>
  </si>
  <si>
    <t>An overview of the impacts of fishing on seabirds, including identifying future research directions</t>
  </si>
  <si>
    <t>bio-logging; bycatch; discards; fisheries; forage fish; marine policy; resource competition</t>
  </si>
  <si>
    <t>FORAGE FISH; THREATENED SEABIRDS; ENDANGERED SEABIRD; STABLE-ISOTOPES; BY-CATCH; FISHERIES; BYCATCH; PREY; ALBATROSSES; ABUNDANCE</t>
  </si>
  <si>
    <t>Knowledge of fisheries impacts, past and present, is essential for understanding the ecology and conservation of seabirds, but in a rapidly changing world, knowledge and research directions require updating. In this Introduction and in the articles in this Themed Set Impacts of fishing on seabirds, we update our understanding of how fishing impacts seabird communities and identify areas for future research. Despite awareness of the problems and mitigation efforts for &gt;20 years, fisheries still negatively impact seabirds via the effects of bycatch, competition, and discards. Bycatch continues to kill hundreds of thousands of seabirds annually, with negative populationlevel consequences. Fisheries for forage fish (e.g. anchovy, sandeel, and krill) negatively impact seabirds by competing for the same stocks. Historically, discards supplemented seabird diets, benefitting some species but also increasing bycatch rates and altering seabird community composition. However, declining discard production has led to potentially deleterious diet switches, but reduced bycatch rates. To improve research into these problems, we make the following recommendations: (1) improve data collection on seabird-vessel interaction and bycatch rates, on fishing effort and vessel movements (especially small-scale fleets), and on mitigation compliance, (2) counter the current bias towards temperate and high-latitude ecosystems, larger-bodied species and particular life stages or times of year (e.g. adults during breeding), and (3) advance our currently poor understanding of combined effects of fisheries and other threats (e.g. climate change, offshore renewables). In addition, research is required on under-studied aspects of fishing impacts: consequences for depleted sub-surface predators, impacts of illegal, unreported and unregulated fishing, artisanal and emerging fisheries, such as those targeting mesopelagic fish, have received insufficient research attention. Some of these shortfalls can be overcome with new tools (e.g. electronic monitoring, remote sensing, artificial intelligence, and big data) but quantifying and addressing fishing impacts on seabirds requires greater research investment at appropriate spatio-temporal scales, and more inclusive dialogue from grassroots to national and international levels to improve governance as fishing industries continue to evolve.</t>
  </si>
  <si>
    <t>[Votier, S. C.] Heriot Watt Univ, Inst Life &amp; Earth Sci, Lyell Ctr, Edinburgh EH14 EHS, Midlothian, Scotland; [Sherley, R. B.] Univ Exeter, Environm &amp; Sustainabil Inst, Penryn Campus, Penryn TR10 9FE, Cornwall, England; [Sherley, R. B.] Univ Exeter, Ctr Ecol &amp; Conservat, Penryn Campus, Penryn TR10 9FE, Cornwall, England; [Scales, K. L.] Univ Sunshine Coast, Sch Sci Technol &amp; Engn, Ocean Futures Res Cluster, Maroochydore, Qld 4556, Australia; [Camphuysen, K.] NIOZ Royal Inst Sea Res, Dept Coastal Syst, POB 59, NL-1790 AB Texel, Netherlands; [Phillips, R. A.] British Antarctic Survey, Nat Environm Res Council, Madingley Rd, Cambridge CB3 0ET, England</t>
  </si>
  <si>
    <t>Heriot Watt University; University of Exeter; University of Exeter; University of the Sunshine Coast; Utrecht University; Royal Netherlands Institute for Sea Research (NIOZ); UK Research &amp; Innovation (UKRI); Natural Environment Research Council (NERC); NERC British Antarctic Survey</t>
  </si>
  <si>
    <t>Votier, SC (corresponding author), Heriot Watt Univ, Inst Life &amp; Earth Sci, Lyell Ctr, Edinburgh EH14 EHS, Midlothian, Scotland.</t>
  </si>
  <si>
    <t>s.votier@hw.ac.uk</t>
  </si>
  <si>
    <t>NOV 28</t>
  </si>
  <si>
    <t>10.1093/icesjms/fsad173</t>
  </si>
  <si>
    <t>LM5B7</t>
  </si>
  <si>
    <t>WOS:001187220200001</t>
  </si>
  <si>
    <t>Gutierrez-Villanueva, MO; Chereskin, TK; Sprintall, J</t>
  </si>
  <si>
    <t>Gutierrez-Villanueva, Manuel O.; Chereskin, Teresa K.; Sprintall, Janet</t>
  </si>
  <si>
    <t>Compensating transport trends in the Drake Passage frontal regions yield no acceleration in net transport</t>
  </si>
  <si>
    <t>ANTARCTIC CIRCUMPOLAR CURRENT; SOUTHERN-OCEAN; VOLUME TRANSPORT; MOMENTUM FLUXES; TIME-SERIES; EDDY HEAT; VARIABILITY; CIRCULATION; DRIVEN; ICE</t>
  </si>
  <si>
    <t>Although the westerly winds that drive the Antarctic Circumpolar Current (ACC) have increased over the past several decades, the ACC response remains an open question. Here we use a 15-year time series of concurrent upper-ocean temperature, salinity, and ocean velocity with high spatial resolution across Drake Passage to analyze whether the net Drake Passage transport has accelerated in the last 15 years. We find that, although the net Drake Passage transport relative to 760 m shows insignificant acceleration, the net transport trend comprises compensating trends across the ACC frontal regions. Our results show an increase in the mesoscale eddy activity between the fronts consistent with buoyancy changes in the fronts and with an eddy saturation state. Furthermore, the increased eddy activity may play a role in redistributing momentum across the ACC frontal regions. The increase in eddy activity is expected to intensify the eddy-driven upwelling of deep warm waters around Antarctica, which has significant implications for ice-melting, sea level rise, and global climate.</t>
  </si>
  <si>
    <t>[Gutierrez-Villanueva, Manuel O.; Chereskin, Teresa K.; Sprintall, Janet] Univ Calif San Diego, Scripps Inst Oceanog, 9500 Gilman Dr, La Jolla, CA 92093 USA</t>
  </si>
  <si>
    <t>University of California System; University of California San Diego; Scripps Institution of Oceanography</t>
  </si>
  <si>
    <t>Gutierrez-Villanueva, MO (corresponding author), Univ Calif San Diego, Scripps Inst Oceanog, 9500 Gilman Dr, La Jolla, CA 92093 USA.</t>
  </si>
  <si>
    <t>mog008@ucsd.edu</t>
  </si>
  <si>
    <t>National Science Foundation's Office of Polar Programs (OPP); Division of Ocean Sciences (OCE) [OPP-2001646, OCE-1755529]; NOAA's Global Ocean Monitoring and Observing Program [NA20OAR4320278]; University of California Institute for Mexico; United States (UC Mexus); Consejo Nacional de Ciencia y Tecnologia of Mexico (Conacyt) Doctoral fellowship [361655]</t>
  </si>
  <si>
    <t>National Science Foundation's Office of Polar Programs (OPP); Division of Ocean Sciences (OCE)(National Science Foundation (NSF)NSF - Directorate for Geosciences (GEO)); NOAA's Global Ocean Monitoring and Observing Program(National Oceanic Atmospheric Admin (NOAA) - USA); University of California Institute for Mexico; United States (UC Mexus); Consejo Nacional de Ciencia y Tecnologia of Mexico (Conacyt) Doctoral fellowship</t>
  </si>
  <si>
    <t>M.O.G.V., T.K.C., and J.S. acknowledge the National Science Foundation's Office of Polar Programs (OPP) and Division of Ocean Sciences (OCE) for support of the Drake Passage time series and this research through grants OPP-2001646 and OCE-1755529. The XBT probes are provided by NOAA's Global Ocean Monitoring and Observing Program through Award NA20OAR4320278 to J.S. M.O.G.V. was supported by the University of California Institute for Mexico and the United States (UC Mexus) and the Consejo Nacional de Ciencia y Tecnologia of Mexico (Conacyt) Doctoral fellowship (361655). Finally, M.O.G.V., T.K.C., and J.S. are also grateful to the captain and crew of the ARSV Laurence M. Gould and the Antarctic Support Contractor for their excellent technical and logistical support.</t>
  </si>
  <si>
    <t>10.1038/s41467-023-43499-2</t>
  </si>
  <si>
    <t>EF8K4</t>
  </si>
  <si>
    <t>WOS:001137597400001</t>
  </si>
  <si>
    <t>Ruiz, J; Hernández, AJ; Corraze, G; Orellana, P; Oyarzún-Salazar, R; Vargas-Chacoff, L; Dantagnan, P</t>
  </si>
  <si>
    <t>Ruiz, Joceline; Hernandez, Adrian J.; Corraze, Genevieve; Orellana, Paola; Oyarzun-Salazar, Ricardo; Vargas-Chacoff, Luis; Dantagnan, Patricio</t>
  </si>
  <si>
    <t>Effects of Aurantiochytrium acetophilum as a source of docosahexaenoic acid for juvenile Atlantic salmon (Salmo salar) on growth, nutrient apparent digestibility, tissue fatty acid composition and expression of lipid metabolism-related genes</t>
  </si>
  <si>
    <t>Aurantiochytrium acetophilum; DHA; Fatty acid composition; Fish oil replacement; Salmo salar</t>
  </si>
  <si>
    <t>FISH-OIL; SCHIZOCHYTRIUM SP; NILE TILAPIA; SP. MEAL; DHA; REPLACEMENT; PERFORMANCE; N-3; L.; THRAUSTOCHYTRIDS</t>
  </si>
  <si>
    <t>Thraustochytrids are a group of unicellular marine protists that are noted for their ability to produce high amounts of lipids, especially docosahexaenoic acid (DHA), making them a valuable source for replacing fish oil in aquafeeds. Varying levels of Aurantiochrytrium acetophilum meal (TM) were evaluated as replacement of fish oil in extruded diets for juvenile Atlantic salmon on growth, nutrient apparent digestibility, fatty acid composition in muscle and liver and expression of genes associated with lipid metabolism. Four experimental diets were tested: a control diet without the inclusion of A. acetophilum meal and three experimental diets derived from the control diet, in which fish oil was progressively replaced by the addition of A. acetophilum meal at 2.5% (TM 2.5), 6.5% (TM 6.5) and 12% (TM 12) respectively. After 12 weeks of feeding, the growth, feed conversion, condition factor and survival of the fish were not affected by the inclusion of A. acetophilum in the diet. However, the 12% inclusion significantly decreased the viscerosomatic index of the fish and the digestibility of protein, lipids, ash and energy compared to the other experimental diets. The lipid content and fatty acid profile of the liver and muscle were significantly affected by diet composition. In both tissues, fish fed the TM 12 diet retained the highest levels of DHA. However, it was also observed that EPA concentrations lessened with increasing dietary content of A. acetophilum meal. Finally, the decrease in the expression of Delta 5fad in the fish fed with the TM 6.5 and TM 12 diets showed that fish do not require a higher expression of this desaturase for DHA production, due to the high content of this fatty acid in A. acetophilum meal.</t>
  </si>
  <si>
    <t>[Ruiz, Joceline; Orellana, Paola] Univ Catolica Temuco, Fac Recursos Nat, Ciencias Agr, Avda Rudecindo Ortega, Temuco, Chile; [Ruiz, Joceline; Hernandez, Adrian J.; Orellana, Paola; Dantagnan, Patricio] Univ Catolica Temuco, Fac Recursos Nat, Dept Ciencias Agr &amp; Acuicolas, Nucleo Invest Prod Alimentaria, Avda Rudecindo,Casilla 15D, Temuco 02950, Chile; [Corraze, Genevieve] Univ Pau &amp; Pays Adour, INRAE, Nutr Metab &amp; Aquaculture UMR1419, Aquapole,E2S UPPA, F-64310 St Pee Sur Nivelle, France; [Oyarzun-Salazar, Ricardo] Univ San Sebastian, Fac Ciencias Nat, Lab Inst, Puerto Montt, Chile; [Vargas-Chacoff, Luis] Univ Austral Chile, Inst Ciencias Marinas &amp; Limnol, Valdivia, Chile; [Vargas-Chacoff, Luis] Univ Austral Chile, Millennium Inst Biodivers Antarctic &amp; Subantarct E, BASE, Valdivia, Chile; [Vargas-Chacoff, Luis] Univ Austral Chile, Ctr Fondap Invest Altas Latitudes IDEAL, Valdivia, Chile</t>
  </si>
  <si>
    <t>Universidad Catolica de Temuco; Universidad Catolica de Temuco; Universite de Pau et des Pays de l'Adour; INRAE; Universidad San Sebastian; Universidad Austral de Chile; Universidad Austral de Chile; Universidad Austral de Chile</t>
  </si>
  <si>
    <t>Hernández, AJ; Dantagnan, P (corresponding author), Univ Catolica Temuco, Fac Recursos Nat, Dept Ciencias Agr &amp; Acuicolas, Nucleo Invest Prod Alimentaria, Avda Rudecindo,Casilla 15D, Temuco 02950, Chile.</t>
  </si>
  <si>
    <t>dantagna@uct.cl</t>
  </si>
  <si>
    <t>Hernandez Arias, Adrian J./M-9374-2018</t>
  </si>
  <si>
    <t>Hernandez Arias, Adrian J./0000-0002-8209-2994</t>
  </si>
  <si>
    <t>National Research and Development Agency of Chile; ANID; Laboratory of Fish Nutrition Physiology at the Catholic University of Temuco; Fondap-Ideal [PFCHA/Doctorado Nacional/2017-21171700]; ANID (Millennium Science Initiative Program-Center); [15150003]; [ICN2021_003]</t>
  </si>
  <si>
    <t>National Research and Development Agency of Chile; ANID; Laboratory of Fish Nutrition Physiology at the Catholic University of Temuco; Fondap-Ideal; ANID (Millennium Science Initiative Program-Center); ;</t>
  </si>
  <si>
    <t>This study was funded by the National Research and Development Agency of Chile, ANID (PFCHA/Doctorado Nacional/2017-21171700) , and the Laboratory of Fish Nutrition Physiology at the Catholic University of Temuco. Partial support for gene expression studies was provided by Fondap-Ideal 15150003, ANID (Millennium Science Initiative Program-Center/ICN2021_003) . The authors would like to express their gratitude to Marjorie Larson, Ruth Toledo, Eduardo Fuentes, Claudia Jara, and Daniela Nualart for their valuable technical assistance in sample analysis and experimental diet preparation. Special thanks go to Eneko Ganuza and Heliae Development for providing the Aurantiochy- trium acetophilum meal used in this study.</t>
  </si>
  <si>
    <t>10.1016/j.aquaculture.2023.740397</t>
  </si>
  <si>
    <t>IK6X4</t>
  </si>
  <si>
    <t>WOS:001166269100001</t>
  </si>
  <si>
    <t>Duxbury, LC; Johns-Mead, LY; Cadd, H; Francke, A; Löhr, SC; Law, WB; Armbrecht, L; Hall, PA; Zawadzki, A; Jacobsen, GE; Gadd, PS; Child, DP; Maxson, C; Thomas, ZA; Tyler, JJ</t>
  </si>
  <si>
    <t>Duxbury, Lucinda Cameron; Johns-Mead, Lluka Yohanni; Cadd, Haidee; Francke, Alexander; Lohr, Stefan C.; Law, Wallace Boone; Armbrecht, Linda; Hall, Philip Anthony; Zawadzki, Atun; Jacobsen, Geraldine E.; Gadd, Patricia S.; Child, David P.; Maxson, Charles; Thomas, Zoe Amber; Tyler, Jonathan James</t>
  </si>
  <si>
    <t>Holocene climate and catchment change inferred from the geochemistry of Lashmars Lagoon, Kangaroo Island (Karti/Karta), southern Australia</t>
  </si>
  <si>
    <t>Lake sediment; Itrax; X -Ray Diffraction (XRD); X -Ray Fluorescence (XRF); Weathering; Hydroclimate</t>
  </si>
  <si>
    <t>VEGETATION; IMPACTS; DROUGHT; RECORDS; PALEOCLIMATE; ECOSYSTEMS; WESTERLIES; ACTINIDES; LEEUWIN; LAKES</t>
  </si>
  <si>
    <t>We present a continuous-7000-year sedimentary record from Lashmars Lagoon, Kangaroo Island (Karti/Karta), southern Australia, a region heavily impacted by drought and bushfires in recent decades. Records such as this are vital to contextualise current climatic and environmental shifts, particularly regarding the interplay between hydroclimate and fire-related disturbances in this ecologically sensitive area. We use high-resolution mu X-ray fluorescence core scanning, complemented by bulk organic geochemistry and X-ray diffraction mineralogy of catchment soil and lake sediments to reconstruct past climate and catchment processes. Phases of elevated sediment organic matter content (inferred from high Br and total organic carbon) suggest increased lake freshening and productivity, and coincide with increased chemical weathering (inferred from high Al/K and kaolinite/illite and feldspars), likely reflecting the influence of wetter climates. Conversely, periods of high Ca correlate with biogenic carbonate inputs typical of brackish conditions, which we attribute to drier climates or a marine influence. From 7.0 ka, at the mid-Holocene sea level highstand, until 5.7 ka, we suspect Lashmars Lagoon was under virtually continuous influence from the sea. At 5.7 ka, we interpret the abrupt increase in sediment total organic carbon to reflect the severance of the connection to the sea, allowing organic material to accumulate. This, coupled with evidence of high inferred chemical weathering, suggests the climate was rela-tively wet at the time. After 5.4 ka, our data point to the establishment of drier conditions until the commencement of wetter climates again at 4.5 ka. From 2.5 ka, however, drier climates prevailed again until present. Notably, the climate changes recorded in the sedimentary sequence at Lashmars Lagoon seem to be linked to the strength of the Leeuwin Current, a current that brings warm tropical waters to southern Australia and demonstrates a teleconnection with the El Nin similar to o Southern Oscillation, and may well have been an important driver of rainfall on Kangaroo Island (Karti/Karta) over the past-7000 years.</t>
  </si>
  <si>
    <t>[Duxbury, Lucinda Cameron; Johns-Mead, Lluka Yohanni; Francke, Alexander; Lohr, Stefan C.; Hall, Philip Anthony; Tyler, Jonathan James] Univ Adelaide, Fac Sci Engn &amp; Technol, Sch Phys Chem &amp; Earth Sci, Adelaide, SA 5005, Australia; [Duxbury, Lucinda Cameron] Univ Adelaide, ARC Ctr Excellence Australian Biodivers &amp; Heritage, Adelaide, SA 5005, Australia; [Duxbury, Lucinda Cameron; Armbrecht, Linda] Univ Adelaide, Australian Ctr Ancient DNA, Sch Biol Sci, Adelaide, SA 5005, Australia; [Duxbury, Lucinda Cameron; Maxson, Charles; Tyler, Jonathan James] Univ Adelaide, Sprigg Geobiol Ctr, Adelaide, SA 5005, Australia; [Cadd, Haidee] Univ Wollongong, ARC Ctr Excellence Australian Biodivers &amp; Heritage, Wollongong, NSW 2522, Australia; [Francke, Alexander] Flinders Univ S Australia, Coll Humanities Arts &amp; Social Sci, Discipline Archaeol, Adelaide, SA 5042, Australia; [Law, Wallace Boone] Univ Adelaide, Sch Biol Sci, Adelaide, SA 5005, Australia; [Armbrecht, Linda] Univ Tasmania, Inst Marine &amp; Antarctic Studies IMAS, Hobart, Tas 7004, Australia; [Hall, Philip Anthony] Univ Adelaide, Fac Sci Engn &amp; Technol, Mawson Analyt Spectrometry Serv MASS, Adelaide, SA 5005, Australia; [Zawadzki, Atun; Jacobsen, Geraldine E.; Gadd, Patricia S.; Child, David P.] Australian Nucl Sci &amp; Technol Org ANSTO, Lucas Heights, NSW 2234, Australia; [Maxson, Charles] Univ Adelaide, Sch Social Sci, Dept Geog Environm &amp; Populat, Adelaide, SA 5005, Australia; [Thomas, Zoe Amber] Univ Southampton, Sch Geog &amp; Environm Sci, Southampton, England; [Thomas, Zoe Amber] Univ New South Wales, Chronos 14 Carbon Cycle Facil, Sydney, Australia</t>
  </si>
  <si>
    <t>University of Adelaide; University of Adelaide; University of Adelaide; University of Adelaide; University of Wollongong; Flinders University South Australia; University of Adelaide; University of Tasmania; University of Adelaide; Australian Nuclear Science &amp; Technology Organisation; University of Adelaide; University of Southampton; University of New South Wales Sydney</t>
  </si>
  <si>
    <t>Duxbury, LC (corresponding author), Univ Adelaide, Fac Sci Engn &amp; Technol, Sch Phys Chem &amp; Earth Sci, Adelaide, SA 5005, Australia.</t>
  </si>
  <si>
    <t>lucinda.duxbury@adelaide.edu.au</t>
  </si>
  <si>
    <t>Francke, Alexander/N-9761-2013; Thomas, Zoe/D-1656-2016</t>
  </si>
  <si>
    <t>Cadd, Haidee/0000-0001-5770-3557; Thomas, Zoe/0000-0002-2323-4366</t>
  </si>
  <si>
    <t>Australian Nuclear Science and Technology Organisation (ANSTO) through ANSTO Portal Grants [AP12819, AP13336, AP13662]; AINSE Ltd. Postgraduate Research Award; Centre for Accelerator Science, at ANSTO, through the Australian National Collaborative Research Infrastructure Strategy (NCRIS); Australasian Quaternary Association (AQUA); Centre of Excellence for Australian Biodiversity and Heritage (CABAH); Environment Institute, The University of Adelaide; Sealink; Australian Government Research Training Program Scholarship; ARC Centre of Excellence for Australian Biodiversity and Heritage (CABAH)</t>
  </si>
  <si>
    <t>Australian Nuclear Science and Technology Organisation (ANSTO) through ANSTO Portal Grants; AINSE Ltd. Postgraduate Research Award; Centre for Accelerator Science, at ANSTO, through the Australian National Collaborative Research Infrastructure Strategy (NCRIS); Australasian Quaternary Association (AQUA); Centre of Excellence for Australian Biodiversity and Heritage (CABAH); Environment Institute, The University of Adelaide; Sealink; Australian Government Research Training Program Scholarship(Australian GovernmentDepartment of Industry, Innovation and Science); ARC Centre of Excellence for Australian Biodiversity and Heritage (CABAH)</t>
  </si>
  <si>
    <t>This work was supported by the Australian Nuclear Science and Technology Organisation (ANSTO) through ANSTO Portal Grants (AP12819, AP13336, AP13662) and an AINSE Ltd. Postgraduate Research Award. We acknowledge the financial support for the Centre for Accelerator Science, at ANSTO, through the Australian National Collaborative Research Infrastructure Strategy (NCRIS) . Pollen dates were supported in part by an internship award through the Australasian Quaternary Association (AQUA) , Centre of Excellence for Australian Biodiversity and Heritage (CABAH) and the Chronos 14Carbon-Cycle Facility at the University of New South Wales. Field work was supported by the Environment Institute, The University of Adelaide, and Sealink. LD was supported by an Australian Government Research Training Program Scholarship and by a Cadetship from the ARC Centre of Excellence for Australian Biodiversity and Heritage (CABAH) .</t>
  </si>
  <si>
    <t>10.1016/j.palaeo.2023.111928</t>
  </si>
  <si>
    <t>IJ3P7</t>
  </si>
  <si>
    <t>hybrid, Green Accepted</t>
  </si>
  <si>
    <t>WOS:001165921800001</t>
  </si>
  <si>
    <t>Tang, YH; Duan, AM</t>
  </si>
  <si>
    <t>Tang, Yuheng; Duan, Anmin</t>
  </si>
  <si>
    <t>Linkage between the boreal spring Antarctic oscillation and the temperature dipole mode over the Tibetan Plateau in summer</t>
  </si>
  <si>
    <t>ATMOSPHERIC RESEARCH</t>
  </si>
  <si>
    <t>Eddy-induced circulation; Cross-equatorial airflow; Rossby wave; Meridional circulation</t>
  </si>
  <si>
    <t>SOUTHERN ANNULAR MODE; SEA-SURFACE TEMPERATURE; ATMOSPHERIC HEAT-SOURCE; INTERANNUAL VARIABILITY; NORTH-ATLANTIC; ASIAN MONSOON; PRECIPITATION; IMPACTS; RAINFALL; ONSET</t>
  </si>
  <si>
    <t>As the extratropical Southern Hemispheric most prominent atmospheric mode, Antarctic oscillation (AAO) can impact the climate system via multi -spherical interactions, whereas its potential influence on the temperature anomaly over the Tibetan Plateau (TP) remains unclear. By employing ERA5 reanalysis during 1979-2018, we have identified a significant in -phase relationship between April-May AAO and the boreal summer (June-Au- gust) temperature anomaly over the TP. The AAO significantly modulates the meridional circulation in the Atlantic sector where the climatic subtropical jet is weaker than other regions in the subtropics as well as the equatorward extension of midlatitude jet. The divergence of transient eddy momentum related to the positive AAO strengthens the northward movement of the South American meridional circulation and cross -equatorial airflow in the low troposphere. Due to the Coriolis force, the cross -equatorial airflow turns southwesterly above the tropical North Atlantic, weakening the climatic northeasterly and the feedback of wind -evaporationsea surface temperature (SST). Consequently, an anomalous warm SST persists into the boreal summer and triggers a Rossby wave train, which propagates along the North Atlantic-TP pathway. As a result, the positive phase of TP's temperature dipole mode with an eastern warm anomaly and a western cold anomaly appears. The numerical experiments conducted by the linear baroclinic model provide further evidence for the Rossby wave origination and propagation. The AAO, therefore, may act as a valuable predictor for the climate predictions around the TP.</t>
  </si>
  <si>
    <t>[Tang, Yuheng; Duan, Anmin] Chinese Acad Sci, Inst Atmospher Phys, State Key Lab Numer Modeling Atmospher Sci &amp; Geoph, Beijing, Peoples R China; [Tang, Yuheng; Duan, Anmin] Univ Chinese Acad Sci, Coll Earth Sci, Beijing, Peoples R China; [Duan, Anmin] Xiamen Univ, Coll Ocean &amp; Earth Sci, Xiamen, Peoples R China</t>
  </si>
  <si>
    <t>Chinese Academy of Sciences; Institute of Atmospheric Physics, CAS; Chinese Academy of Sciences; University of Chinese Academy of Sciences, CAS; Xiamen University</t>
  </si>
  <si>
    <t>Duan, AM (corresponding author), Chinese Acad Sci, Inst Atmospher Phys, State Key Lab Numer Modeling Atmospher Sci &amp; Geoph, Beijing, Peoples R China.</t>
  </si>
  <si>
    <t>amduan@lasg.iap.ac.cn</t>
  </si>
  <si>
    <t>National Natural Science Foundation of China [42030602]</t>
  </si>
  <si>
    <t>The work was supported by the National Natural Science Foundation of China (Grant No. 42030602) .</t>
  </si>
  <si>
    <t>0169-8095</t>
  </si>
  <si>
    <t>1873-2895</t>
  </si>
  <si>
    <t>ATMOS RES</t>
  </si>
  <si>
    <t>Atmos. Res.</t>
  </si>
  <si>
    <t>10.1016/j.atmosres.2023.107128</t>
  </si>
  <si>
    <t>II4R8</t>
  </si>
  <si>
    <t>WOS:001165689800001</t>
  </si>
  <si>
    <t>Adcock, KE; Pickers, PA; Manning, AC; Forster, GL; Fleming, LS; Barningham, T; Wilson, PA; Kozlova, EA; Hewitt, M; Etchells, AJ; Macdonald, AJ</t>
  </si>
  <si>
    <t>Adcock, Karina E.; Pickers, Penelope A.; Manning, Andrew C.; Forster, Grant L.; Fleming, Leigh S.; Barningham, Thomas; Wilson, Philip A.; Kozlova, Elena A.; Hewitt, Marica; Etchells, Alex J.; Macdonald, Andy J.</t>
  </si>
  <si>
    <t>12 years of continuous atmospheric O 2, CO 2 and APO data from Weybourne Atmospheric Observatory in the United Kingdom</t>
  </si>
  <si>
    <t>OXYGEN MEASUREMENTS; CARBON-DIOXIDE; O-2; SINKS; GAS; METHODOLOGY; CALIBRATION; O-2/N-2; SIGNAL; MODEL</t>
  </si>
  <si>
    <t>We present a 12-year time series of continuous atmospheric measurements of O-2 and CO2 at the Weybourne Atmospheric Observatory in the United Kingdom. These measurements are combined into the term atmospheric potential oxygen (APO), a tracer that is invariant to terrestrial biosphere fluxes. The CO2, O-2 and APO datasets discussed are hourly averages between May 2010 and December 2021. We include details of our measurement system and calibration procedures, and describe the main long-term and seasonal features of the time series. The 2 min repeatability of the measurement system is approximately +/- 3 per meg for O-2 and approximately +/- 0.005 ppm for CO2. The time series shows average long-term trends of 2.40 ppm yr(-1) (2.38 to 2.42) for CO2, -24.0 per meg yr(-1) for O-2 (-24.3 to -23.8) and -11.4 per meg yr(-1) (-11.7 to -11.3) for APO, over the 12-year period. The average seasonal cycle peak-to-peak amplitudes are 16 ppm for CO2, 134 per meg for O-2 and 68 per meg for APO. The diurnal cycles of CO2 and O-2 vary considerably between seasons. The datasets are publicly available at https://doi.org/10.18160/Z0GF-MCWH (Adcock et al., 2023) and have many current and potential scientific applications in constraining carbon cycle processes, such as investigating air-sea exchange of CO2 and O-2 and top-down quantification of fossil fuel CO2.</t>
  </si>
  <si>
    <t>[Adcock, Karina E.; Pickers, Penelope A.; Manning, Andrew C.; Forster, Grant L.; Fleming, Leigh S.; Wilson, Philip A.; Hewitt, Marica; Macdonald, Andy J.] Univ East Anglia, Ctr Ocean &amp; Atmospher Sci, Sch Environm Sci, Norwich, England; [Forster, Grant L.; Fleming, Leigh S.] Univ East Anglia, Natl Ctr Atmospher Sci, Norwich, England; [Barningham, Thomas] NERC, British Antarctic Survey, Cambridge, England; [Kozlova, Elena A.] Univ Exeter, Fac Environm Sci &amp; Econ, Exeter, England; [Etchells, Alex J.] Univ East Anglia, Res &amp; Specialist Comp, Norwich, England; [Fleming, Leigh S.] Gracefield, GNS Sci, Lower Hutt 5040, New Zealand</t>
  </si>
  <si>
    <t>University of East Anglia; University of East Anglia; UK Research &amp; Innovation (UKRI); Natural Environment Research Council (NERC); NERC National Centre for Atmospheric Science; UK Research &amp; Innovation (UKRI); Natural Environment Research Council (NERC); NERC British Antarctic Survey; University of Exeter; University of East Anglia; GNS Science - New Zealand</t>
  </si>
  <si>
    <t>Adcock, KE (corresponding author), Univ East Anglia, Ctr Ocean &amp; Atmospher Sci, Sch Environm Sci, Norwich, England.</t>
  </si>
  <si>
    <t>karina.adcock@uea.ac.uk</t>
  </si>
  <si>
    <t>Fleming, Leigh/0000-0002-3114-8740; Forster, Grant/0000-0003-1783-9307; Manning, Andrew/0000-0001-6952-7773; Adcock, Karina/0000-0002-8224-5399</t>
  </si>
  <si>
    <t>U.K. Natural Environment Research Council (NERC) [NE/C002504/1, NE/I013342/1, NE/I02934X/1, QUEST010005, NE/N016238/1, NE/R011532/1]; EU FP6 Integrated Project CarboOcean [511176]; National Centre for Atmospheric Science (NCAS); NERC PhD studentship [NE/F005733/1, NE/K500896/1, NE/L50158X/1, NE/L002582/1]; NERC project DARE-UK [NE/S004521/1]; European Union [776186, HORIZON-CL5-2022-D1-02, 101081430]; Horizon Europe - Pillar II [101081430] Funding Source: Horizon Europe - Pillar II</t>
  </si>
  <si>
    <t>U.K. Natural Environment Research Council (NERC)(UK Research &amp; Innovation (UKRI)Natural Environment Research Council (NERC)); EU FP6 Integrated Project CarboOcean(European Union (EU)); National Centre for Atmospheric Science (NCAS); NERC PhD studentship(UK Research &amp; Innovation (UKRI)Natural Environment Research Council (NERC)); NERC project DARE-UK; European Union(European Union (EU)); Horizon Europe - Pillar II(European Union (EU)Horizon Europe - Pillar II)</t>
  </si>
  <si>
    <t>Atmospheric O2 and CO2 measurements at WAO were funded by the U.K. Natural Environment Research Council (NERC) (grant nos. NE/C002504/1, NE/I013342/1, NE/I02934X/1, QUEST010005, NE/N016238/1, and NE/R011532/1), and by the EU FP6 Integrated Project CarboOcean (grant no. 511176 GOCE). The WAO atmospheric O2 and CO2 measurements have also been supported by the National Centre for Atmospheric Science (NCAS). Philip A. Wilson was supported by a NERC PhD studentship (grant no. NE/F005733/1) from 2008 to 2012. Philip A. Wilson was supported by a NERC PhD studentship (grant no. NE/K500896/1) from 2012 to 2016. Thomas Barningham was supported by a NERC PhD studentship (grant no. NE/L50158X/1) from 2014 to 2018. Leigh S. Fleming was supported by a NERC PhD studentship (grant no. NE/L002582/1) from 2018 to 2022. Karina E. Adcock and Penelope A. Pickers received funding from the NERC project DARE-UK (grant no. NE/S004521/1). Penelope A. Pickers and Andrew C. Manning received funding from the European Union's Horizon 2020 Research and Innovation Programme (grant no. 776186). Karina E. Adcock, Penelope A. Pickers and Andrew C. Manning received funding from European Union's Horizon Europe Research and Innovation programme under HORIZON-CL5-2022-D1-02 (grant no. 101081430 - PARIS).</t>
  </si>
  <si>
    <t>10.5194/essd-15-5183-2023</t>
  </si>
  <si>
    <t>IP6T8</t>
  </si>
  <si>
    <t>WOS:001167579900001</t>
  </si>
  <si>
    <t>Newsom, E; Zanna, L; Gregory, J</t>
  </si>
  <si>
    <t>Newsom, Emily; Zanna, Laure; Gregory, Jonathan</t>
  </si>
  <si>
    <t>Background Pycnocline Depth Constrains Future Ocean Heat Uptake Efficiency</t>
  </si>
  <si>
    <t>ocean heat uptake efficiency; southern ocean processes; climate change</t>
  </si>
  <si>
    <t>SOUTHERN-OCEAN; OVERTURNING CIRCULATION; CLIMATE SENSITIVITY; SEA-LEVEL; MODEL; VENTILATION; FEEDBACK; PATTERNS; IMPACT; CARBON</t>
  </si>
  <si>
    <t>The Ocean Heat Uptake Efficiency (OHUE) quantifies the ocean's ability to mitigate surface warming through deep heat sequestration. Despite its importance, the main controls on OHUE, and on its two-fold spread across contemporary climate models, remain unclear. We argue that OHUE is primarily controlled by mid-latitude ventilation strength in the background climate, itself related to pycnocline depth and stratification. This hypothesis is supported by a strong correlation between mid-latitude (30-60 degrees) OHUE and the near-global average (60 degrees S-60 degrees N) pycnocline depth in CMIP5 and CMIP6 AOGCMs under RCP85/SSP585, and in a parameter perturbation ensemble of ocean GCM (MITgcm) experiments. This correlation explains about 70% of the CMIP5-6 spread in global OHUE. The relationship provides a pathway toward observationally constraining OHUE, and thus reducing uncertainty in projections of future global climate change and sea level rise. The ocean absorbs most of the excess heat in the climate system. How effectively this process reduces surface warming depends on how deeply this heat is stored in the ocean, which varies widely across contemporary climate models. Our study shows that around 70% of the variation in deep heat storage across models is explained by differences is how water from the mid-latitude surface ocean is transported to deeper ocean layers by ocean currents. This difference can be measured by the stratification of seawater density in the base-state climate, a feature that can be observed in the modern ocean. We show this relationship using a new regional decomposition method. The results of this study can be leveraged with ocean observations to reduce uncertainty in future climate and sea level rise projections. Pycnocline depth correlates strongly with Ocean Heat Uptake Efficiency (OHUE) in CMIP5/CMIP6 and MITgcmA regional OHUE decomposition shows that mid-latitude heat uptake and sequestration drives the correlation between OHUE of pycnocline depthInter-model differences in pycnocline depth explain around 70% of the spread in OHUE across CMIP5 and CMIP6</t>
  </si>
  <si>
    <t>[Newsom, Emily; Zanna, Laure] NYU, Courant Inst Math Sci, New York, NY 10012 USA; [Gregory, Jonathan] Univ Reading, Natl Ctr Atmospher Sci, Reading, England; [Gregory, Jonathan] Met Off Hadley Ctr, Exeter, England</t>
  </si>
  <si>
    <t>New York University; UK Research &amp; Innovation (UKRI); Natural Environment Research Council (NERC); NERC National Centre for Atmospheric Science; University of Reading; Met Office - UK; Hadley Centre</t>
  </si>
  <si>
    <t>Newsom, E (corresponding author), NYU, Courant Inst Math Sci, New York, NY 10012 USA.</t>
  </si>
  <si>
    <t>ern275@nyu.edu</t>
  </si>
  <si>
    <t>Zanna, Laure/HPG-1772-2023; Gregory, Jonathan/J-2939-2016</t>
  </si>
  <si>
    <t>Zanna, Laure/0000-0002-8472-4828; Gregory, Jonathan/0000-0003-1296-8644; Newsom, Emily/0000-0002-3436-3833</t>
  </si>
  <si>
    <t>NSF OCE; European Research Council (ERC) under the European Union; [2048576]; [786427]</t>
  </si>
  <si>
    <t>NSF OCE(National Science Foundation (NSF)NSF - Directorate for Geosciences (GEO)); European Research Council (ERC) under the European Union(European Research Council (ERC)); ;</t>
  </si>
  <si>
    <t>The authors thank the WCRP's Working Group on Coupled Modelling, which is responsible for CMIP. ERN and LZ received support from the NSF OCE Grant 2048576 on Collaborative Research: Transient response of regional sea level to Antarctic ice shelf fluxes and M2LInES research funding by the generosity of Eric and Wendy Schmidt by recommendation of the Schmidt Futures program. JMG was supported by the European Research Council (ERC) under the European Union's Horizon 2020 research and innovation programme (Grant 786427, project Couplet). We thank the FAFMIP and TICTOC communities for many insightful discussions, and Oleg Saenko and an anonymous reviewer for their comments, which helped improve the manuscript.</t>
  </si>
  <si>
    <t>e2023GL105673</t>
  </si>
  <si>
    <t>10.1029/2023GL105673</t>
  </si>
  <si>
    <t>CH4M4</t>
  </si>
  <si>
    <t>WOS:001124349900001</t>
  </si>
  <si>
    <t>Liu, JQ; Wang, YC; Jiang, BX; Chang, YG; Xue, CH</t>
  </si>
  <si>
    <t>Liu, Jinqiu; Wang, Yanchao; Jiang, Bingxue; Chang, Yaoguang; Xue, Changhu</t>
  </si>
  <si>
    <t>Manufacture of oligopeptides containing branched-chain amino acids from the perspective of site complementation: A combination of peptidomics and chemometrics strategy</t>
  </si>
  <si>
    <t>FOOD BIOSCIENCE</t>
  </si>
  <si>
    <t>Antarctic krill; Branched-chain amino acid; Peptide; Peptidomics; Chemometrics; Enzymatic hydrolysis</t>
  </si>
  <si>
    <t>ANTARCTIC KRILL; ANTIOXIDANT ACTIVITY; MASS-SPECTROMETRY; IN-VIVO; TOF-MS; PEPTIDES; PROTEIN; IDENTIFICATION; PURIFICATION; MECHANISM</t>
  </si>
  <si>
    <t>Target peptides containing branched-chain amino acids (BCAAs) possess various proven physiologic functions, yet there has been a limited focus on the manufacturing processes associated with these peptides. Herein, target BCAA-containing oligopeptides were purposefully produced from biomacromolecules via the sitecomplementary perspective based on the combination of peptidomics and chemometrics strategies employing Antarctic krill rich in BCAAs as the material. Based on peptidomics profile and principal component analysis, a portfolio of 566 peptides, with the number and abundance percentage of target oligopeptides being 80.74% and 86.50% respectively, was identified from protein hydrolysate by papain, establishing papain as the most suitable cutting tool under single-enzymatic hydrolysis. Terminal amino acid frequency and chemometric analysis further revealed that alcalase, when employed in conjunction with papain, complemented the hydrolysis of papain and significantly enhanced the content of BCAAs from 13.27% to 15.00% within the target peptides. Another portfolio of 411 peptides was identified, accounting for 90.75% in number and 90.36% in abundance percentage for target oligopeptides, demonstrating strong radical scavenging capacities. This investigation provided a comprehensive understanding of the intricate relationship between enzymatic conversion and the molecular composition of target peptides at a molecular scale, which not only contributed valuable insights into the manufacturing processes but also proposed a promising strategy for the rational combination of proteases in the production of target peptides.</t>
  </si>
  <si>
    <t>[Liu, Jinqiu; Wang, Yanchao; Jiang, Bingxue; Chang, Yaoguang; Xue, Changhu] Ocean Univ China, Coll Food Sci &amp; Engn, State Key Lab Marine Food Proc &amp; Safety Control, Qingdao 266404, Peoples R China; [Xue, Changhu] Qingdao Inst Marine Bioresources Nutr &amp; Hlth Innov, Qingdao 266100, Peoples R China; [Chang, Yaoguang; Xue, Changhu] Pilot Natl Lab Marine Sci &amp; Technol Qingdao, Lab Marine Drugs &amp; Bioprod, Qingdao 266237, Peoples R China</t>
  </si>
  <si>
    <t>Ocean University of China; Laoshan Laboratory</t>
  </si>
  <si>
    <t>Wang, YC (corresponding author), Ocean Univ China, Coll Food Sci &amp; Engn, State Key Lab Marine Food Proc &amp; Safety Control, Qingdao 266404, Peoples R China.</t>
  </si>
  <si>
    <t>wangyanchao@ouc.edu.cn</t>
  </si>
  <si>
    <t>Major Scientific and Technological Innovation Project of Shandong Province [2022CXGC020414]; National Key R &amp; D Program of China [2018YFC0311201]; Youth Innovation Technology Project of Higher School in Shandong Province [2021KJ090]</t>
  </si>
  <si>
    <t>Major Scientific and Technological Innovation Project of Shandong Province; National Key R &amp; D Program of China; Youth Innovation Technology Project of Higher School in Shandong Province</t>
  </si>
  <si>
    <t>This work was supported by Major Scientific and Technological Innovation Project of Shandong Province (2022CXGC020414) , National Key R &amp; D Program of China (2018YFC0311201) , and Youth Innovation Technology Project of Higher School in Shandong Province (2021KJ090) .</t>
  </si>
  <si>
    <t>2212-4292</t>
  </si>
  <si>
    <t>2212-4306</t>
  </si>
  <si>
    <t>FOOD BIOSCI</t>
  </si>
  <si>
    <t>Food Biosci.</t>
  </si>
  <si>
    <t>10.1016/j.fbio.2023.103379</t>
  </si>
  <si>
    <t>DJ5R5</t>
  </si>
  <si>
    <t>WOS:001131687300001</t>
  </si>
  <si>
    <t>Zhao, WJ; Wei, ZH; Xue, CH</t>
  </si>
  <si>
    <t>Zhao, Wanjun; Wei, Zihao; Xue, Changhu</t>
  </si>
  <si>
    <t>Foam-templated oleogels constructed by whey protein isolate and xanthan gum: Multiple-effect delivery vehicle for Antarctic krill oil</t>
  </si>
  <si>
    <t>INTERNATIONAL JOURNAL OF BIOLOGICAL MACROMOLECULES</t>
  </si>
  <si>
    <t>Edible oleogel; Indirect oleogelation; Antarctic krill oil; Xanthan gum; Odor -flavor masking</t>
  </si>
  <si>
    <t>FISH-OIL; OXIDATIVE STABILITY; EMULSIONS; AEROGELS; LENTIL</t>
  </si>
  <si>
    <t>To address the limitations of Antarctic krill oil (AKO) such as easy oxidation, unacceptable fishy flavor and low bioaccessibility of astaxanthin in it, a multiple-effect delivery vehicle for AKO is needed. In this study, whey protein isolate (WPI) and xanthan gum (XG) were utilized to construct AKO into oleogels by generating foamtemplates. The effects of the concentration of XG on the properties of foam, cryogel and the corresponding oleogels were investigated, and the formation mechanism of oleogel was discussed from the perspective of the correlation between foam-cryogel-oleogel. The results demonstrated that with the increase of the concentration of XG, the foam stability was improved, the cryogel after freeze drying had a more uniform network structure and superior oil absorption ability, and the corresponding oleogel had excellent oil holding ability after oil absorption. The AKO oleogels showed superior oxidative stability compared with AKO. The in vitro digestion experiments demonstrated that the bioaccessibility of the astaxanthin in this oleogel was also considerably higher than that in AKO. In addition, this oleogel had masking effect on the odor-presenting substances in AKO, while retaining other flavors of AKO. The foam-templated oleogel can be considered as a multiple-effect vehicle for AKO to facilitate its application in food products. This study provides theoretical basis and data support for the development and utilization of novel vehicle for AKO, broadening the application of AKO in the field of food science.</t>
  </si>
  <si>
    <t>[Zhao, Wanjun; Wei, Zihao; Xue, Changhu] Ocean Univ China, Coll Food Sci &amp; Engn, State Key Lab Marine Food Proc &amp; Safety Control, Qingdao 266404, Peoples R China; [Xue, Changhu] Laoshan Lab, Lab Marine Drugs &amp; Biol Prod, Qingdao 266235, Peoples R China; [Wei, Zihao] Ocean Univ China, Coll Food Sci &amp; Engn, State Key Lab Marine Food Proc &amp; Safety Control, 1299 Sansha Rd, Qingdao 266404, Shandong, Peoples R China</t>
  </si>
  <si>
    <t>Ocean University of China; Laoshan Laboratory; Ocean University of China</t>
  </si>
  <si>
    <t>Wei, ZH (corresponding author), Ocean Univ China, Coll Food Sci &amp; Engn, State Key Lab Marine Food Proc &amp; Safety Control, 1299 Sansha Rd, Qingdao 266404, Shandong, Peoples R China.</t>
  </si>
  <si>
    <t>weizihao@ouc.edu.cn</t>
  </si>
  <si>
    <t>Wei, Zihao/AAJ-8483-2021; Liu, Xiaohan/KBB-4246-2024</t>
  </si>
  <si>
    <t>Wei, Zihao/0000-0002-1942-7907; Liu, Xiaohan/0009-0009-5291-2494</t>
  </si>
  <si>
    <t>Qingdao Marine Science and Technology Center [2022QNLM030002-4]; Shandong Provincial Natural Science Fund for Excellent Young Scientists Fund Program (Overseas) [2022HWYQ-068]; Natural Science Foundation of Shandong Province [ZR2021QC077]; Taishan Scholar Foundation of Shandong Province [tsnq202211070]; Fundamental Research Funds for the Central Universities [202112006]</t>
  </si>
  <si>
    <t>Qingdao Marine Science and Technology Center; Shandong Provincial Natural Science Fund for Excellent Young Scientists Fund Program (Overseas); Natural Science Foundation of Shandong Province(Natural Science Foundation of Shandong Province); Taishan Scholar Foundation of Shandong Province; Fundamental Research Funds for the Central Universities(Fundamental Research Funds for the Central Universities)</t>
  </si>
  <si>
    <t>This work was financially supported by Qingdao Marine Science and Technology Center (grant No. 2022QNLM030002-4) . This work was also funded by Shandong Provincial Natural Science Fund for Excellent Young Scientists Fund Program (Overseas) (grant No. 2022HWYQ-068) , the Natural Science Foundation of Shandong Province (grant No. ZR2021QC077) , the Taishan Scholar Foundation of Shandong Province (grant No. tsnq202211070) , and the Fundamental Research Funds for the Central Universities (grant No. 202112006) .</t>
  </si>
  <si>
    <t>0141-8130</t>
  </si>
  <si>
    <t>1879-0003</t>
  </si>
  <si>
    <t>INT J BIOL MACROMOL</t>
  </si>
  <si>
    <t>Int. J. Biol. Macromol.</t>
  </si>
  <si>
    <t>10.1016/j.ijbiomac.2023.128391</t>
  </si>
  <si>
    <t>Biochemistry &amp; Molecular Biology; Chemistry, Applied; Polymer Science</t>
  </si>
  <si>
    <t>Biochemistry &amp; Molecular Biology; Chemistry; Polymer Science</t>
  </si>
  <si>
    <t>DK1K9</t>
  </si>
  <si>
    <t>WOS:001131838100001</t>
  </si>
  <si>
    <t>Acuña-Rodríguez, IS; Newsham, KK; Convey, P; Biersma, EM; Ballesteros, GI; Torres-Díaz, C; Goodall-Copestake, WP; Molina-Montenegro, MA</t>
  </si>
  <si>
    <t>Acuna-Rodriguez, Ian S.; Newsham, Kevin K.; Convey, Peter; Biersma, Elisabeth M.; Ballesteros, Gabriel I.; Torres-Diaz, Cristian; Goodall-Copestake, William P.; Molina-Montenegro, Marco A.</t>
  </si>
  <si>
    <t>The role of the soil microbiome in the colonisation of glacier forefields by Antarctic pearlwort (Colobanthus quitensis) under current and future climate change scenarios</t>
  </si>
  <si>
    <t>SOIL BIOLOGY &amp; BIOCHEMISTRY</t>
  </si>
  <si>
    <t>Antarctic flora; Bacteria; Establishment; Fungi; Glacial retreat; Glacier forefields; Open top chambers (OTCs); Water potential</t>
  </si>
  <si>
    <t>STATISTICAL-ANALYSIS; STRESS TOLERANCE; VASCULAR PLANTS; ABSCISIC-ACID; WATER; STERILIZATION; ECOLOGY; FLUORESCENCE; DISCOVERY; RETREAT</t>
  </si>
  <si>
    <t>Glacier retreat in cold regions exposes new terrain for plant colonization. However, the roles of soil microbiomes in plant establishment and performance on newly-exposed forefields have rarely been assessed. Here, we compared the survival of Antarctic pearlwort (Colobanthus quitensis) individuals grown for three years in sterilised and unsterilised soils at sites initially at 30 m, 100 m and 300 m from three retreating Maritime Antarctic glaciers. We also installed open top chambers (OTCs), which increased air temperatures by similar to 1.8 degrees C and reduced soil water potential by &lt;= 4 kPa, on one forefield to test the effects of warming on C. quitensis survival and the soil microbiome. The main driver of plant performance was distance from glacier fronts, with a 32 kPa reduction in soil water potential apparently explaining reduced plant survival at 300m compared with 30 m from glaciers. Soil sterilisation had few effects on plant survival at 30 m and 100 m, but reduced survival at 300 m, which was attributable to reductions in beneficial plant-microbial interactions. Effects of OTCs on plant survival were amplified with distance from glacier and sterilisation, with plants not surviving in chambered and sterilised soil at 300 m after three years. Soil bacterial functionality altered from a phototrophic community at 30 m to a more specialized chemoheterotrophic community at 100-300 m. Fungal ortholog groups showed transfer RNA and ribosome biogenesis to be enriched in soil at 30 m, with spliceosomes and messenger RNA synthesis being more frequent at 300 m. We propose that soil microbiomes improve the environmental tolerance of C. quitensis through enhanced physiological performance, which in turn improves survival and facilitates the species' colonization of newly-exposed glacier forefield soils. These plant-microbe interactions are likely to become increasingly important as the climate of Maritime Antarctica changes over future decades.</t>
  </si>
  <si>
    <t>[Acuna-Rodriguez, Ian S.; Ballesteros, Gabriel I.] Univ Talca, Inst Invest Interdisciplinaria I3, Campus Talca,Avda Lircay S-N, Talca, Chile; [Acuna-Rodriguez, Ian S.; Ballesteros, Gabriel I.; Molina-Montenegro, Marco A.] Univ Talca, Ctr Ecol Integrat, Inst Ciencias Biol, Campus Talca,Avda Lircay s-n, Talca, Chile; [Newsham, Kevin K.; Convey, Peter; Biersma, Elisabeth M.; Goodall-Copestake, William P.] NERC, British Antarctic Survey, Cambridge, England; [Convey, Peter] Univ Johannesburg, Dept Zool, Auckland Pk, Johannesburg, South Africa; [Convey, Peter] Inst Milenio Biodivers Ecosistemas Antarticos &amp; Su, Santiago, Chile; [Biersma, Elisabeth M.] Univ Copenhagen, Nat Hist Museum Denmark, Copenhagen, Denmark; [Torres-Diaz, Cristian] Univ Bio Bio, Dept Ciencias Basicas, Chillan, Chile; [Goodall-Copestake, William P.] Royal Bot Garden Edinburgh, 20A Inverleith Row, Edinburgh EH3 5LR, Scotland; [Molina-Montenegro, Marco A.] Univ Catolica Maule, Ctr Invest Estudios Avanzados Maule CIEAM, Talca, Chile; [Molina-Montenegro, Marco A.] Univ Talca, Avda Lircay s-n, Talca, Chile</t>
  </si>
  <si>
    <t>Universidad de Talca; Universidad de Talca; UK Research &amp; Innovation (UKRI); Natural Environment Research Council (NERC); NERC British Antarctic Survey; University of Johannesburg; University of Copenhagen; Universidad del Bio-Bio; Universidad Catolica del Maule; Universidad de Talca</t>
  </si>
  <si>
    <t>Molina-Montenegro, MA (corresponding author), Univ Talca, Avda Lircay s-n, Talca, Chile.</t>
  </si>
  <si>
    <t>marco.molina@utalca.cl</t>
  </si>
  <si>
    <t>Biersma, Elisabeth Machteld/AAL-9818-2020</t>
  </si>
  <si>
    <t>Biersma, Elisabeth Machteld/0000-0002-9877-2177; Acuna, Ian/0000-0001-5380-895X</t>
  </si>
  <si>
    <t>FONDECYT [1181034]; NERC-CONICYT [NE/P003079/1 - PII20150126]; Universidad de Talca [R.U. 208/2022]</t>
  </si>
  <si>
    <t>FONDECYT(Comision Nacional de Investigacion Cientifica y Tecnologica (CONICYT)CONICYT FONDECYT); NERC-CONICYT; Universidad de Talca</t>
  </si>
  <si>
    <t>We thank Daniel Zunino for the design and construction of the Open Top Chambers used in this study, and staff of the Henryk Arctowski Polish Antarctic Station for field assistance. We are grateful also to the staff at the El Danes bar at Arturo Merino-Benitez Airport in Santiago, Chile, who deserve special mention for kindly refrigerating samples during our return from Antarctica. This study was funded by project FONDECYT 1181034 and NERC-CONICYT award NE/P003079/1 - PII20150126. MAM-M acknowledges support from Fondos para Estadias de Investigacion en el Extranjero R.U. 208/2022 from Universidad de Talca. Two anonymous reviewers provided valuable comments on the manuscript.</t>
  </si>
  <si>
    <t>0038-0717</t>
  </si>
  <si>
    <t>1879-3428</t>
  </si>
  <si>
    <t>SOIL BIOL BIOCHEM</t>
  </si>
  <si>
    <t>Soil Biol. Biochem.</t>
  </si>
  <si>
    <t>10.1016/j.soilbio.2023.109249</t>
  </si>
  <si>
    <t>Soil Science</t>
  </si>
  <si>
    <t>CU0L6</t>
  </si>
  <si>
    <t>WOS:001127633200001</t>
  </si>
  <si>
    <t>Le Boyer, A; Couto, N; Alford, MH; Drake, HF; Bluteau, CE; Hughes, KG; Garabato, ACN; Moulin, AJ; Peacock, T; Fine, EC; Mashayek, A; Cimoli, L; Meredith, MP; Melet, A; Fer, I; Dengler, M; Stevens, CL</t>
  </si>
  <si>
    <t>Le Boyer, Arnaud; Couto, Nicole; Alford, Matthew H.; Drake, Henri F.; Bluteau, Cynthia E.; Hughes, Kenneth G.; Garabato, Alberto C. Naveira; Moulin, Aurelie J.; Peacock, Thomas; Fine, Elizabeth C.; Mashayek, Ali; Cimoli, Laura; Meredith, Michael P.; Melet, Angelique; Fer, Ilker; Dengler, Marcus; Stevens, Craig L.</t>
  </si>
  <si>
    <t>Turbulent diapycnal fluxes as a pilot Essential Ocean Variable</t>
  </si>
  <si>
    <t>turbulent fluxes; ocean turbulence; turbulent diffusivity; turbulent dissipation; mixing efficiency; dissipation rate; GOOS; EOV</t>
  </si>
  <si>
    <t>FINESCALE PARAMETERIZATIONS; MICROSTRUCTURE MEASUREMENTS; DISSIPATION RATES; BOUNDARY-LAYER; HEAT-TRANSPORT; ENERGY; CLIMATE; TEMPERATURE; THERMOCLINE; DIFFUSION</t>
  </si>
  <si>
    <t>We contend that ocean turbulent fluxes should be included in the list of Essential Ocean Variables (EOVs) created by the Global Ocean Observing System. This list aims to identify variables that are essential to observe to inform policy and maintain a healthy and resilient ocean. Diapycnal turbulent fluxes quantify the rates of exchange of tracers (such as temperature, salinity, density or nutrients, all of which are already EOVs) across a density layer. Measuring them is necessary to close the tracer concentration budgets of these quantities. Measuring turbulent fluxes of buoyancy (Jb), heat (Jq), salinity (JS) or any other tracer requires either synchronous microscale (a few centimeters) measurements of both the vector velocity and the scalar (e.g., temperature) to produce time series of the highly correlated perturbations of the two variables, or microscale measurements of turbulent dissipation rates of kinetic energy (epsilon) and of thermal/salinity/tracer variance (chi), from which fluxes can be derived. Unlike isopycnal turbulent fluxes, which are dominated by the mesoscale (tens of kilometers), microscale diapycnal fluxes cannot be derived as the product of existing EOVs, but rather require observations at the appropriate scales. The instrumentation, standardization of measurement practices, and data coordination of turbulence observations have advanced greatly in the past decade and are becoming increasingly robust. With more routine measurements, we can begin to unravel the relationships between physical mixing processes and ecosystem health. In addition to laying out the scientific relevance of the turbulent diapycnal fluxes, this review also compiles the current developments steering the community toward such routine measurements, strengthening the case for registering the turbulent diapycnal fluxes as an pilot Essential Ocean Variable.</t>
  </si>
  <si>
    <t>[Le Boyer, Arnaud; Couto, Nicole; Alford, Matthew H.; Fine, Elizabeth C.] Univ Calif San Diego, Scripps Inst Oceanog, La Jolla, CA 92093 USA; [Drake, Henri F.] Univ Calif Irvine, Dept Earth Syst Sci, Irvine, CA USA; [Bluteau, Cynthia E.] Fisheries &amp; Oceans Canada, Inst Ocean Sci, Sidney, BC, Canada; [Hughes, Kenneth G.] Oregon State Univ, Coll Earth Ocean &amp; Atmospher Sci, Corvallis, OR USA; [Garabato, Alberto C. Naveira] Univ Southampton, Ocean &amp; Earth Sci, Southampton, England; [Moulin, Aurelie J.] Univ Washington, Appl Phys Lab, Seattle, WA USA; [Peacock, Thomas] MIT, Dept Mech Engn, Cambridge, MA 02139 USA; [Mashayek, Ali] Univ Cambridge, Dept Earth Sci, Cambridge CB23EQ, England; [Cimoli, Laura] Univ Cambridge, Dept Appl Math &amp; Theoret Phys, Cambridge, England; [Meredith, Michael P.] British Antarctic Survey, Cambridge, England; [Melet, Angelique] Mercator Ocean Int, Sci Directorate, Toulouse, France; [Fer, Ilker] Univ Bergen, Geophys Inst, Bergen, Norway; [Dengler, Marcus] GEOMAR Helmholtz Ctr Ocean Res Kiel, Res Div 1, Phys Oceanog, Kiel, Germany; [Stevens, Craig L.] Natl Inst Water &amp; Atmospher Res, Wellington, New Zealand; [Stevens, Craig L.] Univ Auckland, Dept Phys, Auckland, New Zealand</t>
  </si>
  <si>
    <t>University of California System; University of California San Diego; Scripps Institution of Oceanography; University of California System; University of California Irvine; Fisheries &amp; Oceans Canada; Oregon State University; University of Southampton; University of Washington; University of Washington Seattle; Massachusetts Institute of Technology (MIT); University of Cambridge; University of Cambridge; UK Research &amp; Innovation (UKRI); Natural Environment Research Council (NERC); NERC British Antarctic Survey; University of Bergen; Helmholtz Association; GEOMAR Helmholtz Center for Ocean Research Kiel; National Institute of Water &amp; Atmospheric Research (NIWA) - New Zealand; University of Auckland</t>
  </si>
  <si>
    <t>Le Boyer, A; Couto, N (corresponding author), Univ Calif San Diego, Scripps Inst Oceanog, La Jolla, CA 92093 USA.</t>
  </si>
  <si>
    <t>aleboyer@ucsd.edu; ncouto@ucsd.edu</t>
  </si>
  <si>
    <t>Dengler, Marcus/A-7327-2014; Melet, Angelique/ABE-5148-2020; Drake, Henri/AAF-4602-2020</t>
  </si>
  <si>
    <t>Dengler, Marcus/0000-0001-5993-9088; Melet, Angelique/0000-0003-3888-8159; Drake, Henri/0000-0003-0135-0814; Le Boyer, Arnaud/0000-0002-1904-1895</t>
  </si>
  <si>
    <t>10.3389/fmars.2023.1241023</t>
  </si>
  <si>
    <t>CA2O0</t>
  </si>
  <si>
    <t>WOS:001122464400001</t>
  </si>
  <si>
    <t>Zehnpfennig, JR; Mahon, AR</t>
  </si>
  <si>
    <t>Zehnpfennig, Jessica R.; Mahon, Andrew R.</t>
  </si>
  <si>
    <t>Austropallene halanychi sp. nov., a new species of sea spider (Pycnogonida, Callipallenidae) from the Ross Sea, Antarctica</t>
  </si>
  <si>
    <t>ZOOKEYS</t>
  </si>
  <si>
    <t>Biodiversity; morphology; mtDNA; phylogeny; taxonomy</t>
  </si>
  <si>
    <t>MITOCHONDRIAL GENOME; SEQUENCE; TOOL</t>
  </si>
  <si>
    <t>Here we present Austropallene halanychi sp. nov., a new species of pycnogonid within the family Callipallenidae (Pycnogonida), collected from the Ross Sea, Antarctica. While retaining key morphological features known for the genus Austropallene Hodgson, 1915a, the new species is distinguished from congeners by its much larger size, along with the combined absence of a denticle on the inner surface of the fixed finger of the chelifore claw along with the presence of small conical outgrowths where the fixed finger of the chelifore claw meets the movable finger on both the dorsal and ventral sides, and also the ability to fully close the chelifore claw. Additionally, the complete mitochondrial genome of A. halanychi is consistent with other members of the genus Austropallene in terms of gene order and directionality. A phylogenetic tree consisting of mitochondrial protein-coding gene data places A. halanychi as sister to Austropallene cornigera (Mobius, 1902). Additionally, a phylogenetic tree constructed using partial COI data from other callipallenids placed the new species in a clade containing the genus Austropallene. The combination of molecular data in addition to key morphological differences from similar species in the genus leaves no doubt that the new taxon is a new Antarctic species of Austropallene.</t>
  </si>
  <si>
    <t>[Zehnpfennig, Jessica R.; Mahon, Andrew R.] Cent Michigan Univ, Dept Biol, Mt Pleasant, MI 48859 USA</t>
  </si>
  <si>
    <t>Central Michigan University</t>
  </si>
  <si>
    <t>Mahon, AR (corresponding author), Cent Michigan Univ, Dept Biol, Mt Pleasant, MI 48859 USA.</t>
  </si>
  <si>
    <t>zehnp1jr@cmich.edu</t>
  </si>
  <si>
    <t>Zehnpfennig, Jessica/0000-0001-9865-2485</t>
  </si>
  <si>
    <t>NSF [ANT-1043745, OPP-0132032]; Earth and Ecosystem Science Ph.D. program in the College of Science and Engineering at Central Michigan University</t>
  </si>
  <si>
    <t>NSF(National Science Foundation (NSF)); Earth and Ecosystem Science Ph.D. program in the College of Science and Engineering at Central Michigan University</t>
  </si>
  <si>
    <t>Funding for this research was supported by NSF grants (ANT-1043745, and OPP-0132032 to ARM) . This research was also supported by the Earth and Ecosystem Science Ph.D. program in the College of Science and Engineering at Central Michigan University.</t>
  </si>
  <si>
    <t>1313-2989</t>
  </si>
  <si>
    <t>1313-2970</t>
  </si>
  <si>
    <t>ZooKeys</t>
  </si>
  <si>
    <t>10.3897/zookeys.1185.108286</t>
  </si>
  <si>
    <t>AE6O9</t>
  </si>
  <si>
    <t>WOS:001116829200001</t>
  </si>
  <si>
    <t>Luo, H; Yang, QH; Mazloff, M; Nerger, L; Chen, DK</t>
  </si>
  <si>
    <t>Luo, Hao; Yang, Qinghua; Mazloff, Matthew; Nerger, Lars; Chen, Dake</t>
  </si>
  <si>
    <t>The Impacts of Optimizing Model-Dependent Parameters on the Antarctic Sea Ice Data Assimilation</t>
  </si>
  <si>
    <t>THICKNESS</t>
  </si>
  <si>
    <t>Given the role played by the historical and extensive coverage of sea ice concentration (SIC) observations in reconstructing the long-term variability of Antarctic sea ice, and the limited attention given to model-dependent parameters in current sea ice data assimilation studies, this study focuses on enhancing the performance of the Data Assimilation System for the Southern Ocean in assimilating SIC through optimizing the localization and observation error estimate, and two assimilation experiments were conducted from 1979 to 2018. By comparing the results with the sea ice extent of the Southern Ocean and the sea ice thickness in the Weddell Sea, it becomes evident that the experiment with optimizations outperforms that without optimizations due to achieving more reasonable error estimates. Investigating uncertainties of the sea ice volume anomaly modeling reveals the importance of the sea ice-ocean interaction in the SIC assimilation, implying the necessity of assimilating more oceanic and sea-ice observations. Antarctic sea ice is essential for the Earth's system, but its variability is challenging to understand due to limited observations and model limitations. Data assimilation, a method combining observations and simulations, can help address these challenges. To better incorporate long historical sea ice concentration (SIC) observations, we improved the Data Assimilation System for the Southern Ocean by refining the model-dependent parameters of assimilation in this study. We conducted experiments from 1979 to 2018 and compared two experiments with and without optimizations. The results demonstrate the reliability and superiority of the experiment with optimizations compared to that without optimizations in comparison with sea ice extent in the Southern Ocean and sea ice thickness derived from the upward-looking sonar in the Weddell Sea. Further analysis shows that the relationship between sea ice and the ocean plays a nonnegligible role in assimilating SIC, which reflects the need to assimilate more oceanic and sea-ice observations to improve the Antarctic sea ice simulation. Our studies can contribute to the more reasonable reconstruction of the long-term variability of Antarctic sea ice, which benefits a better understanding of Antarctic sea ice variabilities. Refining localization and observation error estimate improves the Antarctic sea ice modeling obtained by assimilating sea ice concentrationAssimilating sea ice concentration can constrain the modeling of Antarctic sea ice volume except for its modeling uncertaintyMore oceanic and sea-ice observations are required for the reconstruction of Antarctic sea ice</t>
  </si>
  <si>
    <t>[Luo, Hao; Yang, Qinghua; Chen, Dake] Sun Yat Sen Univ, Sch Atmospher Sci, Zhuhai, Peoples R China; [Luo, Hao; Yang, Qinghua; Chen, Dake] Southern Marine Sci &amp; Engn Guangdong Lab Zhuhai, Zhuhai, Peoples R China; [Mazloff, Matthew] Univ Calif San Diego, Scripps Inst Oceanog, San Diego, CA USA; [Nerger, Lars] Helmholtz Ctr Polar &amp; Marine Res, Alfred Wegener Inst, Bremerhaven, Germany; [Chen, Dake] Minist Nat Resources, Inst Oceanog 2, State Key Lab Satellite Ocean Environm Dynam, Hangzhou, Peoples R China</t>
  </si>
  <si>
    <t>Sun Yat Sen University; Southern Marine Science &amp; Engineering Guangdong Laboratory; Southern Marine Science &amp; Engineering Guangdong Laboratory (Zhuhai); University of California System; University of California San Diego; Scripps Institution of Oceanography; Helmholtz Association; Alfred Wegener Institute, Helmholtz Centre for Polar &amp; Marine Research; Ministry of Natural Resources of the People's Republic of China</t>
  </si>
  <si>
    <t>Nerger, Lars/G-4845-2013</t>
  </si>
  <si>
    <t>Nerger, Lars/0000-0002-1908-1010; Chen, Dake/0000-0002-8193-7158; Luo, Hao/0000-0002-3707-3794</t>
  </si>
  <si>
    <t>National Natural Science Foundation of China; National Key Research and Development Program of China; NSF; ONR; Norges Forskningsrad; NASA; ONR; [42006191]; [41941009]; [2022YFE0106300]; [OCE-1924388]; [OPP-1936222]; [OPP-2319829]; [328886]; [80NSSC22K0387]; [80NSSC20K1076]; [N00014-20-1-2772]</t>
  </si>
  <si>
    <t>National Natural Science Foundation of China(National Natural Science Foundation of China (NSFC)); National Key Research and Development Program of China; NSF(National Science Foundation (NSF)); ONR(Office of Naval Research); Norges Forskningsrad(Research Council of Norway); NASA(National Aeronautics &amp; Space Administration (NASA)); ONR(Office of Naval Research); ; ; ; ; ; ; ; ; ;</t>
  </si>
  <si>
    <t>The authors thank two anonymous reviewers for their very helpful comments and suggestions. This is a contribution to the Year of Polar Prediction (YOPP), a flagship activity of the Polar Prediction Project (PPP), initiated by the World Weather Research Programme (WWRP) of the World Meteorological Organization (WMO). We acknowledge the WMO WWRP for its role in coordinating this International Research activity. This study is supported by the National Natural Science Foundation of China (No. 42006191, 41941009), the National Key Research and Development Program of China (No. 2022YFE0106300), and the Norges Forskningsrad (Grant 328886). MRM acknowledges funding from NSF awards OCE-1924388, OPP-1936222, and OPP-2319829, NASA awards 80NSSC22K0387, 80NSSC20K1076, and ONR award N00014-20-1-2772. We thank the National Supercomputer Center in Guangzhou for providing computing resources.</t>
  </si>
  <si>
    <t>e2023GL105690</t>
  </si>
  <si>
    <t>10.1029/2023GL105690</t>
  </si>
  <si>
    <t>Y5TU9</t>
  </si>
  <si>
    <t>Green Published, hybrid, Green Submitted</t>
  </si>
  <si>
    <t>WOS:001105889400001</t>
  </si>
  <si>
    <t>Hussain, A; Ray, MK</t>
  </si>
  <si>
    <t>Hussain, Ashaq; Ray, Malay Kumar</t>
  </si>
  <si>
    <t>Role of DEAD-box RNA helicases in low-temperature adapted growth of Antarctic Pseudomonas syringae Lz4W</t>
  </si>
  <si>
    <t>cold adaptation; RNA helicases; gene disruption; homologous recombination; growth analysis; functional complementation</t>
  </si>
  <si>
    <t>COLI STRAINS LACKING; ESCHERICHIA-COLI; DBPA; GENE; SEQUENCE; TRANSFORMATION; EXPRESSION; PROTEINS; FAMILY; PLAYS</t>
  </si>
  <si>
    <t>Pseudomonas syringae possesses genes for all five major DEAD-box RNA helicases, rhlE, srmB, csdA, dbpA, and rhlB, that are found in gamma-proteobacteria. Bioinfor matic analysis of the RNA helicase genes provided detailed insights into their genomic organization, promoter characteristics, regulatory 3 ' regions, and sequence similarity. Disruption of rhlB and rhlE genes did not have any effect on growth of the P. syringae mutants at optimum (22 degrees C) or at low (4 degrees C) temperatures. On the other hand, disrup tion of srmB and dbpA genes caused a slow-growing phenotype in the mutants at low temperature (4 degrees C). In comparison to the above-mentioned helicases, deletion of csdA gene caused the mutant (Delta csdA) to be totally incapable of growing at 4 degrees C while marginally affecting the growth (resulting in slow growth) at the optimum temperature (22 degrees C). Functional complementation studies revealed that RNA helicases are functionally non-redundant, as the roles performed by different helicases are individual and specific.</t>
  </si>
  <si>
    <t>[Hussain, Ashaq; Ray, Malay Kumar] Ctr Cellular &amp; Mol Biol, Hyderabad, Telangana, India</t>
  </si>
  <si>
    <t>Council of Scientific &amp; Industrial Research (CSIR) - India; CSIR - Centre for Cellular &amp; Molecular Biology (CCMB)</t>
  </si>
  <si>
    <t>Hussain, A; Ray, MK (corresponding author), Ctr Cellular &amp; Mol Biol, Hyderabad, Telangana, India.</t>
  </si>
  <si>
    <t>ashaqccmb@gmail.com; malay.ccmb@gmail.com</t>
  </si>
  <si>
    <t>Council for Scientific and Industrial Research (CSIR); Indian Council for Medical Research (ICMR), government of India</t>
  </si>
  <si>
    <t>Council for Scientific and Industrial Research (CSIR)(Council of Scientific &amp; Industrial Research (CSIR) - India); Indian Council for Medical Research (ICMR), government of India(Indian Council of Medical Research (ICMR))</t>
  </si>
  <si>
    <t>The authors acknowledge the Council for Scientific and Industrial Research (CSIR) and the Indian Council for Medical Research (ICMR), government of India, for financial support in the form of fellowship to Ashaq Hussain during this study.</t>
  </si>
  <si>
    <t>10.1128/spectrum.04335-22</t>
  </si>
  <si>
    <t>WOS:001110215600001</t>
  </si>
  <si>
    <t>Magand, O; Angot, H; Bertrand, Y; Sonke, JE; Laffont, L; Duperray, S; Collignon, L; Boulanger, D; Dommergue, A</t>
  </si>
  <si>
    <t>Magand, Olivier; Angot, Helene; Bertrand, Yann; Sonke, Jeroen E.; Laffont, Laure; Duperray, Solene; Collignon, Lea; Boulanger, Damien; Dommergue, Aurelien</t>
  </si>
  <si>
    <t>Over a decade of atmospheric mercury monitoring at Amsterdam Island in the French Southern and Antarctic Lands</t>
  </si>
  <si>
    <t>PASSIVE AIR SAMPLER; KCL-COATED DENUDERS; OXIDIZED MERCURY; SEASONAL-VARIATION; INDIAN-OCEAN; GASEOUS MERCURY; DATA QUALITY; VARIABILITY; CALIBRATION; HEMISPHERE</t>
  </si>
  <si>
    <t>The Minamata Convention, a global and legally binding treaty that entered into force in 2017, aims to protect human health and the environment from harmful mercury (Hg) effects by reducing anthropogenic Hg emissions and environmental levels. The Conference of the Parties is to periodically evaluate the Convention's effectiveness, starting in 2023, using existing monitoring data and observed trends. Monitoring atmospheric Hg levels has been proposed as a key indicator. However, data gaps exist, especially in the Southern Hemisphere. Here, we present over a decade of atmospheric Hg monitoring data at Amsterdam Island (37.80 degrees S, 77.55 degrees E), in the remote southern Indian Ocean. Datasets include gaseous elemental and oxidised Hg species ambient air concentrations from either active/continuous or passive/discrete acquisition methods, and annual total Hg wet deposition fluxes. These datasets are made available to the community to support policy-making and further scientific advancements.</t>
  </si>
  <si>
    <t>[Magand, Olivier] Univ Reunion, CNRS, UAR 3365, Observ Sci Univ Reunion OSU R,Meteo France, F-97744 St Denis, La Reunion, France; [Magand, Olivier; Angot, Helene; Bertrand, Yann; Duperray, Solene; Collignon, Lea; Dommergue, Aurelien] Univ Grenoble Alpes, CNRS, IRD, Grenoble INP,INRAE,IGE, Grenoble, France; [Sonke, Jeroen E.; Laffont, Laure] Univ Paul Sabatier Toulouse 3, Geosci Environm Toulouse, CNRS IRD, Toulouse, France; [Boulanger, Damien] Observ Midi Pyrenees, CNRS, SEDOO, Toulouse, France</t>
  </si>
  <si>
    <t>University of La Reunion; Centre National de la Recherche Scientifique (CNRS); Meteo France; Communaute Universite Grenoble Alpes; Institut National Polytechnique de Grenoble; Universite Grenoble Alpes (UGA); Institut de Recherche pour le Developpement (IRD); Centre National de la Recherche Scientifique (CNRS); INRAE; Universite de Toulouse; Universite Toulouse III - Paul Sabatier; Institut de Recherche pour le Developpement (IRD); Centre National de la Recherche Scientifique (CNRS); Universite de Toulouse; Universite Toulouse III - Paul Sabatier</t>
  </si>
  <si>
    <t>Angot, H; Dommergue, A (corresponding author), Univ Grenoble Alpes, CNRS, IRD, Grenoble INP,INRAE,IGE, Grenoble, France.</t>
  </si>
  <si>
    <t>helene.angot@univ-grenoble-alpes.fr; aurelien.dommergue@univ-grenoble-alpes.fr</t>
  </si>
  <si>
    <t>Laffont, Laure/0000-0001-5850-7937</t>
  </si>
  <si>
    <t>European Union [26511]; French Polar Institute IPEV via GMOStral-1028 IPEV programme since 2012; LEFE CHAT CNRS/INSU; H2020 ERA-PLANET iGOSP programme [689443]</t>
  </si>
  <si>
    <t>European Union(European Union (EU)); French Polar Institute IPEV via GMOStral-1028 IPEV programme since 2012; LEFE CHAT CNRS/INSU; H2020 ERA-PLANET iGOSP programme</t>
  </si>
  <si>
    <t>We deeply thank the overwintering staff for their tremendous work (Boris Bouillard and Erwan Coz in 2012, Matthieu Le Dreau and Alice Croguennoc in 2013, Vincent Lucaire and Jeoffrey Chastaing in 2014, Joyce Marais and Nicolas Joly in 2015, Isabelle Jouvie in 2016, Marine de Florinier in 2017, Yann Bertrand in 2018, Elisabeth Logeais in 2019, Laura Noel in 2020, Sophia Laporte in 2021, Solene Duperray in 2022, and Virgile Legendre in 2023), Manuel Barret for his help with the initial setup, the French Polar Institute Paul-Emile Victor (IPEV) (https://institut-polaire.fr/) and Terres Australes et Antarctique Francaises (TAAF) (https://taaf.fr/) technical teams who contributed to the setup and maintenance of our Hg instruments under the framework of the GMOStral-1028 IPEV program and made this endeavour possible. We also warmly thank our national and international partners and colleagues who contributed to this effort: Antonella Tassone, Attilio Naccarato, Francesca Sprovieri, and Nicola Pirrone (IIA-CNR, Italy) for the analysis of THg in precipitation samples, Frank Wania, Ying Duan, and Christopher Hoang (University of Toronto, Canada) for the analysis of MerPAS samples, as well as Stefan Osterwalder, Beatriz F. Arraujo, and Alkuin Koenig for their help with the chemical analysis of PES-CEMs. We would also like to thank the French national centre for Atmospheric data and services AERIS (https://www.aeris-data.fr/) for the maintenance of the GMOS-FR data portal. Our monitoring activities at Amsterdam Island were made possible thanks to the financial support of the European Union 7th Framework Programme project Global Mercury Observation System (GMOS 2010-2015 Nr. 26511), the French Polar Institute IPEV via the GMOStral-1028 IPEV programme since 2012, the LEFE CHAT CNRS/INSU, and the H2020 ERA-PLANET (Nr. 689443) iGOSP programme.</t>
  </si>
  <si>
    <t>10.1038/s41597-023-02740-9</t>
  </si>
  <si>
    <t>Z1SE9</t>
  </si>
  <si>
    <t>WOS:001109942300003</t>
  </si>
  <si>
    <t>Bednarz, EM; Visioni, D; Butler, AH; Kravitz, B; Macmartin, DG; Tilmes, S</t>
  </si>
  <si>
    <t>Bednarz, Ewa M.; Visioni, Daniele; Butler, Amy H.; Kravitz, Ben; Macmartin, Douglas G.; Tilmes, Simone</t>
  </si>
  <si>
    <t>Potential Non-Linearities in the High Latitude Circulation and Ozone Response to Stratospheric Aerosol Injection</t>
  </si>
  <si>
    <t>geoengineering; climate intervention; stratospheric ozone; middle atmosphere dynamics; stratospheric aerosol injection</t>
  </si>
  <si>
    <t>SULFUR INJECTIONS; CLIMATE RESPONSE; SULFATE AEROSOL; NORTH-ATLANTIC; SYSTEM MODELS; ARCTIC OZONE; IMPACT</t>
  </si>
  <si>
    <t>The impacts of Stratospheric Aerosol Injection (SAI) on the atmosphere and surface climate depend on when and where the sulfate aerosol precursors are injected, as well as on how much surface cooling is to be achieved. We use a set of CESM2(WACCM6) SAI simulations achieving three different levels of global mean surface cooling and demonstrate that unlike some direct surface climate impacts driven by the reflection of solar radiation by sulfate aerosols, the SAI-induced changes in the high latitude circulation and ozone are more complex and could be non-linear. This manifests in our simulations by disproportionally larger Antarctic springtime ozone loss, significantly larger intra-ensemble spread of the Arctic stratospheric jet and ozone responses, and non-linear impacts on the extratropical modes of surface climate variability under the strongest-cooling SAI scenario compared to the weakest one. These potential non-linearities may add to uncertainties in projections of regional surface impacts under SAI. The injection of reflective aerosols, or their precursors, into the lower stratosphere (Stratospheric Aerosol Injection, SAI) has been proposed as a temporary measure to offset some of the adverse impacts of climate change whilst atmospheric concentrations of greenhouses are being stabilized and, ultimately, reduced. The impacts of SAI on the atmosphere and surface climate would depend on when and where the sulfate aerosol precursors are injected, as well as on how much surface cooling is to be achieved. Here we analyze SAI impacts on stratospheric climate and ozone in a set of Earth system model simulations under varying magnitudes of the SAI-induced global mean cooling. We demonstrate that unlike some of the direct surface climate impacts from the reflection of solar radiation by sulfate aerosols, the SAI-induced changes in stratospheric circulation, chemistry and climate are more complex, with the model simulations pointing toward more non-linear behavior of the high latitude circulation and ozone under higher SAI scenarios. These potential non-linearities may add to uncertainties in projections of regional surface impacts under SAI. Impacts of Stratospheric Aerosol Injection (SAI) depend on how much surface cooling is to be achievedHigh latitude circulation, ozone and modes of extratropical variability can vary non-linearly with the SAI-induced global surface coolingThese potential non-linearities may add to uncertainties in projections of regional surface impacts under SAI</t>
  </si>
  <si>
    <t>[Bednarz, Ewa M.] Univ Colorado, Cooperat Inst Res Environm Sci CIRES, Boulder, CO 80309 USA; [Bednarz, Ewa M.; Butler, Amy H.] NOAA, Chem Sci Lab CSL, Boulder, CO 80305 USA; [Bednarz, Ewa M.; Macmartin, Douglas G.] Cornell Univ, Sibley Sch Mech &amp; Aerosp Engn, Ithaca, NY 14850 USA; [Visioni, Daniele] Cornell Univ, Dept Earth &amp; Atmospher Sci, Ithaca, NY USA; [Visioni, Daniele; Tilmes, Simone] Natl Ctr Atmospher Res NCAR, Atmospher Chem Observat &amp; Modelling ACOM, Boulder, CO USA; [Kravitz, Ben] Indiana Univ, Dept Earth &amp; Atmospher Sci, Bloomington, IN USA; [Kravitz, Ben] Pacific Northwest Natl Lab, Atmospher Sci &amp; Global Change Div, Richland, WA USA</t>
  </si>
  <si>
    <t>University of Colorado System; University of Colorado Boulder; National Oceanic Atmospheric Admin (NOAA) - USA; Cornell University; Cornell University; National Center Atmospheric Research (NCAR) - USA; Indiana University System; Indiana University Bloomington; United States Department of Energy (DOE); Pacific Northwest National Laboratory</t>
  </si>
  <si>
    <t>Bednarz, EM (corresponding author), Univ Colorado, Cooperat Inst Res Environm Sci CIRES, Boulder, CO 80309 USA.;Bednarz, EM (corresponding author), NOAA, Chem Sci Lab CSL, Boulder, CO 80305 USA.;Bednarz, EM (corresponding author), Cornell Univ, Sibley Sch Mech &amp; Aerosp Engn, Ithaca, NY 14850 USA.</t>
  </si>
  <si>
    <t>ewa.bednarz@noaa.gov</t>
  </si>
  <si>
    <t>Butler, Amy H/K-6190-2012; Tilmes, Simone/JUV-6618-2023; MacMartin, Douglas/A-6333-2016; Kravitz, Ben/P-7925-2014</t>
  </si>
  <si>
    <t>Butler, Amy H/0000-0002-3632-0925; Tilmes, Simone/0000-0002-6557-3569; MacMartin, Douglas/0000-0003-1987-9417; Bednarz, Ewa Monika/0000-0002-7441-0497; Kravitz, Ben/0000-0001-6318-1150</t>
  </si>
  <si>
    <t>We would like to acknowledge high-performance computing support from Cheyenne () provided by NCARapos;s Computational and Information Systems Laboratory, sponsored by the National Science Foundation. Support was provided by the NOAA cooperative agreement [SES-1754740]; National Science Foundation; NOAA Earthapos;s Radiative Budget initiative, Atkinson Center for a Sustainability at Cornell University; Indiana University Environmental Resilience Institute</t>
  </si>
  <si>
    <t>We would like to acknowledge high-performance computing support from Cheyenne () provided by NCARapos;s Computational and Information Systems Laboratory, sponsored by the National Science Foundation. Support was provided by the NOAA cooperative agreement; National Science Foundation(National Science Foundation (NSF)); NOAA Earthapos;s Radiative Budget initiative, Atkinson Center for a Sustainability at Cornell University; Indiana University Environmental Resilience Institute</t>
  </si>
  <si>
    <t>We would like to acknowledge high-performance computing support from Cheyenne () provided by NCAR &amp; apos;s Computational and Information Systems Laboratory, sponsored by the National Science Foundation. Support was provided by the NOAA cooperative agreement NA22OAR4320151, NOAA Earth &amp; apos;s Radiative Budget initiative, Atkinson Center for a Sustainability at Cornell University, and by the National Science Foundation through agreement CBET-2038246. Support for BK was provided in part by the National Science Foundation through agreement SES-1754740 and the Indiana University Environmental Resilience Institute.</t>
  </si>
  <si>
    <t>e2023GL104726</t>
  </si>
  <si>
    <t>10.1029/2023GL104726</t>
  </si>
  <si>
    <t>Y1AM8</t>
  </si>
  <si>
    <t>WOS:001102664200001</t>
  </si>
  <si>
    <t>Young, HA; Turnbull, JC; Keller, ED; Domingues, LG; Parry-Thompson, J; Hilton, T; Brailsford, G; Gray, S; Moss, RC; Mikaloff-Fletcher, S</t>
  </si>
  <si>
    <t>Young, Hayden A.; Turnbull, Jocelyn C.; Keller, Elizabeth D.; Domingues, Lucas Gatti; Parry-Thompson, Jeremy; Hilton, TimothyW.; Brailsford, GordonW.; Gray, Sally; Moss, Rowena C.; Mikaloff-Fletcher, Sara</t>
  </si>
  <si>
    <t>Urban flask measurements of CO2ff and CO to identify emission sources at different site types in Auckland, New Zealand</t>
  </si>
  <si>
    <t>carbon cycle; radiocarbon; urban emissions; fossil fuels; carbon dioxide; carbon monoxide</t>
  </si>
  <si>
    <t>FOSSIL-FUEL CO2; VEHICLE EMISSIONS; AIRBORNE MEASUREMENTS; CARBON-MONOXIDE; QUANTIFICATION; RATIOS; COLORADO; DIOXIDE; DRIVERS; TUNNEL</t>
  </si>
  <si>
    <t>As part of the CarbonWatch-NZ research programme, air samples were collected at 28 sites around Auckland, New Zealand, to determine the atmospheric ratio (R-CO) of excess (local enhancement over background) carbon monoxide to fossil CO2 (CO(2)ff). Sites were categorized into seven types (background, forest, industrial, suburban, urban, downwind and motorway) to observe R-CO around Auckland. Motorway flasks observed R-CO of 14 +/- 1 ppbppm(-1) and were used to evaluate traffic R-CO. The similarity between suburban (14 +/- 1 ppbppm(-1)) and traffic R-CO suggests that traffic dominates suburban CO(2)ff emissions during daytime hours, the period of flask collection. The lower urban R-CO (11 +/- 1 ppbppm(-1)) suggests that urbanCO(2)ff emissions are comprised of more than just traffic, with contributions from residential, commercial and industrial sources, all with a lower R-CO than traffic. Finally, the downwind sites were believed to best represent R-CO for Auckland City overall (11 +/- 1 ppbppm(-1)). We demonstrate that the initial discrepancy between the downwind R-CO and Auckland's estimated daytime inventory R-CO (15 ppbppm(-1)) can be attributed to an overestimation in inventory traffic CO emissions. After revision based on our observed motorway R-CO, the revised inventory R-CO (12 ppbppm(-1)) is consistent with our observations. This article is part of the Theo Murphy meeting issue 'Radiocarbon in the Anthropocene'.</t>
  </si>
  <si>
    <t>[Young, Hayden A.; Turnbull, Jocelyn C.; Keller, Elizabeth D.; Domingues, Lucas Gatti; Parry-Thompson, Jeremy; Hilton, TimothyW.] GNS Sci, Lower Hutt 5010, New Zealand; [Turnbull, Jocelyn C.] Univ Colorado, CIRES, Boulder, CO USA; [Keller, Elizabeth D.] Victoria Univ Wellington, Antarctic Res Ctr, Wellington, New Zealand; [Domingues, Lucas Gatti] Univ Sao Paulo, Inst Astron Geophys &amp; Atmospher Sci, Dept Atmospher Sci, Sao Paulo, Brazil; [Parry-Thompson, Jeremy] Greater Wellington Reg Council, Wellington, New Zealand; [Brailsford, GordonW.; Gray, Sally; Moss, Rowena C.; Mikaloff-Fletcher, Sara] Natl Inst Water &amp; Atmospher Res NIWA, Wellington, New Zealand</t>
  </si>
  <si>
    <t>GNS Science - New Zealand; University of Colorado System; University of Colorado Boulder; Victoria University Wellington; Universidade de Sao Paulo; National Institute of Water &amp; Atmospheric Research (NIWA) - New Zealand</t>
  </si>
  <si>
    <t>Young, HA (corresponding author), GNS Sci, Lower Hutt 5010, New Zealand.</t>
  </si>
  <si>
    <t>h.young@gns.cri.nz</t>
  </si>
  <si>
    <t>Keller, Elizabeth Diane/GLN-5354-2022; Gatti Domingues, Lucas/E-4730-2015; Keller, Elizabeth/O-1520-2013</t>
  </si>
  <si>
    <t>Brailsford, Gordon/0000-0003-1858-5097; Gatti Domingues, Lucas/0000-0003-4868-917X; Turnbull, Jocelyn/0000-0002-0306-9658; Young, Hayden/0000-0003-4168-8780; Hilton, Timothy/0000-0001-9575-9850; Keller, Elizabeth/0000-0002-9408-9215; Mikaloff Fletcher, Sara/0000-0003-0741-0320</t>
  </si>
  <si>
    <t>CarbonWatch-NZ MBIE Endeavour Research Grant [C01X1817]; GNS Science Strategic Science Investment Fund [C05X1702]</t>
  </si>
  <si>
    <t>CarbonWatch-NZ MBIE Endeavour Research Grant; GNS Science Strategic Science Investment Fund</t>
  </si>
  <si>
    <t>This work was supported by the CarbonWatch-NZ MBIE Endeavour Research Grant (contract C01X1817) and by the GNS Science Strategic Science Investment Fund (contract C05X1702).</t>
  </si>
  <si>
    <t>NOV 27</t>
  </si>
  <si>
    <t>10.1098/rsta.2022.0204</t>
  </si>
  <si>
    <t>LG0Q5</t>
  </si>
  <si>
    <t>WOS:001185514800004</t>
  </si>
  <si>
    <t>Hudson, TS; Brisbourne, AM; Kufner, SK; Kendall, JM; Smith, AM</t>
  </si>
  <si>
    <t>Hudson, Thomas Samuel; Brisbourne, Alex M.; Kufner, Sofia-Katerina; Kendall, J. -Michael; Smith, Andy M.</t>
  </si>
  <si>
    <t>Array processing in cryoseismology: a comparison to network-based approaches at an Antarctic ice stream</t>
  </si>
  <si>
    <t>BASAL CONDITIONS; WEST ANTARCTICA; GLACIER; SURFACE; ICEQUAKES; THICKNESS; BENEATH; BED</t>
  </si>
  <si>
    <t>Seismicity at glaciers, ice sheets, and ice shelves provides observational constraint on a number of glaciological processes. Detecting and locating this seismicity, specifically icequakes, is a necessary first step in studying processes such as basal slip, crevassing, imaging ice fabric, and iceberg calving, for example. Most glacier deployments to date use conventional seismic networks, comprised of seismometers distributed over the entire area of interest. However, smaller-aperture seismic arrays can also be used, which are typically sensitive to seismicity distal from the array footprint and require a smaller number of instruments. Here, we investigate the potential of arrays and array-processing methods to detect and locate subsurface microseismicity at glaciers, benchmarking performance against conventional seismic-network-based methods for an example at an Antarctic ice stream. We also provide an array-processing recipe for body-wave cryoseismology applications. Results from an array and a network deployed at Rutford Ice Stream, Antarctica, show that arrays and networks both have strengths and weaknesses. Arrays can detect icequakes from further distances, whereas networks outperform arrays in more comprehensive studies of a particular process due to greater hypocentral constraint within the network extent. We also gain new insights into seismic behaviour at the Rutford Ice Stream. The array detects basal icequakes in what was previously interpreted to be an aseismic region of the bed, as well as new icequake observations downstream and at the ice stream shear margins, where it would be challenging to deploy instruments. Finally, we make some practical recommendations for future array deployments at glaciers.</t>
  </si>
  <si>
    <t>[Hudson, Thomas Samuel; Kendall, J. -Michael] Univ Oxford, Dept Earth Sci, 3 South Parks Rd, Oxford OX1 3AN, England; [Brisbourne, Alex M.; Smith, Andy M.] British Antarctic Survey, NERC, UKRI, Madingley Rd, Cambridge CB3 0ET, England; [Kufner, Sofia-Katerina] Geophys Inst, Karlsruhe Inst Technol, D-76131 Karlsruhe, Germany</t>
  </si>
  <si>
    <t>University of Oxford; UK Research &amp; Innovation (UKRI); Natural Environment Research Council (NERC); NERC British Antarctic Survey; Helmholtz Association; Karlsruhe Institute of Technology</t>
  </si>
  <si>
    <t>Hudson, TS (corresponding author), Univ Oxford, Dept Earth Sci, 3 South Parks Rd, Oxford OX1 3AN, England.</t>
  </si>
  <si>
    <t>thomas.hudson@earth.ox.ac.uk</t>
  </si>
  <si>
    <t>Hudson, Thomas/IQS-9833-2023; Kendall, Michael/D-5973-2011; Brisbourne, Alex/E-6198-2013</t>
  </si>
  <si>
    <t>Hudson, Thomas/0000-0003-2944-883X; Kendall, Michael/0000-0002-1486-3945; Brisbourne, Alex/0000-0002-9887-7120; Kufner, Sofia-Katerina/0000-0002-9687-5455; SMITH, ANDREW/0000-0001-8577-482X</t>
  </si>
  <si>
    <t>Natural Environment Research Council [NE/G014159/1, NE/G013187/1]; Leverhulme Trust [GEF1111]; [ECF-2022-499]</t>
  </si>
  <si>
    <t>Natural Environment Research Council(UK Research &amp; Innovation (UKRI)Natural Environment Research Council (NERC)); Leverhulme Trust(Leverhulme Trust);</t>
  </si>
  <si>
    <t>This research has been supported by the Natural Environment Research Council (grant nos. NE/G014159/1,NE/G013187/1, and GEF1111) and the Leverhulme Trust (grantno. ECF-2022-499).</t>
  </si>
  <si>
    <t>10.5194/tc-17-4979-2023</t>
  </si>
  <si>
    <t>IU4E5</t>
  </si>
  <si>
    <t>Green Accepted, gold, Green Submitted</t>
  </si>
  <si>
    <t>WOS:001168829500001</t>
  </si>
  <si>
    <t>Cordero, RR; Feron, S; Damiani, A; Llanillo, PJ; Carrasco, J; Khan, AL; Bintanja, R; Ouyang, ZT; Casassa, G</t>
  </si>
  <si>
    <t>Cordero, Raul R.; Feron, Sarah; Damiani, Alessandro; Llanillo, Pedro J.; Carrasco, Jorge; Khan, Alia L.; Bintanja, Richard; Ouyang, Zutao; Casassa, Gino</t>
  </si>
  <si>
    <t>Signature of the stratosphere-troposphere coupling on recent record-breaking Antarctic sea-ice anomalies</t>
  </si>
  <si>
    <t>SOUTHERN-HEMISPHERE; SURFACE CLIMATE; OCEAN; VARIABILITY; TRENDS; EXTENT</t>
  </si>
  <si>
    <t>In February 2023, the sea-ice extent around Antarctica dropped to 1.79 x 10 6 km 2 , setting a satellite-era record low for the second straight year. Recent records stress the need for further research into the factors behind record-breaking Antarctic sea-ice anomalies. By influencing the circumpolar westerly winds, the stratospheric polar vortex has played a major role in the Antarctic surface climate in recent decades. However, the footprint of the polar vortex variability in the year-to-year changes in the Antarctic sea-ice cover remains obscured. Here, we use satellite retrievals and reanalysis data to study the response of the sea-ice extent around Antarctica to changes in the polar vortex strength. We focus on the last 2 decades that saw sharp changes in the stratospheric zonal flow, the tropospheric westerly winds and the sea-ice cover (the latter climbed to record highs in 2013 and 2014 before dropping to record lows in 2017, 2022 and 2023). Our results suggest that this unprecedented interannual variability is noticeably influenced by the polar vortex dynamics. The signature of the stratosphere-troposphere coupling is apparent in recent records (highs and lows) in the sea-ice extent around Antarctica.</t>
  </si>
  <si>
    <t>[Cordero, Raul R.; Feron, Sarah] Univ Santiago De Chile, Dept Phys, Ave Bernardo OHiggins 3363, Santiago, Chile; [Feron, Sarah] Univ Groningen, Dept Knowledge Infrastruct, Wirdumerdijk 34, NL-8911 CE Leeuwarden, Netherlands; [Damiani, Alessandro] Chiba Univ, Ctr Environm Remote Sensing, 1-33 Yayoicho,Inage Ward, Chiba 2638522, Japan; [Llanillo, Pedro J.] Alfred Wegener Inst, Helmholtz Ctr Polar &amp; Marine Res, Handelshafen 12, D-27570 Bremerhaven, Germany; [Carrasco, Jorge] Univ Magallanes, Gaia Res Ctr, Av Manuel Bulnes 1855, Punta Arenas 6210427, Chile; [Khan, Alia L.] Western Washington Univ, Cryosphere Remote Sensing &amp; Aquat Biogeochem Lab, 516 High St, Bellingham, WA 98225 USA; [Khan, Alia L.] Univ Colorado, Cooperat Inst Res Environm Sci, Natl Snow &amp; Ice Data Ctr, 449 UCB Univ Colorado, Boulder, CO 80309 USA; [Bintanja, Richard] Royal Netherlands Meteorol Inst KNMI, Utrechtseweg 297, NL-3731 GA De Bilt, Netherlands; [Bintanja, Richard] Univ Groningen, Energy &amp; Sustainabil Res Inst Groningen ESRIG, Groningen, Netherlands; [Ouyang, Zutao] Stanford Univ, Dept Earth Syst Sci, 473 Via Ortega, Stanford, CA 94305 USA</t>
  </si>
  <si>
    <t>University of Groningen; Chiba University; Helmholtz Association; Alfred Wegener Institute, Helmholtz Centre for Polar &amp; Marine Research; Universidad de Magallanes; Western Washington University; University of Colorado System; University of Colorado Boulder; Royal Netherlands Meteorological Institute; University of Groningen; Stanford University</t>
  </si>
  <si>
    <t>Feron, S (corresponding author), Univ Santiago De Chile, Dept Phys, Ave Bernardo OHiggins 3363, Santiago, Chile.;Feron, S (corresponding author), Univ Groningen, Dept Knowledge Infrastruct, Wirdumerdijk 34, NL-8911 CE Leeuwarden, Netherlands.</t>
  </si>
  <si>
    <t>s.c.feron@rug.nl</t>
  </si>
  <si>
    <t>Carrasco, Jorge/ACG-6766-2022</t>
  </si>
  <si>
    <t>Carrasco, Jorge/0000-0003-2154-5483; Feron, Sarah/0000-0002-0572-5639; Damiani, Alessandro/0000-0003-3014-6193; Yang, Zutao/0000-0002-6919-569X; Bintanja, Richard/0000-0002-0465-5923; Cordero, Raul R./0000-0001-7607-7993</t>
  </si>
  <si>
    <t>Agencia Nacional de Investigacin y Desarrollo</t>
  </si>
  <si>
    <t>We thank the Laboratory for Atmospheres at NASA's Goddard Space Flight Center, the European Centre for Medium-Range Weather Forecasts (ECMWF), and each of the satellite teams for the data access as well as all their hard work in producing the datasets. We also thank the researchers contributing to the National Snow and Ice Data Center Sea Ice Index.</t>
  </si>
  <si>
    <t>10.5194/tc-17-4995-2023</t>
  </si>
  <si>
    <t>IU4P5</t>
  </si>
  <si>
    <t>WOS:001168840600001</t>
  </si>
  <si>
    <t>Lane, TP; King, AD; Perkins-Kirkpatrick, SE; Pitman, AJ; Alexander, LV; Arblaster, JM; Bindoff, NL; Bishop, CH; Black, MT; Bradstock, RA; Clarke, HG; Gallant, AJE; Grose, MR; Holbrook, NJ; Holland, GJ; Hope, PK; Karoly, DJ; Raupach, TH; Ukkola, AM</t>
  </si>
  <si>
    <t>Lane, T. P.; King, A. D.; Perkins-Kirkpatrick, S. E.; Pitman, A. J.; Alexander, L. V.; Arblaster, J. M.; Bindoff, N. L.; Bishop, C. H.; Black, M. T.; Bradstock, R. A.; Clarke, H. G.; Gallant, A. J. E.; Grose, M. R.; Holbrook, N. J.; Holland, G. J.; Hope, P. K.; Karoly, D. J.; Raupach, T. H.; Ukkola, A. M.</t>
  </si>
  <si>
    <t>Attribution of extreme events to climate change in the Australian region - A review</t>
  </si>
  <si>
    <t>WEATHER AND CLIMATE EXTREMES</t>
  </si>
  <si>
    <t>FINE FUEL DYNAMICS; HEAT WAVES; SOUTHERN-HEMISPHERE; TROPICAL CYCLONES; GREENHOUSE-GAS; ANTHROPOGENIC CONTRIBUTIONS; SYNOPTIC CLIMATOLOGY; MIDLATITUDE CYCLONES; RAINFALL VARIABILITY; WESTERN-AUSTRALIA</t>
  </si>
  <si>
    <t>Extreme event attribution is a rapidly growing field of climate science with important implications for public and government understanding of human-induced climate change. However, there is substantial variation in how well events can be attributed to human-induced climate change, depending on the nature of the event. Focusing on Australia: at one end of the scale, large-scale heat events on both the land and in the ocean are well suited to attribution studies because climate models simulate them reasonably well, there are high-quality observations available and our understanding of the processes that lead to extreme heat events is reasonably well developed. At the other end of the scale, very important phenomenon such as changes in east coast lows, severe convective storms and long-term droughts are less well observed, are beyond our current capability to robustly simulate in climate models and the complex mechanisms that lead to intensification are not well understood. Thus, some important extreme events can be linked to human-induced climate change, with a high degree of confidence, while others cannot. We review the state of the science relevant to event attribution with a focus on Australia. We highlight where progress can be made, focusing on observations, physical understanding, and realistic climate modelling.</t>
  </si>
  <si>
    <t>[Lane, T. P.; King, A. D.; Bishop, C. H.; Karoly, D. J.] Univ Melbourne, Sch Geog Earth &amp; Atmospher Sci, Melbourne, Australia; [Perkins-Kirkpatrick, S. E.] Univ New South Wales, Sch Sci, Canberra, Australia; [Pitman, A. J.; Alexander, L. V.; Ukkola, A. M.] Univ New South Wales, Climate Change Res Ctr, Sydney, Australia; [Arblaster, J. M.; Gallant, A. J. E.] Monash Univ, Sch Earth Atmosphere &amp; Environm, Melbourne, Australia; [Bindoff, N. L.; Holbrook, N. J.] Univ Tasmania, Inst Marine &amp; Antarctic Studies, Hobart, Australia; [Black, M. T.; Hope, P. K.] Bur Meteorol, Melbourne, Australia; [Grose, M. R.] Commonwealth Sci &amp; Ind Res Org, Canberra, Australia; [Holland, G. J.] Natl Ctr Atmospher Res, Boulder, CO USA; [Lane, T. P.; King, A. D.; Perkins-Kirkpatrick, S. E.; Pitman, A. J.; Alexander, L. V.; Arblaster, J. M.; Bishop, C. H.; Gallant, A. J. E.; Holbrook, N. J.; Hope, P. K.; Raupach, T. H.] ARC Ctr Excellence Climate Extremes, Sydney, Australia; [Bradstock, R. A.; Clarke, H. G.] Univ Wollongong, Ctr Environm Risk Management Bushfire, Ctr Sustainable Ecosyst Solut, Wollongong, Australia; [Bradstock, R. A.; Clarke, H. G.] New South Wales Bushfire Risk Management Res Hub, Wollongong, Australia; [Bradstock, R. A.] New South Wales Dept Planning Ind &amp; Environm, Appl Bushfire Sci Program, Parramatta, Australia; [Clarke, H. G.] Univ Melbourne, Sch Agr Food &amp; Ecosyst Sci, Melbourne, Australia</t>
  </si>
  <si>
    <t>University of Melbourne; University of New South Wales Sydney; University of New South Wales Sydney; Monash University; University of Tasmania; Bureau of Meteorology - Australia; Commonwealth Scientific &amp; Industrial Research Organisation (CSIRO); National Center Atmospheric Research (NCAR) - USA; University of Wollongong; University of Melbourne</t>
  </si>
  <si>
    <t>Lane, TP (corresponding author), Univ Melbourne, Sch Geog Earth &amp; Atmospher Sci, Melbourne, Australia.</t>
  </si>
  <si>
    <t>tplane@unimelb.edu.au</t>
  </si>
  <si>
    <t>; Lane, Todd/A-8804-2011; Clarke, Hamish/J-8987-2016; Holbrook, Neil/M-7544-2013</t>
  </si>
  <si>
    <t>Gallant, Ailie/0000-0002-7917-1069; Lane, Todd/0000-0003-0171-6927; Clarke, Hamish/0000-0002-8747-3729; Holbrook, Neil/0000-0002-3523-6254</t>
  </si>
  <si>
    <t>Australian Research Council Centre of Excellence for Climate Extremes [CE170100023]; National Environmental Science Program (NESP) Earth Systems and Climate Change Hub; NESP Climate Systems Hub; Westpac Scholars Trust via a Westpac Research Fellowship; New South Wales Government's Department of Planning, Industry Environment; Australian Research Council [DE20010086]</t>
  </si>
  <si>
    <t>Australian Research Council Centre of Excellence for Climate Extremes(Australian Research Council); National Environmental Science Program (NESP) Earth Systems and Climate Change Hub; NESP Climate Systems Hub; Westpac Scholars Trust via a Westpac Research Fellowship; New South Wales Government's Department of Planning, Industry Environment; Australian Research Council(Australian Research Council)</t>
  </si>
  <si>
    <t>We acknowledge support from the Australian Research Council Centre of Excellence for Climate Extremes (CE170100023) and the National Environmental Science Program (NESP) Earth Systems and Climate Change Hub and NESP Climate Systems Hub. HC receives funding from the Westpac Scholars Trust via a Westpac Research Fellowship. HC and RB acknowledge the New South Wales Government's Department of Planning, Industry &amp; Environment for providing funds to support this research via the NSW Bushfire Risk Management Research Hub. AU acknowledges support from the Australian Research Council (DE20010086) . Thank you to David Jones and Gen Tolhurst for comments on an earlier version of the manuscript.</t>
  </si>
  <si>
    <t>2212-0947</t>
  </si>
  <si>
    <t>WEATHER CLIM EXTREME</t>
  </si>
  <si>
    <t>Weather Clim. Extremes</t>
  </si>
  <si>
    <t>10.1016/j.wace.2023.100622</t>
  </si>
  <si>
    <t>GA1N1</t>
  </si>
  <si>
    <t>WOS:001149847000001</t>
  </si>
  <si>
    <t>Frey, DI; Morozov, EG; Smirnova, DA</t>
  </si>
  <si>
    <t>Frey, D. I.; Morozov, E. G.; Smirnova, D. A.</t>
  </si>
  <si>
    <t>Sea level anomalies affect the ocean circulation at abyssal depths</t>
  </si>
  <si>
    <t>ANTARCTIC BOTTOM WATER; VEMA CHANNEL; NORDIC SEAS; DEEP; FLOW; TEMPERATURE; VARIABILITY; SHEAR; FIELD; MODEL</t>
  </si>
  <si>
    <t>Abyssal channels are the key points controlling bottom circulation of the World Ocean. They provide meridional transport of the coldest Antarctic Bottom Water between deep-water basins influencing the meridional overturning circulation and the climate on a global scale. Here we show that the synoptic variability of deep-water flows including blocking abyssal currents between deep ocean basins is related to sea level anomalies observed over the channels. Our results demonstrate that processes at the ocean surface have a more significant connection with the bottom circulation than it was considered earlier. This study opens a discussion of the importance of mesoscale eddies and air-sea interactions on water exchange between abyssal basins, meridional heat transport in the ocean, and possible responses of the ocean to the observed sea level rise in a changing climate.</t>
  </si>
  <si>
    <t>[Frey, D. I.; Morozov, E. G.; Smirnova, D. A.] Russian Acad Sci, Shirshov Inst Oceanol, Moscow, Russia; [Frey, D. I.] Russian Acad Sci, Inst Marine Hydrophys, Sevastopol, Russia; [Frey, D. I.] Moscow Inst Phys &amp; Technol, Dolgoprudnyi, Russia</t>
  </si>
  <si>
    <t>Russian Academy of Sciences; Shirshov Institute of Oceanology; Russian Academy of Sciences; Marine Hydrophysical Institute of RAS; Moscow Institute of Physics &amp; Technology</t>
  </si>
  <si>
    <t>Frey, DI (corresponding author), Russian Acad Sci, Shirshov Inst Oceanol, Moscow, Russia.;Frey, DI (corresponding author), Russian Acad Sci, Inst Marine Hydrophys, Sevastopol, Russia.;Frey, DI (corresponding author), Moscow Inst Phys &amp; Technol, Dolgoprudnyi, Russia.</t>
  </si>
  <si>
    <t>dima.frey@gmail.com</t>
  </si>
  <si>
    <t>Russian Science Foundation [22-77-10004]; State Task of Russia [FNNN-2021-0010]</t>
  </si>
  <si>
    <t>Russian Science Foundation(Russian Science Foundation (RSF)); State Task of Russia</t>
  </si>
  <si>
    <t>This research was funded by the Russian Science Foundation, project 22-77-10004 (processing of in situ data from the Vema Channel) and the State Task of Russia FNNN-2021-0010 (processing of satellite altimetry data).</t>
  </si>
  <si>
    <t>10.1038/s41598-023-48074-9</t>
  </si>
  <si>
    <t>FF3B1</t>
  </si>
  <si>
    <t>WOS:001144297500079</t>
  </si>
  <si>
    <t>Hata, S; Kawamata, M; Doi, K</t>
  </si>
  <si>
    <t>Hata, Shuntaro; Kawamata, Moto; Doi, Koichiro</t>
  </si>
  <si>
    <t>Outbursts from an ice-marginal lake in Antarctica in 1969-1971 and 2017, revealed by aerial photographs and satellite data</t>
  </si>
  <si>
    <t>SUBGLACIAL LAKE; MELTWATER; GLACIER; DISCHARGE; DRAINAGE; EVOLUTION; IMPACTS; BENEATH</t>
  </si>
  <si>
    <t>The liquid water around the Antarctic Ice Sheet plays a key role in modulating both the vulnerability of ice shelves to hydrofracturing and ice discharge from outlet glaciers. Therefore, it needs to be adequately constrained for precise future projections of ice-mass loss and global sea-level rise. Although glacial lake outburst floods (GLOFs) pose one of the greatest risks in glacierized mountainous regions, any long-term monitoring of Antarctic ice-marginal lakes and their associated potential for GLOFs has been neglected until recently owing to the limited number of such events reported in Antarctica. Here we present direct evidence of repeated GLOFs from Lake Kaminotani-Ike, an ice-sheet-dammed lake in East Antarctica, via an analysis of historical aerial photographs and recent satellite data. Two GLOFs occurred in 1969-1971 and 2017, with discharge volumes of (8.6 +/- 1.5)x10(7) and (7.1 +/- 0.4)x10(7) m(3), respectively, making them two of the largest GLOFs in Antarctica. A southerly oceanward pathway beneath the ice sheet is the most likely drainage route of these GLOF events based on the available surface- and bed-elevation datasets. Furthermore, the 2017 event occurred during the austral winter, thereby implying the possibility of year-round active subglacial networks in Antarctica. Our results highlight that studies on Antarctic ice-marginal lakes provide an opportunity to better understand Antarctic hydrological processes and emphasize the need for both detailed monitoring of ice-marginal lakes and detailed surveying of the subglacial environments of the Antarctic Ice Sheet.</t>
  </si>
  <si>
    <t>[Hata, Shuntaro] Hokkaido Univ, Inst Low Temp Sci, Sapporo, Hokkaido, Japan; [Hata, Shuntaro] Hokkaido Univ, Creat Res Inst, Sapporo, Hokkaido, Japan; [Kawamata, Moto] Publ Works Res Inst, Civil Engn Res Inst Cold Reg, Sapporo, Hokkaido, Japan; [Doi, Koichiro] Natl Inst Polar Res, Tokyo, Japan; [Doi, Koichiro] Grad Univ Adv Studies SOKENDAI, Hayama, Kanagawa, Japan</t>
  </si>
  <si>
    <t>Hokkaido University; Hokkaido University; PWRI: Public Works Research Institute; Research Organization of Information &amp; Systems (ROIS); National Institute of Polar Research (NIPR) - Japan; Graduate University for Advanced Studies - Japan</t>
  </si>
  <si>
    <t>Hata, S (corresponding author), Hokkaido Univ, Inst Low Temp Sci, Sapporo, Hokkaido, Japan.;Hata, S (corresponding author), Hokkaido Univ, Creat Res Inst, Sapporo, Hokkaido, Japan.</t>
  </si>
  <si>
    <t>hata@lowtem.hokudai.ac.jp</t>
  </si>
  <si>
    <t>ROIS-DS-JOINT [023RP2023]; JST SPRING [JPMJSP2119]</t>
  </si>
  <si>
    <t>ROIS-DS-JOINT; JST SPRING</t>
  </si>
  <si>
    <t>The authors thank Sakae Kudoh for providing insightful information on the lake limnological research in the region and Shin Sugiyama for providing the ALOS/PRISM images and assisting in the photogrammetric analysis of the aerial photographs. The PALSAR-2 SLC data are shared among the ALOS4ice cryospheric science team and are provided under a cooperative research contract (JAXA/EORA3#ER3A2N060); the ownership of the PALSAR-2 data belongs to JAXA. We used TerraSAR-X/TanDEM-X data that were provided by the German Aerospace Centre (DLR) within the framework of an approved proposal (ID XTI_GLAC6706). The authors extend a special thanks to the field members who took the aerial photographs during JARE-1/6/10/12/24/32/34/41 and the field members who conducted field observations in Skarvsnes during JARE59. We thank scientific editor Shiqiao Zhou and five anonymous reviewers for providing constructive comments that greatly improved the manuscript. This work was supported by ROIS-DS-JOINT (023RP2023), and S.H. was supported by JST SPRING, Grant Number JPMJSP2119 (2021-2022).</t>
  </si>
  <si>
    <t>10.1038/s41598-023-47522-w</t>
  </si>
  <si>
    <t>WOS:001144297500037</t>
  </si>
  <si>
    <t>Gardiner, NB; Gilbert, N; Liggett, D</t>
  </si>
  <si>
    <t>Gardiner, Natasha Blaize; Gilbert, Neil; Liggett, Daniela</t>
  </si>
  <si>
    <t>Taming a 'fuzzy beast'? stakeholder perspectives on Antarctic science-policy knowledge exchange practices in New Zealand</t>
  </si>
  <si>
    <t>ENVIRONMENTAL SCIENCE; INTERFACE; IMPACT; GOVERNANCE; PRINCIPLES; EVOLUTION; CLAIMS; GUIDE</t>
  </si>
  <si>
    <t>Antarctic environmental change is accelerating with significant regional and global consequences making it critically important for Antarctic research knowledge to inform relevant policymaking forums. A key challenge is maximising the utility of evidence in decision-making, to which scholars have responded by shifting away from linear science-policy arrangements towards co-production alternatives. As an Antarctic Treaty Consultative Party (ATCP), New Zealand (NZ) is responsible for facilitating knowledge exchange (KE) among Antarctic science and policy actors at national and international levels. However, at present, we have few metrics for assessing the success of science-policy dialogues. Furthermore, studies on the Antarctic science-policy interface have so far primarily focused on the international perspective. This paper is the first to examine domestic stakeholder perspectives regarding Antarctic KE using NZ as a case study. We report on the findings of two workshops involving over 60 NZ Antarctic stakeholders in 2021 that aimed to explore the various elements of NZ's Antarctic science-policy interface and identify barriers or drivers for success, including future opportunities. Our results indicate that there is a desire to shift away from the current linear approach towards a more collaborative model. To achieve this, stakeholders share an understanding that KE practices need to become more equitable, inclusive and diverse, and that the policy community needs to play a more proactive and leading role. Described as a 'fuzzy beast', the NZ Antarctic science-policy interface is complex. This study contributes to our understanding of Antarctic KE practices by offering new guidance on several key elements that should be considered in any attempts to understand or improve future KE practices in NZ or within the domestic settings of other ATCPs interested in fostering science-policy success.</t>
  </si>
  <si>
    <t>[Gardiner, Natasha Blaize; Gilbert, Neil; Liggett, Daniela] Univ Canterbury, Ctr Antarctic Studies &amp; Res, Sch Earth &amp; Environm, Gateway Antarct, Christchurch, New Zealand; [Gardiner, Natasha Blaize; Gilbert, Neil] Antarct New Zealand, Christchurch, New Zealand; [Gilbert, Neil] Constantia Consulting Ltd, Christchurch, New Zealand</t>
  </si>
  <si>
    <t>University of Canterbury</t>
  </si>
  <si>
    <t>Gardiner, NB (corresponding author), Univ Canterbury, Ctr Antarctic Studies &amp; Res, Sch Earth &amp; Environm, Gateway Antarct, Christchurch, New Zealand.;Gardiner, NB (corresponding author), Antarct New Zealand, Christchurch, New Zealand.</t>
  </si>
  <si>
    <t>Natasha.gardiner@pg.canterbury.ac.nz</t>
  </si>
  <si>
    <t>Liggett, Daniela/0000-0003-4184-5205; Gardiner, Natasha/0000-0002-2743-3039</t>
  </si>
  <si>
    <t>Antarctic Science Platform; Southern Ocean Conservation' (Ant-ICON) Scientific Research Programme of the Scientific Committee on Antarctic Research (SCAR)</t>
  </si>
  <si>
    <t>A huge thank you to all of the workshop participants and our colleagues who volunteered as breakout group facilitators at workshop 1. Special thanks to Timo Maas for the comments that he kindly provided on a previous version of this manuscript. Thanks to Seth Skyora-Bodie for his advice on methods in the early stages of workshop planning. Thank you Antarctica New Zealand for including workshop 1 in the 2021 NZ Antarctic Science Conference. We are grateful for the helpful feedback provided by the anonymous reviewers of this paper, which served to enrich its quality. This paper contributes to the 'Integrated Science to Inform Antarctic and Southern Ocean Conservation' (Ant-ICON) Scientific Research Programme of the Scientific Committee on Antarctic Research (SCAR), in particular its Synthesis Theme 1.</t>
  </si>
  <si>
    <t>e0294063</t>
  </si>
  <si>
    <t>10.1371/journal.pone.0294063</t>
  </si>
  <si>
    <t>CI0L9</t>
  </si>
  <si>
    <t>WOS:001124506000045</t>
  </si>
  <si>
    <t>Nielsen, EB; Katurji, M; Zawar-Reza, P; Meyer, H</t>
  </si>
  <si>
    <t>Nielsen, Eva Bendix; Katurji, Marwan; Zawar-Reza, Peyman; Meyer, Hanna</t>
  </si>
  <si>
    <t>Antarctic daily mesoscale air temperature dataset derived from MODIS land and ice surface temperature</t>
  </si>
  <si>
    <t>MCMURDO DRY VALLEYS; REGIONAL CLIMATE; VARIABILITY; SHEET; MELT; GREENLAND; MODEL; WINDS</t>
  </si>
  <si>
    <t>Knowledge about local air temperature variations and extremes in Antarctica is of large interest to many polar disciplines such as climatology, glaciology, hydrology, and ecology and it is a key variable to understand climate change. Due to the remote and harsh conditions of Antarctica's environment, the distribution of air temperature observations from Automatic Weather Stations is notably sparse across the region. Previous studies have shown that satellite-derived land and ice surface temperatures can be used as a suitable proxy for air temperature. Here, we developed a daily near-surface air temperature dataset, AntAir ICE for terrestrial Antarctica and the surrounding ice shelves by modelling air temperature from MODIS skin temperature for the period 2003 to 2021 using a linear model. AntAir ICE has a daily temporal resolution and a gridded spatial resolution of 1 km2. AntAir ICE has a higher accuracy in reproducing in-situ measured air temperature when compared with the well-established climate re-analysis model ERA5 and a higher spatial resolution which highlights its potential for monitoring temperature patterns in Antarctica.</t>
  </si>
  <si>
    <t>[Nielsen, Eva Bendix; Katurji, Marwan; Zawar-Reza, Peyman] Univ Canterbury, Sch Earth &amp; Environm, Ctr Atmospher Res, Christchurch, New Zealand; [Meyer, Hanna] Univ Munster, Inst Landscape Ecol, Munster, Germany</t>
  </si>
  <si>
    <t>University of Canterbury; University of Munster</t>
  </si>
  <si>
    <t>Nielsen, EB (corresponding author), Univ Canterbury, Sch Earth &amp; Environm, Ctr Atmospher Res, Christchurch, New Zealand.</t>
  </si>
  <si>
    <t>eva.nielsen@pg.canterbury.ac.nz</t>
  </si>
  <si>
    <t>Bendix Nielsen, Eva/0000-0002-6888-6675; Katurji, Marwan/0000-0002-3368-1469</t>
  </si>
  <si>
    <t>New Zealand Antarctic Science Platform; Royal Society of New Zealand [ANTA1801]; [RDF-UOC1701]</t>
  </si>
  <si>
    <t>New Zealand Antarctic Science Platform; Royal Society of New Zealand(Royal Society of New Zealand);</t>
  </si>
  <si>
    <t>The authors appreciate the contribution of weather station data from Meteo-Climatological Observatory of Italy, the Long-Term Ecological Research program, the United States Department of Agriculture or the Antarctic Meteorological Research Center at the University of Wisconsin, Institute for Marine and Atmospheric Research, Utrecht University and Antarctic Climate Data Collected by Australian Agencies. This research was supported by the New Zealand Antarctic Science Platform (ANTA1801, program: Projecting Ross Sea Region Ecosystem Changes in a Warming World). This work was also co-funded by Royal Society of New Zealand grant number RDF-UOC1701 This study was conducted using the Palma II HPC system from the University of Muenster.</t>
  </si>
  <si>
    <t>10.1038/s41597-023-02720-z</t>
  </si>
  <si>
    <t>Z7UL2</t>
  </si>
  <si>
    <t>WOS:001114090000001</t>
  </si>
  <si>
    <t>Wang, XY; Randel, W; Zhu, YQ; Tilmes, S; Starr, J; Yu, WD; Garcia, R; Toon, OB; Park, M; Kinnison, D; Zhang, J; Bourassa, A; Rieger, L; Warnock, T; Li, JHY</t>
  </si>
  <si>
    <t>Wang, Xinyue; Randel, William; Zhu, Yunqian; Tilmes, Simone; Starr, Jon; Yu, Wandi; Garcia, Rolando; Toon, Owen B.; Park, Mijeong; Kinnison, Douglas; Zhang, Jun; Bourassa, Adam; Rieger, Landon; Warnock, Taran; Li, Jianghanyang</t>
  </si>
  <si>
    <t>Stratospheric Climate Anomalies and Ozone Loss Caused by the Hunga Tonga-Hunga Ha'apai Volcanic Eruption</t>
  </si>
  <si>
    <t>WATER-VAPOR; DEPLETION</t>
  </si>
  <si>
    <t>The Hunga Tonga-Hunga Ha'apai (HTHH) volcanic eruption in January 2022 injected unprecedented amounts of water vapor (H2O) and a moderate amount of the aerosol precursor sulfur dioxide (SO2) into the Southern Hemisphere (SH) tropical stratosphere. The H2O and aerosol perturbations have persisted during 2022 and early 2023 and dispersed throughout the atmosphere. Observations show large-scale SH stratospheric cooling, equatorward shift of the Antarctic polar vortex and slowing of the Brewer-Dobson circulation. Satellite observations show substantial ozone reductions over SH winter midlatitudes that coincide with the largest circulation anomalies. Chemistry-climate model simulations forced by realistic HTHH inputs of H2O and SO2 qualitatively reproduce the observed evolution of the H2O and aerosol plumes over the first year, and the model exhibits stratospheric cooling, circulation changes and ozone effects similar to observed behavior. The agreement demonstrates that the observed stratospheric changes are caused by the HTHH volcanic influences.</t>
  </si>
  <si>
    <t>[Wang, Xinyue; Toon, Owen B.] Univ Colorado Boulder, Dept Atmospher &amp; Ocean Sci, Boulder, CO 80309 USA; [Wang, Xinyue; Randel, William; Tilmes, Simone; Starr, Jon; Garcia, Rolando; Park, Mijeong; Kinnison, Douglas; Zhang, Jun] Natl Ctr Atmospher Res, Atmospher Chem Observat &amp; Modeling Lab, Boulder, CO 80305 USA; [Zhu, Yunqian; Li, Jianghanyang] Univ Colorado Boulder, Cooperat Inst Res Environm Sci, Boulder, CO USA; [Zhu, Yunqian; Toon, Owen B.] Univ Colorado Boulder, Lab Atmospher &amp; Space Phys, Boulder, CO USA; [Zhu, Yunqian] NOAA, Chem Sci Lab, Boulder, CO USA; [Yu, Wandi] Hampton Univ, Dept Atmospher &amp; Planetary Sci, Hampton, VA USA; [Yu, Wandi] Lawrence Livermore Natl Lab, Livermore, CA USA; [Bourassa, Adam; Rieger, Landon; Warnock, Taran] Univ Saskatchewan, Inst Space &amp; Atmospher Studies, Saskatoon, SK, Canada; [Li, Jianghanyang] Univ Colorado Boulder, Inst Arctic &amp; Alpine Res, Boulder, CO USA</t>
  </si>
  <si>
    <t>University of Colorado System; University of Colorado Boulder; National Center Atmospheric Research (NCAR) - USA; University of Colorado System; University of Colorado Boulder; University of Colorado System; University of Colorado Boulder; National Oceanic Atmospheric Admin (NOAA) - USA; Hampton University; United States Department of Energy (DOE); Lawrence Livermore National Laboratory; University of Saskatchewan; University of Colorado System; University of Colorado Boulder</t>
  </si>
  <si>
    <t>Wang, XY (corresponding author), Univ Colorado Boulder, Dept Atmospher &amp; Ocean Sci, Boulder, CO 80309 USA.;Wang, XY (corresponding author), Natl Ctr Atmospher Res, Atmospher Chem Observat &amp; Modeling Lab, Boulder, CO 80305 USA.</t>
  </si>
  <si>
    <t>xinyuew@colorado.edu</t>
  </si>
  <si>
    <t>Tilmes, Simone/JUV-6618-2023; Randel, William/K-3267-2016</t>
  </si>
  <si>
    <t>Tilmes, Simone/0000-0002-6557-3569; Wang, Xinyue/0000-0003-1848-1933; Li, Jianghanyang/0000-0003-4965-0031; Kinnison, Douglas/0000-0002-3418-0834; Randel, William/0000-0002-5999-7162; TOON, OWEN/0000-0002-1394-3062</t>
  </si>
  <si>
    <t>NOAA's Earth Radiation Budget (ERB) Initiative (CPO); NOAA [03-01-07-001]; NASA Aura Science Team [NA17OAR4320101, NA22OAR4320151]; NSF [80NSSC20K0928]; US Department of Energy (DOE) by Lawrence Livermore National Laboratory [AGS 1853932]; NSF via NCAR's Advanced Study Program Postdoctoral Fellowship [DE-AC52-07NA27344]; National Science Foundation; National Center for Atmospheric Research - NSF; [1852977]</t>
  </si>
  <si>
    <t>NOAA's Earth Radiation Budget (ERB) Initiative (CPO); NOAA(National Oceanic Atmospheric Admin (NOAA) - USA); NASA Aura Science Team; NSF(National Science Foundation (NSF)); US Department of Energy (DOE) by Lawrence Livermore National Laboratory(United States Department of Energy (DOE)); NSF via NCAR's Advanced Study Program Postdoctoral Fellowship; National Science Foundation(National Science Foundation (NSF)); National Center for Atmospheric Research - NSF(National Science Foundation (NSF)NSF - Directorate for Geosciences (GEO));</t>
  </si>
  <si>
    <t>This project received funding from NOAA's Earth Radiation Budget (ERB) Initiative (CPO #03-01-07-001). This research was supported in part by NOAA cooperative agreements NA17OAR4320101 and NA22OAR4320151, and by the NASA Aura Science Team under Grant 80NSSC20K0928. OBT was supported by NSF Award AGS 1853932. The work contribution of WY was performed under the auspices of the US Department of Energy (DOE) by Lawrence Livermore National Laboratory under contract no. DE-AC52-07NA27344. JZ is supported by the NSF via NCAR's Advanced Study Program Postdoctoral Fellowship. The authors thank Drs Nathaniel Livesey, Michelle Santee, Paul Newman, Holger Voemel, Karen Rosenlof, Robert Portmann, and Ewa Bednarz for helpful discussions. NCAR's Community Earth System Model project is supported primarily by the National Science Foundation. This material is based upon work supported by the National Center for Atmospheric Research, which is a major facility sponsored by the NSF under Cooperative Agreement No. 1852977. Computing and data storage resources, including the Cheyenne supercomputer (https://doi.org/10.5065/D6RX99HX), were provided by the Computational and Information Systems Laboratory (CISL) at NCAR.</t>
  </si>
  <si>
    <t>e2023JD039480</t>
  </si>
  <si>
    <t>10.1029/2023JD039480</t>
  </si>
  <si>
    <t>Z0SL0</t>
  </si>
  <si>
    <t>WOS:001109265700001</t>
  </si>
  <si>
    <t>Cody, GD; Alexander, CMO; Foustoukos, DI; Busemann, H; Eckley, S; Burton, AS; Berger, EL; Nuevo, M; Sandford, SA; Glavin, DP; Dworkin, JP; Connolly, HC; Lauretta, DS</t>
  </si>
  <si>
    <t>Cody, George D.; Alexander, Conel M. O'D.; Foustoukos, Dionysis I.; Busemann, Henner; Eckley, Scott; Burton, Aaron S.; Berger, Eve L.; Nuevo, Michael; Sandford, Scott A.; Glavin, Daniel P.; Dworkin, Jason P.; Connolly, Harold C.; Lauretta, Dante S.</t>
  </si>
  <si>
    <t>The nature of insoluble organic matter in Sutter's Mill and Murchison carbonaceous chondrites: Testing the effect of x-ray computed tomography and exploring parent body organic molecular evolution</t>
  </si>
  <si>
    <t>METEORITICS &amp; PLANETARY SCIENCE</t>
  </si>
  <si>
    <t>PRIMORDIAL NOBLE-GASES; TAGISH LAKE; RAMAN-SPECTROSCOPY; CM CHONDRITES; ORIGIN; METEORITE; GRAPHITE; THERMOMETRY; PARTICLES; PLANETARY</t>
  </si>
  <si>
    <t>This study analyzed samples of the Murchison and Sutter's Mill carbonaceous chondrite meteorites in support of the future analysis of samples returned from the asteroid (10155) Bennu by the OSIRIS-REx (Origins, Spectral Interpretation, Resource Identification, and Security-Regolith Explorer) mission. Focusing specifically on the insoluble organic matter (IOM), this study establishes that a total of 1.3 g of bulk sample from a single chondritic meteorite are sufficient to obtain a wide range of cosmochemical information, including light element analysis (H, C, and N), isotopic analysis (D/H, 13C/12C, and 15N/14N), and x-ray fluorescence spectroscopy for major elemental abundances. IOM isolated from the bulk meteorite samples was analyzed by light element and isotopic analysis as described above, 1H and 13C solid-state nuclear magnetic resonance spectroscopy, Raman spectroscopy, and complete noble gas analyses (abundances and isotopes). The samples studied included a pair from Murchison (CM2), one of which had been irradiated with high-energy x-rays in the course of computed tomographic imaging. No differences between the irradiated and non-irradiated Murchison samples were observed in the many different chemical and spectroscopic analyses, indicating that any x-ray-derived sample damage is below levels of detection. Elemental, isotopic, and molecular spectroscopic data derived from IOM isolated from the Sutter's Mill sample reveals evidence that this meteorite falls into the class of heated CM chondrites.</t>
  </si>
  <si>
    <t>[Cody, George D.; Alexander, Conel M. O'D.; Foustoukos, Dionysis I.] Carnegie Inst Sci, Earth &amp; Planets Lab, Washington, DC 20015 USA; [Busemann, Henner] ETH, Inst Geochem &amp; Petrol, Zurich, Switzerland; [Eckley, Scott] NASA Johnson Space Ctr, Jacobs Technol, Houston, TX USA; [Burton, Aaron S.; Berger, Eve L.] NASA Johnson Space Ctr, Houston, TX USA; [Nuevo, Michael; Sandford, Scott A.] NASA, Ames Res Ctr, Moffett Field, CA USA; [Glavin, Daniel P.; Dworkin, Jason P.] NASA, Goddard Space Flight Ctr, Greenbelt, MD 20771 USA; [Connolly, Harold C.] Rowan Univ, Sch Earth &amp; Environm, Dept Geol, Glassboro, NJ USA; [Connolly, Harold C.; Lauretta, Dante S.] Univ Arizona, Lunar &amp; Planetary Lab, Tucson, AZ USA; [Connolly, Harold C.] Amer Museum Nat Hist, Dept Earth &amp; Planetary Sci, New York, NY USA</t>
  </si>
  <si>
    <t>Carnegie Institution for Science; Swiss Federal Institutes of Technology Domain; ETH Zurich; National Aeronautics &amp; Space Administration (NASA); NASA Johnson Space Center; National Aeronautics &amp; Space Administration (NASA); NASA Johnson Space Center; National Aeronautics &amp; Space Administration (NASA); NASA Ames Research Center; National Aeronautics &amp; Space Administration (NASA); NASA Goddard Space Flight Center; Rowan University; University of Arizona; American Museum of Natural History (AMNH)</t>
  </si>
  <si>
    <t>Cody, GD (corresponding author), Carnegie Inst Sci, Earth &amp; Planets Lab, Washington, DC 20015 USA.</t>
  </si>
  <si>
    <t>gcody@carnegiescience.edu</t>
  </si>
  <si>
    <t>Alexander, Conel M. O'D./N-7533-2013; Glavin, Daniel P/D-6194-2012</t>
  </si>
  <si>
    <t>Alexander, Conel M. O'D./0000-0002-8558-1427; Glavin, Daniel P/0000-0001-7779-7765; Eckley, Scott/0000-0002-2692-2164; Busemann, Henner/0000-0002-0867-6908; Cody, George/0000-0003-4176-3648</t>
  </si>
  <si>
    <t>National Aeronautics and Space Administration [80NSSC20K0344, 80NSSC21K0654, 80NSSC19K0559]; NASA Emerging World; NASA [51NF40 205606]; Swiss SNF; Dolores Hill at the Lunar and Planetary Laboratory of the University of Arizona - NSF; Department of Mineral Sciences of the Smithsonian Institution</t>
  </si>
  <si>
    <t>National Aeronautics and Space Administration(National Aeronautics &amp; Space Administration (NASA)); NASA Emerging World; NASA(National Aeronautics &amp; Space Administration (NASA)); Swiss SNF(Swiss National Science Foundation (SNSF)); Dolores Hill at the Lunar and Planetary Laboratory of the University of Arizona - NSF; Department of Mineral Sciences of the Smithsonian Institution</t>
  </si>
  <si>
    <t>We gratefully acknowledge funding from NASA Emerging World grants 80NSSC20K0344, 80NSSC21K0654, and Solar System Workings grant 80NSSC19K0559. This work has also been supported by NASA under Award NNH09ZDA0070 and Contract NNM10AA11C issued through the New Frontiers Program, and Swiss SNF grant 51NF40 205606. We thank Tim McCoy, Curator of Meteorites at the Smithsonian National Museum of Natural History, for the Murchison meteorite sample used for this study, and Dolores Hill at the Lunar and Planetary Laboratory of the University of Arizona for providing the Sutter's Mill meteorite samples. Antarctic meteorite samples are recovered by the Antarctic Search for Meteorites (ANSMET) program, which has been funded by the NSF and NASA, and characterized and curated by the Department of Mineral Sciences of the Smithsonian Institution and the Astromaterials Curation Office at NASA Johnson Space Center. We are grateful to the OSIRIS-REx Sample Organics Analysis Working Group (SOAWG) for feedback on this work and to the entire OSIRIS-REx Team for making the return of samples from asteroid Bennu possible.</t>
  </si>
  <si>
    <t>1086-9379</t>
  </si>
  <si>
    <t>1945-5100</t>
  </si>
  <si>
    <t>METEORIT PLANET SCI</t>
  </si>
  <si>
    <t>Meteorit. Planet. Sci.</t>
  </si>
  <si>
    <t>10.1111/maps.14096</t>
  </si>
  <si>
    <t>GQ1Q7</t>
  </si>
  <si>
    <t>WOS:001108953600001</t>
  </si>
  <si>
    <t>Koffman, BG; Osman, MB; Criscitiello, AS; Guest, S</t>
  </si>
  <si>
    <t>Koffman, Bess G.; Osman, Matthew B.; Criscitiello, Alison S.; Guest, Sofia</t>
  </si>
  <si>
    <t>Collaboration between women helps close the gender gap in ice core science</t>
  </si>
  <si>
    <t>Within ice core science, woman-led studies contain 20% more women co-authors than man-led studies, and exceed the estimated proportion of women within the community by nearly 10%. We conclude that collaboration with other women is a key factor in closing gender gaps in science. Authorship statistics from ice core science suggest that collaboration between women is a key factor in closing gender gaps in scientific publishing.</t>
  </si>
  <si>
    <t>[Koffman, Bess G.] Colby Coll, Dept Geol, Waterville, ME 04901 USA; [Osman, Matthew B.] Univ Cambridge, Dept Geog, Cambridge, England; [Criscitiello, Alison S.; Guest, Sofia] Univ Alberta, Dept Earth &amp; Atmospher Sci, Edmonton, AB, Canada</t>
  </si>
  <si>
    <t>Colby College; University of Cambridge; University of Alberta</t>
  </si>
  <si>
    <t>Koffman, BG (corresponding author), Colby Coll, Dept Geol, Waterville, ME 04901 USA.</t>
  </si>
  <si>
    <t>bkoffman@colby.edu</t>
  </si>
  <si>
    <t>Osman, Matthew/0000-0002-5636-698X; Koffman, Bess/0000-0002-9451-4138; Guest, Sofia/0009-0007-5787-3602; Criscitiello, Alison/0000-0002-8741-709X</t>
  </si>
  <si>
    <t>US National Science Foundation; British Antarctic programmes</t>
  </si>
  <si>
    <t>US National Science Foundation(National Science Foundation (NSF)); British Antarctic programmes</t>
  </si>
  <si>
    <t>We thank the 2022 Ice Core Early-Career Researchers' Workshop (ICECReW), which had support from the US National Science Foundation, for inspiring this effort. We appreciate critical feedback from D. Verhoeven and H. Ewing, which strengthened and clarified the manuscript. We also thank M. Seag, who provided historical context on the US and British Antarctic programmes.</t>
  </si>
  <si>
    <t>10.1038/s41561-023-01315-y</t>
  </si>
  <si>
    <t>EY5I4</t>
  </si>
  <si>
    <t>WOS:001114778300002</t>
  </si>
  <si>
    <t>Lohmann, AC; Morton, JP; Schofield, OM; Nowacek, DP</t>
  </si>
  <si>
    <t>Lohmann, Amanda C.; Morton, Joseph P.; Schofield, Oscar M.; Nowacek, Douglas P.</t>
  </si>
  <si>
    <t>Cyclical prey shortages for a marine polar predator driven by the interaction of climate change and natural climate variability</t>
  </si>
  <si>
    <t>LIMNOLOGY AND OCEANOGRAPHY</t>
  </si>
  <si>
    <t>KRILL EUPHAUSIA-SUPERBA; PENGUIN PYGOSCELIS-ADELIAE; KING-GEORGE-ISLAND; SOUTH SHETLAND ISLANDS; ANTARCTIC KRILL; CHINSTRAP PENGUINS; PALMER LTER; RESPONSES; ECOSYSTEM; FOOD</t>
  </si>
  <si>
    <t>Between 1992 and 2018, the breeding population of Adelie penguins around Anvers Island, Antarctica declined by 98%. In this region, natural climate variability drives five-year cycling in marine phytoplankton productivity, leading to phase-offset five-year cycling in the size of the krill population. We demonstrate that the rate of change of the Adelie breeding population also shows five-year cycling. We link this population response to cyclical krill scarcity, a phenomenon which appears to have arisen from the interaction between climate variability and climate change trends. Modeling suggests that, since at least 1980, natural climate variability has driven cycling in this marine system. However, anthropogenic climate change has shifted conditions so that fewer years in each cycle now prompt strong krill recruitment, triggering intervals of krill scarcity that result in drastic declines in Adelie penguins. Our results imply that climate change can amplify the impacts of natural climate oscillations across trophic levels, driving cycling across species and disrupting food webs. The findings indicate that climate variability plays an integral role in driving ecosystem dynamics under climate change.</t>
  </si>
  <si>
    <t>[Lohmann, Amanda C.; Morton, Joseph P.; Nowacek, Douglas P.] Duke Univ Marine Lab, Dept Marine Sci &amp; Conservat, Beaufort, NC 28516 USA; [Morton, Joseph P.] Univ Florida, Dept Environm Engn Sci, Gainesville, FL USA; [Schofield, Oscar M.] Rutgers State Univ, Dept Marine &amp; Coastal Sci, New Brunswick, NJ USA</t>
  </si>
  <si>
    <t>State University System of Florida; University of Florida; Rutgers University System; Rutgers University New Brunswick</t>
  </si>
  <si>
    <t>Lohmann, AC (corresponding author), Duke Univ Marine Lab, Dept Marine Sci &amp; Conservat, Beaufort, NC 28516 USA.</t>
  </si>
  <si>
    <t>amanda.lohmann@duke.edu</t>
  </si>
  <si>
    <t>Schofield, Oscar/H-4169-2018</t>
  </si>
  <si>
    <t>Schofield, Oscar/0000-0003-2359-4131; Lohmann, Amanda/0000-0003-2510-5055; Nowacek, Douglas/0000-0002-8137-1836</t>
  </si>
  <si>
    <t>Division of Graduate Education [NSF GRFP DGE 1644868]; NSF Graduate Research Fellowship [1440435]; NSF OPP Integrated Systems Science Program</t>
  </si>
  <si>
    <t>Division of Graduate Education(National Science Foundation (NSF)NSF - Directorate for STEM Education (EDU)); NSF Graduate Research Fellowship(National Science Foundation (NSF)); NSF OPP Integrated Systems Science Program</t>
  </si>
  <si>
    <t>We thank all who have worked on the Palmer LTER project for their roles in collecting and curating the data used here. We thank the British Antarctic Survey and Angus Atkinson and colleagues for providing KRILLBASE to the research community. We thank Andrew Read, Dana Wright, and Catherine Chen for useful comments on the manuscript. This research was supported by an NSF Graduate Research Fellowship (NSF GRFP DGE 1644868) to ACL and by NSF OPP Integrated Systems Science Program Award No. 1440435 to OMS for the Palmer LTER.</t>
  </si>
  <si>
    <t>0024-3590</t>
  </si>
  <si>
    <t>1939-5590</t>
  </si>
  <si>
    <t>LIMNOL OCEANOGR</t>
  </si>
  <si>
    <t>Limnol. Oceanogr.</t>
  </si>
  <si>
    <t>10.1002/lno.12453</t>
  </si>
  <si>
    <t>Limnology; Oceanography</t>
  </si>
  <si>
    <t>EE8F7</t>
  </si>
  <si>
    <t>WOS:001108717900001</t>
  </si>
  <si>
    <t>Goddard, PB; Kravitz, B; MacMartin, DG; Visioni, D; Bednarz, EM; Lee, WR</t>
  </si>
  <si>
    <t>Goddard, P. B.; Kravitz, B.; MacMartin, D. G.; Visioni, D.; Bednarz, E. M.; Lee, W. R.</t>
  </si>
  <si>
    <t>Stratospheric Aerosol Injection Can Reduce Risks to Antarctic Ice Loss Depending on Injection Location and Amount</t>
  </si>
  <si>
    <t>SAI; geoengineering; Antarctica</t>
  </si>
  <si>
    <t>CIRCUMPOLAR DEEP-WATER; SOUTH AMERICAN MODES; SEA-LEVEL RISE; WEST ANTARCTICA; SULFUR INJECTIONS; CONTINENTAL-SHELF; ANNULAR MODE; PINE ISLAND; LARGE-SCALE; CLIMATE</t>
  </si>
  <si>
    <t>Owing to increasing greenhouse gas emissions, the Antarctic Ice Sheet is vulnerable to rapid ice loss in the upcoming decades and centuries. This study examines the effectiveness of using stratospheric aerosol injection (SAI) that minimizes global mean temperature (GMT) change to slow projected 21st century Antarctic ice loss. We simulate 11 different SAI cases which vary by the latitudinal location(s) and the amount(s) of the injection(s) to examine the climatic response near Antarctica in each case as compared to the reference climate at the turn of the last century. We demonstrate that injecting at a single latitude in the northern hemisphere or at the Equator increases Antarctic shelf ocean temperatures pertinent to ice shelf basal melt, while injecting only in the southern hemisphere minimizes this temperature change. We use these results to analyze the results of more complex multi-latitude injection strategies that maintain GMT at or below 1.5 degrees C above the pre-industrial. All these multi-latitude cases will slow Antarctic ice loss relative to the mid-to-late 21st century SSP2-4.5 emissions pathway. Yet, to avoid a GMT threshold estimated by previous studies pertaining to rapid West Antarctic ice loss (1.5 degrees C above the pre-industrial GMT, though large uncertainty), our study suggests SAI would need to cool about 1.0 degrees C below this threshold and predominately inject at low southern hemisphere latitudes (similar to 15 degrees S - 30 degrees S). These results highlight the complexity of factors impacting the Antarctic response to SAI and the critical role of the injection strategy in preventing future ice loss.Large portions of the Antarctic ice sheet are imminently vulnerable to melting as global temperatures rise over the 21st century. This melt would lead to consequential sea level rise intensifying coastal flooding and causing large economic and ecological costs. One idea to slow global warming and limit such climate risks, is to deliberately cool the planet by placing reflective particles in the atmosphere to deflect sunlight before it warms the Earth's surface. This idea is called stratospheric aerosol injection (SAI). Here, our computer simulations show that Antarctic ice loss can be slowed by using SAI, however, the results depend on the location of the aerosol injection (Equator, tropics, or high latitudes). We show that putting the particles between 30 degrees N and 30 degrees S with the majority placed in the southern hemisphere has the best potential to slow 21st century Antarctic ice loss in our computer simulations. This study is an example of how various SAI strategies (such as, where to put these particles) can lead to very different regional climate impacts-a result that decision makers must thoroughly consider.</t>
  </si>
  <si>
    <t>[Goddard, P. B.; Kravitz, B.] Indiana Univ, Bloomington, IN 47405 USA; [Kravitz, B.] Pacific Northwest Natl Lab, Richland, WA USA; [MacMartin, D. G.; Bednarz, E. M.; Lee, W. R.] Cornell Univ, Sibley Sch Mech &amp; Aerosp Engn, Ithaca, NY USA; [Visioni, D.] Cornell Univ, Dept Earth &amp; Atmospher Sci, Ithaca, NY USA; [Bednarz, E. M.] Univ Colorado, CIRES, Boulder, CO USA; [Bednarz, E. M.] NOAA, Chem Sci Lab, Boulder, CO USA; [Lee, W. R.] Natl Ctr Atmospher Res, Climate &amp; Global Dynam Div, Boulder, CO USA</t>
  </si>
  <si>
    <t>Indiana University System; Indiana University Bloomington; United States Department of Energy (DOE); Pacific Northwest National Laboratory; Cornell University; Cornell University; University of Colorado System; University of Colorado Boulder; National Oceanic Atmospheric Admin (NOAA) - USA; National Center Atmospheric Research (NCAR) - USA</t>
  </si>
  <si>
    <t>Goddard, PB (corresponding author), Indiana Univ, Bloomington, IN 47405 USA.</t>
  </si>
  <si>
    <t>pgoddard@iu.edu</t>
  </si>
  <si>
    <t>Kravitz, Ben/P-7925-2014; MacMartin, Douglas/A-6333-2016</t>
  </si>
  <si>
    <t>Kravitz, Ben/0000-0001-6318-1150; Bednarz, Ewa Monika/0000-0002-7441-0497; MacMartin, Douglas/0000-0003-1987-9417; Goddard, Paul/0000-0002-4954-8988; Lee, Walker/0000-0003-0671-8083</t>
  </si>
  <si>
    <t>This research was supported in part by Lilly Endowment, Inc., through its support for the Indiana University Pervasive Technology Institute. Support for BK was provided in part by the National Science Foundation through agreement SES-1754740, NOAAapos;s C; Lilly Endowment, Inc. [CBET-2038246, NA22OAR4320151]; National Science Foundation [NA22OAR4310479]; NOAAapos;s Climate Program Office, Earthapos;s Radiation Budget; Indiana University Environmental Resilience Institute [DE-AC05-76RL01830]; US Department of Energy by Battelle Memorial Institute; Atkinson Center for Sustainability at Cornell University; NOAA Earthapos;s Radiative Budget initiative</t>
  </si>
  <si>
    <t>This research was supported in part by Lilly Endowment, Inc., through its support for the Indiana University Pervasive Technology Institute. Support for BK was provided in part by the National Science Foundation through agreement SES-1754740, NOAAapos;s C; Lilly Endowment, Inc.; National Science Foundation(National Science Foundation (NSF)); NOAAapos;s Climate Program Office, Earthapos;s Radiation Budget; Indiana University Environmental Resilience Institute; US Department of Energy by Battelle Memorial Institute(United States Department of Energy (DOE)); Atkinson Center for Sustainability at Cornell University; NOAA Earthapos;s Radiative Budget initiative</t>
  </si>
  <si>
    <t>This research was supported in part by Lilly Endowment, Inc., through its support for the Indiana University Pervasive Technology Institute. Support for BK was provided in part by the National Science Foundation through agreement SES-1754740, NOAA &amp; apos;s Climate Program Office, Earth &amp; apos;s Radiation Budget (Grant NA22OAR4310479), and the Indiana University Environmental Resilience Institute. The Pacific Northwest National Laboratory is operated for the US Department of Energy by Battelle Memorial Institute under contract DE-AC05-76RL01830. We would like to acknowledge high-performance computing support from Cheyenne () provided by NCAR &amp; apos;s Computational and Information Systems Laboratory, sponsored by the National Science Foundation. Support was also provided by the Atkinson Center for Sustainability at Cornell University, and by the National Science Foundation through agreement CBET-2038246. EMB also acknowledges support from the NOAA cooperative agreement NA22OAR4320151 and the NOAA Earth &amp; apos;s Radiative Budget initiative.</t>
  </si>
  <si>
    <t>e2023JD039434</t>
  </si>
  <si>
    <t>10.1029/2023JD039434</t>
  </si>
  <si>
    <t>Y4SC4</t>
  </si>
  <si>
    <t>WOS:001105165500001</t>
  </si>
  <si>
    <t>Godin, OA; Zabotin, NA; Zabotina, L</t>
  </si>
  <si>
    <t>Godin, Oleg A.; Zabotin, Nikolay A.; Zabotina, Liudmila</t>
  </si>
  <si>
    <t>Atmospheric Wave Radiation by Vibrations of an Ice Shelf</t>
  </si>
  <si>
    <t>acoustic-gravity waves; Ross Ice Shelf; air-sea-ice interaction</t>
  </si>
  <si>
    <t>ACOUSTIC-GRAVITY WAVES; LIDAR OBSERVATIONS; PROPAGATION; COMPUTATION; PERIODS; MIDDLE; MODEL</t>
  </si>
  <si>
    <t>Lidar and radar observations of persistent atmospheric wave activity in the Antarctic atmosphere motivate investigation of generation of acoustic-gravity waves (AGWs) by vibrations of ice shelves and exploiting their possible ionospheric manifestations as a source of information about the ice shelves' conditions and stability. A mathematical model of the waves radiated by vibrations of a finite area of the lower boundary of the atmosphere is developed in this paper by extending to AGWs an efficient, numerically exact approach that was originally developed in seismology and underwater acoustics. The model represents three-dimensional wave fields as Fourier integrals of numerical or analytical solutions of a one-dimensional wave equation and accounts for the source directionality, AGW refraction and diffraction, and the wind-induced anisotropy of wave dissipation. Application of the model to the generation of atmospheric waves in Antarctica by free vibrations of the Ross Ice Shelf reveals a complex three-dimensional structure of the AGW field and elucidates the impact of various environmental factors on the wave field. The intricate variation of the wave amplitude with altitude and in the horizontal plane is shaped by the spatial spectrum of the ice surface vibrations and the temperature and wind velocity stratification from the troposphere to the mesosphere. It is found that the waves due to the low-order modes of the free oscillations of the Ross Ice Shelf, which have periods of the order of several hours, can transport energy to the middle and upper atmosphere in a wide range of directions from near-horizontal to near-vertical. Plain Language Summary This research paper paves the way to infer the conditions and stability of ice shelves in Antarctica by looking at unusual wave activity in the atmosphere. The researchers have developed a mathematical model to understand how these waves, called acoustic-gravity waves (AGWs), are created by the vibrations of ice shelves. The model is based on a method previously used in seismology and underwater acoustics and accounts for various factors that affect the waves, such as the properties of the source, the way the waves bend and spread due to wind, and how they dissipate. The researchers applied this model to study the atmospheric waves generated by vibrations of the Ross Ice Shelf in Antarctica. The results show a complex 3D structure of the AGW field, highlighting the impact of different environmental factors on the wave activity. The variation in wave amplitude depends on the ice surface vibrations and the temperature and wind conditions at different heights in the atmosphere. The study found that waves with periods of several hours can transfer energy from the ice shelf to the middle and upper atmosphere in various directions. This new approach could help scientists better understand the conditions and stability of ice shelves in the future.</t>
  </si>
  <si>
    <t>[Godin, Oleg A.] Naval Postgrad Sch, Dept Phys, Monterey, CA 93943 USA; [Zabotin, Nikolay A.; Zabotina, Liudmila] Univ Colorado Boulder, Dept Elect Comp &amp; Energy Engn, Boulder, CO USA</t>
  </si>
  <si>
    <t>United States Department of Defense; United States Navy; Naval Postgraduate School; University of Colorado System; University of Colorado Boulder</t>
  </si>
  <si>
    <t>Godin, OA (corresponding author), Naval Postgrad Sch, Dept Phys, Monterey, CA 93943 USA.</t>
  </si>
  <si>
    <t>oagodin@nps.edu</t>
  </si>
  <si>
    <t>ZABOTIN, NIKOLAY/A-9639-2015; Godin, Oleg/E-6554-2011</t>
  </si>
  <si>
    <t>ZABOTIN, NIKOLAY/0000-0003-0715-1082; Godin, Oleg/0000-0003-4599-2149</t>
  </si>
  <si>
    <t>The research reported in this paper was supported by the National Science Foundation, award OPP-1643119. The authors are grateful to three anonymous reviewers for their thoughtful comments and suggestions, which helped us to improve the presentation. [OPP-1643119]; National Science Foundation</t>
  </si>
  <si>
    <t>The research reported in this paper was supported by the National Science Foundation, award OPP-1643119. The authors are grateful to three anonymous reviewers for their thoughtful comments and suggestions, which helped us to improve the presentation.; National Science Foundation(National Science Foundation (NSF))</t>
  </si>
  <si>
    <t>The research reported in this paper was supported by the National Science Foundation, award OPP-1643119. The authors are grateful to three anonymous reviewers for their thoughtful comments and suggestions, which helped us to improve the presentation.</t>
  </si>
  <si>
    <t>e2023JD039121</t>
  </si>
  <si>
    <t>10.1029/2023JD039121</t>
  </si>
  <si>
    <t>Y1WD8</t>
  </si>
  <si>
    <t>WOS:001103232400001</t>
  </si>
  <si>
    <t>Feyzioglu, AM; Terzi, Y; Öztürk, RÇ; Basar, E; Yildiz, I; Agirbas, E</t>
  </si>
  <si>
    <t>Feyzioglu, Ali Muzaffer; Terzi, Yahya; Ozturk, Rafet Cagri; Basar, Ersan; Yildiz, Ilknur; Agirbas, Ertugrul</t>
  </si>
  <si>
    <t>Flow cytometric investigation and comparison of Synechococcus spp. pico-, nano- and microplankton in the Arctic and Antarctic polar regions during the summer period of 2019</t>
  </si>
  <si>
    <t>MARINE BIOLOGY RESEARCH</t>
  </si>
  <si>
    <t>Antarctica; Arctic; picoplankton; nanoplankton; microplankton; flow cytometry</t>
  </si>
  <si>
    <t>CLIMATE-CHANGE; SEASONAL OCCURRENCE; PHYTOPLANKTON; WATER; PICOPHYTOPLANKTON; PICOPLANKTON; ABUNDANCE; PICOCYANOBACTERIA; CYANOBACTERIA; TEMPERATURE</t>
  </si>
  <si>
    <t>In the present study, Synechococcus spp. pico-, nano- and microplankton community compositions in the Arctic and Antarctic surface coastal waters were compared during the summer of 2019 using flow cytometry. The average surface water temperatures in Antarctica and the Arctic were -0.29 +/- 0.28 degrees C and 3.71 +/- 0.71 degrees C, respectively. While plankton abundance in Antarctica exhibited a relative increase with temperature, plankton abundance in the Arctic exhibited a relative decrease with temperature. However, no significant correlation was found between plankton abundance and temperature. Synechococcus spp. cell abundance dominated in both polar regions, followed by picoeukaryotes, microautotrophs and nanoeukaryotes. Overall, plankton abundance across sampling sites was highly variable. In Antarctica, the abundance of Synechococcus spp., picoeukaryotes, nanoeukaryotes and microautotrophs were the highest in S4 (151,400 cells/ml), S1 (2180 cells/ml), S2 (1080 cells/ml) and S4 (6100 cells/ml), respectively. On the other hand, the most abundant stations in the Arctic in terms of Synechococcus spp., picoeukaryotes, nanoeukaryotes and microautotrophs were N2 (19600 cells/ml), N3 (6400 cells/ml), N3 (500 cells/ml) and N4 (6100 cells/ml), respectively. While Synechococcus spp. and nanoeukaryote abundance were higher in Antarctica, only Synechococcus spp. abundance was significantly higher in Antarctica.</t>
  </si>
  <si>
    <t>[Feyzioglu, Ali Muzaffer] Karadeniz Tech Univ, Fac Marine Sci, Dept Marine Sci &amp; Technol Engn, Trabzon, Turkiye; [Terzi, Yahya; Ozturk, Rafet Cagri] Karadeniz Tech Univ, Fac Marine Sci, Dept Fisheries Technol Engn, Trabzon, Turkiye; [Basar, Ersan] Karadeniz Tech Univ, Trabzon, Turkiye; [Yildiz, Ilknur] Karadeniz Tech Univ, Trabzon, Turkiye; [Agirbas, Ertugrul] Recep Tayyip Erdogan Univ, Fac Fisheries, Dept Marine Biol, Rize, Turkiye</t>
  </si>
  <si>
    <t>Karadeniz Technical University; Karadeniz Technical University; Karadeniz Technical University; Karadeniz Technical University; Recep Tayyip Erdogan University</t>
  </si>
  <si>
    <t>Feyzioglu, AM (corresponding author), Karadeniz Tech Univ, Fac Marine Sci, Dept Marine Sci &amp; Technol Engn, Trabzon, Turkiye.</t>
  </si>
  <si>
    <t>mufeyzioglu@gmail.com</t>
  </si>
  <si>
    <t>Terzi, Yahya/CAC-0027-2022</t>
  </si>
  <si>
    <t>Terzi, Yahya/0000-0002-6367-5000; OZTURK, Rafet Cagri/0000-0003-1785-4056; Basar, Ersan/0000-0002-1458-4102</t>
  </si>
  <si>
    <t>Turkiye Bilimsel ve Teknolojik Arastimath;rma Kurumu</t>
  </si>
  <si>
    <t>This work was supported by Turkiye Bilimsel ve Teknolojik Arast &amp; imath;rma Kurumu.</t>
  </si>
  <si>
    <t>TAYLOR &amp; FRANCIS AS</t>
  </si>
  <si>
    <t>OSLO</t>
  </si>
  <si>
    <t>KARL JOHANS GATE 5, NO-0154 OSLO, NORWAY</t>
  </si>
  <si>
    <t>1745-1000</t>
  </si>
  <si>
    <t>1745-1019</t>
  </si>
  <si>
    <t>MAR BIOL RES</t>
  </si>
  <si>
    <t>Mar. Biol. Res.</t>
  </si>
  <si>
    <t>NOV 26</t>
  </si>
  <si>
    <t>10.1080/17451000.2023.2299995</t>
  </si>
  <si>
    <t>IR0I5</t>
  </si>
  <si>
    <t>WOS:001155959100001</t>
  </si>
  <si>
    <t>Paredes-Molina, FJ; Chaparro, OR; Navarro, JM; Cubillos, VM; Paschke, K; Márquez, F; Averbuj, A; Zabala, MS; Bökenhans, V; Pechenik, JA</t>
  </si>
  <si>
    <t>Paredes-Molina, F. J.; Chaparro, O. R.; Navarro, J. M.; Cubillos, V. M.; Paschke, K.; Marquez, F.; Averbuj, A.; Zabala, M. S.; Bokenhans, V.; Pechenik, J. A.</t>
  </si>
  <si>
    <t>Upwelling as a stressor event during embryonic development: Consequences for encapsulated and early juvenile stages of the marine gastropod Acanthina monodon</t>
  </si>
  <si>
    <t>MARINE ENVIRONMENTAL RESEARCH</t>
  </si>
  <si>
    <t>Upwelling conditions; Embryos encapsulated development; Seawater pH; Oxygen content; Water temperature; Latent effects; Geometric morphometric</t>
  </si>
  <si>
    <t>OCEAN ACIDIFICATION; CLIMATE-CHANGE; OXYGEN AVAILABILITY; HATCHING SIZE; HYPOXIC EVENT; LIFE-HISTORY; SHELL GROWTH; SHALLOW BAY; TEMPERATURE; PREDATION</t>
  </si>
  <si>
    <t>Upwelling phenomena alter the physical and chemical parameters of the sea's subsurface waters, producing low levels of temperature, pH and dissolved oxygen, which can seriously impact the early developmental stages of marine organisms. To understand how upwelling can affect the encapsulated development of the gastropod Acanthina monodon, capsules containing embryos at different stages of development (initial, intermediate and advanced) were exposed to upwelling conditions (pH = 7.6; O2 = 3 mg L-1; T degrees = 9 degrees C) for a period of 7 days. Effects of treatment were determined by estimating parameters such as time to hatching, number of hatchlings per capsule, percentage of individuals with incomplete development, and shell parameters such as shell shape and size, shell strength, and the percentage of the organic/inorganic content.We found no significant impacts on hatching time, number of hatchlings per capsule, or percentage of incomplete development in either the presence or absence of upwelling, regardless of developmental stage. On the other hand, latent effects on encapsulated stages of A. monodon were detected in embryos that had been exposed to upwelling stress in the initial embryonic stage. The juveniles from this treatment hatched at smaller sizes and with higher organic content in their shells, resulting in a higher resistance to cracking 30 days after hatching, due to greater elasticity.Geometric morphometric analysis showed that exposure to upwelling condition induced a change in the morphology of shell growth in all post-hatching juveniles (0-30 days), regardless of embryonic developmental stage at the time of exposure. Thus, more elongated shells (siphonal canal and posterior region) and more globular shells were observed in newly hatched juveniles that had been exposed to the upwelling condition. The neutral or even positive upwelling exposure results suggests that exposure to upwelling events during the encapsulated embryonic phase of A. monodon development might not have major impacts on the future juvenile stages. However, this should be taken with caution in consideration of the increased frequency and intensity of upwelling events predicted for the coming decades.</t>
  </si>
  <si>
    <t>[Paredes-Molina, F. J.; Chaparro, O. R.; Navarro, J. M.; Cubillos, V. M.] Univ Austral Chile, Inst Ciencias Marinas &amp; Limnol, Valdivia, Chile; [Paschke, K.] Univ Austral Chile, Inst Acuicultura, Puerto Montt, Chile; [Paschke, K.] Univ Austral Chile, Ctr Fondap Invest Ecosistemas Marinos Altas Latitu, Valdivia, Chile; [Paschke, K.] Univ Austral Chile, Millennium Inst Biodivers Antarctic &amp; Subantarct E, BASE, Valdivia, Chile; [Marquez, F.; Averbuj, A.; Zabala, M. S.; Bokenhans, V.] Consejo Nacl Invest Cient &amp; Tecn, CENPAT, Lab Reprod &amp; Biol Integrat Invertebrados Marinos L, CCT,IBIOMAR, Puerto Madryn, Chubut, Argentina; [Marquez, F.] Univ Nacl Patagonia San Juan Bosco UNPSJB, Puerto Madryn, Argentina; [Pechenik, J. A.] Tufts Univ, Biol Dept, Medford, MA 02155 USA</t>
  </si>
  <si>
    <t>Universidad Austral de Chile; Universidad Austral de Chile; Universidad Austral de Chile; Universidad Austral de Chile; Consejo Nacional de Investigaciones Cientificas y Tecnicas (CONICET); Centro Nacional Patagonico (CENPAT); Universidad Nacional de la Patagonia San Juan Bosco; Tufts University</t>
  </si>
  <si>
    <t>Paredes-Molina, FJ (corresponding author), Univ Austral Chile, Inst Ciencias Marinas &amp; Limnol, Valdivia, Chile.</t>
  </si>
  <si>
    <t>paredesfco91@gmail.com</t>
  </si>
  <si>
    <t>Marquez, Federico/0000-0002-1613-9627; Averbuj, Andres/0000-0003-2416-2007</t>
  </si>
  <si>
    <t>ANID-Chile [Redes 190094, 22160442]; FONDECYT [Redes 190094, 1180643, 1230222, 1190875]</t>
  </si>
  <si>
    <t>ANID-Chile; FONDECYT(Comision Nacional de Investigacion Cientifica y Tecnologica (CONICYT)CONICYT FONDECYT)</t>
  </si>
  <si>
    <t>This research was funded ANID-Chile National PhD fellowship 22160442 to FP -M, ANID-Chile, FONDECYT grant numbers 1180643 and 1230222 and Redes 190094 to ORC and FONDECYT grant number 1190875 to VMC. Special thanks to Joseline Buechner, Luis Salas, and Barbara Riedemann for field and laboratory assistance.</t>
  </si>
  <si>
    <t>0141-1136</t>
  </si>
  <si>
    <t>1879-0291</t>
  </si>
  <si>
    <t>MAR ENVIRON RES</t>
  </si>
  <si>
    <t>Mar. Environ. Res.</t>
  </si>
  <si>
    <t>10.1016/j.marenvres.2023.106270</t>
  </si>
  <si>
    <t>Environmental Sciences; Marine &amp; Freshwater Biology; Toxicology</t>
  </si>
  <si>
    <t>Environmental Sciences &amp; Ecology; Marine &amp; Freshwater Biology; Toxicology</t>
  </si>
  <si>
    <t>CU2P1</t>
  </si>
  <si>
    <t>WOS:001127688700001</t>
  </si>
  <si>
    <t>Qi, Y; Zhong, ZY; Liu, X; He, X; Zhou, YD; Zhang, LL; Chen, C; Linse, K; Qiu, JW; Sun, J</t>
  </si>
  <si>
    <t>Qi, Ying; Zhong, Zhaoyan; Liu, Xu; He, Xing; Zhou, Yadong; Zhang, Lili; Chen, Chong; Linse, Katrin; Qiu, Jian-Wen; Sun, Jin</t>
  </si>
  <si>
    <t>Phylogenomic analyses reveal a single deep-water colonisation in Patellogastropoda</t>
  </si>
  <si>
    <t>MOLECULAR PHYLOGENETICS AND EVOLUTION</t>
  </si>
  <si>
    <t>Patellogastropod; Vent; Seep; Phylogenomics; Genome size</t>
  </si>
  <si>
    <t>LIMPETS; GENERATION; GASTROPODA; EVOLUTION</t>
  </si>
  <si>
    <t>Patellogastropoda, the true limpets, is a major group of gastropods widely distributed in marine habitats from the intertidal to deep sea. Though important for understanding their evolutionary radiation, the phylogenetic relationships among the patellogastropod families have always been challenging to reconstruct, with contradictory results likely due to insufficient sampling. Here, we obtained mitogenomic and phylogenomic data (tran-scriptomic or genomic) from six species representing the three predominantly deep-water patellogastropod families: Lepetidae, Neolepetopsidae, and Pectinodontidae. By using various phylogenetic methods, we show that mitogenome phylogeny recovers monophyly of eight families in most of the trees, though the relationships among families remain contentious. Meanwhile, a more robust family-level topology consistent with morphology was achieved by phylogenomics. This also reveals that these mainly deep-water families are monophyletic, suggesting a single colonisation of the deep water around the Jurassic. We also found a lack of significant correlation between genome size and habitat depth, despite some deep-water species exhibiting larger genome sizes. Our phylogenomic tree provides a stable phylogenetic backbone for Patellogastropoda that includes seven of the nine recognized families and paves the way for future evolutionary analyses in this major group of molluscs.</t>
  </si>
  <si>
    <t>[Qi, Ying; Zhong, Zhaoyan; Liu, Xu; He, Xing; Zhang, Lili; Sun, Jin] Ocean Univ China, Key Lab Evolut &amp; Marine Biodivers, Minist Educ, Qingdao 266003, Peoples R China; [Qi, Ying; Zhong, Zhaoyan; Liu, Xu; He, Xing; Zhang, Lili; Sun, Jin] Ocean Univ China, Inst Evolut &amp; Marine Biodivers, Qingdao 266003, Peoples R China; [Qi, Ying; Zhong, Zhaoyan; Liu, Xu; He, Xing; Zhang, Lili; Sun, Jin] Laoshan Lab, Qingdao 266237, Peoples R China; [Zhou, Yadong] Minist Nat Resources, Inst Oceanog 2, Key Lab Marine Ecosyst Dynam, Hangzhou 311005, Peoples R China; [Chen, Chong] Japan Agcy Marine Earth Sci &amp; Technol JAMSTEC, X STAR, 2-15 Natsushima Cho, Yokosuka, Kanagawa 2370061, Japan; [Linse, Katrin] British Antarctic Survey, Cambridge, England; [Qiu, Jian-Wen] Hong Kong Baptist Univ, Dept Biol, Hong Kong, Peoples R China</t>
  </si>
  <si>
    <t>Ocean University of China; Ocean University of China; Laoshan Laboratory; Ministry of Natural Resources of the People's Republic of China; Japan Agency for Marine-Earth Science &amp; Technology (JAMSTEC); UK Research &amp; Innovation (UKRI); Natural Environment Research Council (NERC); NERC British Antarctic Survey; Hong Kong Baptist University</t>
  </si>
  <si>
    <t>Sun, J (corresponding author), Ocean Univ China, Key Lab Evolut &amp; Marine Biodivers, Minist Educ, Qingdao 266003, Peoples R China.;Sun, J (corresponding author), Ocean Univ China, Inst Evolut &amp; Marine Biodivers, Qingdao 266003, Peoples R China.;Sun, J (corresponding author), Laoshan Lab, Qingdao 266237, Peoples R China.</t>
  </si>
  <si>
    <t>jin_sun@ouc.edu.cn</t>
  </si>
  <si>
    <t>; Chen, Chong/F-7489-2019</t>
  </si>
  <si>
    <t>Qi, Ying/0009-0000-1084-1610; Chen, Chong/0000-0002-5035-4021; Lili, Zhang/0009-0001-6448-8290</t>
  </si>
  <si>
    <t>Science and Technology Innovation Project of Laoshan Laboratory [LSKJ202203104]; National Natural Science Foundation of China [42176110]; Fundamental Research Funds for the Central Universities [202172002, 202241002]; Young Taishan Scholars Program of Shandong Province [tsqn202103036]</t>
  </si>
  <si>
    <t>Science and Technology Innovation Project of Laoshan Laboratory; National Natural Science Foundation of China(National Natural Science Foundation of China (NSFC)); Fundamental Research Funds for the Central Universities(Fundamental Research Funds for the Central Universities); Young Taishan Scholars Program of Shandong Province</t>
  </si>
  <si>
    <t>This work was financially supported by the Science and Technology Innovation Project of Laoshan Laboratory (LSKJ202203104) , National Natural Science Foundation of China (42176110) , the Fundamental Research Funds for the Central Universities (202172002 and 202241002) , and the Young Taishan Scholars Program of Shandong Province (tsqn202103036) . We thank Dr. Huw Griffiths from British Antarctic Survey for the language polishing. The genomic sequencing and transcriptome sequencing generated in this study were deposited on NCBI SRA database with the accession number of SRR26141216, SRR26141217 and SRR26142735-SRR26142742. The mitogenome data were deposited on NCBI with the accession No. of MZ888771, OK323957, OK493297, OM976644,</t>
  </si>
  <si>
    <t>1055-7903</t>
  </si>
  <si>
    <t>1095-9513</t>
  </si>
  <si>
    <t>MOL PHYLOGENET EVOL</t>
  </si>
  <si>
    <t>Mol. Phylogenet. Evol.</t>
  </si>
  <si>
    <t>10.1016/j.ympev.2023.107968</t>
  </si>
  <si>
    <t>Biochemistry &amp; Molecular Biology; Evolutionary Biology; Genetics &amp; Heredity</t>
  </si>
  <si>
    <t>CU4I5</t>
  </si>
  <si>
    <t>WOS:001127734100001</t>
  </si>
  <si>
    <t>Barr, ID; Spagnolo, M; Tomkins, MD</t>
  </si>
  <si>
    <t>Barr, Iestyn D.; Spagnolo, Matteo; Tomkins, Matt D.</t>
  </si>
  <si>
    <t>Cirques in the Transantarctic Mountains reveal controls on glacier formation and landscape evolution</t>
  </si>
  <si>
    <t>Antarctica; Glacial geomorphology; Landscape evolution; Cirque</t>
  </si>
  <si>
    <t>ANTARCTIC ICE-SHEET; SURFACE WIND-FIELD; DRONNING-MAUD LAND; SPATIAL-DISTRIBUTION; MORPHOMETRIC-ANALYSIS; GLACIATION; SHAPE; SIZE; RANGE; GEOMORPHOLOGY</t>
  </si>
  <si>
    <t>In this study, we analyse the morphometry of cirques in the Transantarctic Mountains (TAM) to understand regional glacier formation and landscape evolution since the onset of Cenozoic glaciations. We find that, unlike most glacierised regions worldwide, aspect bias for cirques in the TAM is not particularly strong, indicating that glaciers were able to form and cirques develop on slopes with a variety of aspects. This is perhaps unsurprising, given that Antarctica's climate has been conducive to long-lived and extensive glaciation for many millions of years. Surprisingly, where cirques in the TAM show an aspect bias, this is typically towards the North, NW and/or NE, rather than favouring South-facing slopes where direct solar radiation is comparatively limited. This lack of a poleward aspect bias is unlike most cirque populations globally and indicates that total solar insolation was not a key control on where former glaciers in the TAM were able to initiate. Instead, we argue that prevailing wind directions played a dominant role in controlling the slopes on which past glacier development was favoured. Specifically, South-facing slopes in the TAM are directly exposed to katabatic winds which originate from the interior of the East Antarctic Ice Sheet (EAIS). These slopes are therefore susceptible to wind deflation, with snow and ice being redistributed to lee-side slopes where it can accumulate due to protection from the wind. For this reason, North, NE and/or NW facing slopes may have favoured glacier development, and therefore resulted in a concentration of cirques with these aspects. This evidence suggests that most cirques in the TAM are no older 34 Ma, as outward radiating winds from the continent's interior could only have prevailed when the EAIS was present (in some form). By contrast, the very highest (and likely oldest) cirques in the TAM have more varied aspects, indicating that they may have formed before katabatic winds came to dominate, and by extension, before widespread growth of the EAIS at 34 Ma, and could perhaps have formed as far back as 60 Ma. In general, we find that cirques in the TAM have similar dimensions to those in other regions globally, despite having been occupied by glacial ice for far longer. Thus, our findings support a growing body of evidence which suggests that cirque size and glacier occupation times are not directly coupled, though there is some evidence of spatial variability in cirque size which might relate to the differences in the dynamics of former glaciers.</t>
  </si>
  <si>
    <t>[Barr, Iestyn D.] Manchester Metropolitan Univ, Dept Nat Sci, Manchester, Lancs, England; [Spagnolo, Matteo] Univ Aberdeen, Sch Engn, Aberdeen, Aberdeenshire, Scotland; [Tomkins, Matt D.] Univ Manchester, Dept Geog, Manchester, Lancs, England</t>
  </si>
  <si>
    <t>Manchester Metropolitan University; University of Aberdeen; University of Manchester</t>
  </si>
  <si>
    <t>Barr, ID (corresponding author), Manchester Metropolitan Univ, Dept Nat Sci, Manchester, Lancs, England.</t>
  </si>
  <si>
    <t>i.barr@mmu.ac.uk</t>
  </si>
  <si>
    <t>Barr, Iestyn/L-2596-2013</t>
  </si>
  <si>
    <t>Barr, Iestyn/0000-0002-9066-8738; Spagnolo, Matteo/0000-0002-2753-338X</t>
  </si>
  <si>
    <t>Polar Geospatial Center [1543501, 1810976, 1542736, 1559691, 1043681, 1541332, 0753663, 1548562, 1238993]; NASA [NNX10AN61G]</t>
  </si>
  <si>
    <t>Polar Geospatial Center; NASA(National Aeronautics &amp; Space Administration (NASA))</t>
  </si>
  <si>
    <t>DEMs provided by the Byrd Polar and Climate Research Center and the Polar Geospatial Center under NSF-OPP awards 1543501, 1810976, 1542736, 1559691, 1043681, 1541332, 0753663, 1548562, 1238993 and NASA award NNX10AN61G. Computer time provided through a Blue Waters Innovation Initiative. DEMs produced using data from DigitalGlobe, Inc. We thank Ian Evans and an anonymous reviewer for their helpful corrections, comments and suggestions.</t>
  </si>
  <si>
    <t>10.1016/j.geomorph.2023.108970</t>
  </si>
  <si>
    <t>CZ2I6</t>
  </si>
  <si>
    <t>WOS:001128983800001</t>
  </si>
  <si>
    <t>Abduh, MY; Aswadi, NIA; Husna, NMA; Syazana, S; Norazmi-Lokman, NH</t>
  </si>
  <si>
    <t>Abduh, Muhammad Yazed; Aswadi, Nor Izaty Asra; Husna, Nur Mohamed Alli; Syazana, Sajdin; Norazmi-Lokman, Nor Hakim</t>
  </si>
  <si>
    <t>Effects of pH and temperature on striped catfish Pangasianodon hypophthalmus juvenile: Data on growth performance and survival rate</t>
  </si>
  <si>
    <t>Aquaculture; Husbandry; Specific growth rate; Feed conversion ratio; Rearing water condition</t>
  </si>
  <si>
    <t>The growth performance and survival rates of juvenile striped catfish, Pangasianodon hypophthalmus, reared at various levels of pH and temperature were described in this article. Two rearing trials were conducted separately for pH and temperature where both trials lasted for 35 days. One hundred and twenty juveniles (1.5 +/- 0.23 g) were randomly stocked into 12 rectangle glass aquariums (n = 10 fish/tank; three replicates per treatment) with 100 L of water for each trial. The treatment consisted of four different pH level (7.5, 8.0, 8.5 and 9.0) and four different temperature level (26 degrees C, 28 degrees C, 30 degrees C and 32 degrees C). The survival of fish was counted at the end of experiments, and the weight of the juvenile was measured once a week. The quantification of feed intake was determined through the measurement of the residual weight of the feeds after the feeding process. Upon the conclusion of the experiment, the data pertaining to weight and feed intake were utilized to calculate the specific growth rate (SGR) and food conversion ratio (FCR) as indicators of growth performance. Additionally, the number of live fish was employed to ascertain the survival rate. The data obtained from the calculation of SGR, FCR and survival rate were next subjected to a normality test, one-way analysis of variance (ANOVA), and a Tukey post-hoc test. The information in this article will help in the business, experimental, and personal usage for P. hypophthalmus juveniles rearing process.</t>
  </si>
  <si>
    <t>[Abduh, Muhammad Yazed; Aswadi, Nor Izaty Asra; Husna, Nur Mohamed Alli; Syazana, Sajdin; Norazmi-Lokman, Nor Hakim] Univ Malaysia Terengganu, Fac Fisheries &amp; Food Sci, Kuala Terengganu 21030, Terengganu, Malaysia; [Norazmi-Lokman, Nor Hakim] Univ Tasmania, Inst Marine &amp; Antarctic Studies, Ctr Fisheries &amp; Aquaculture, Taroona, Tas 7053, Australia</t>
  </si>
  <si>
    <t>Universiti Malaysia Terengganu; University of Tasmania</t>
  </si>
  <si>
    <t>Abduh, MY; Norazmi-Lokman, NH (corresponding author), Univ Malaysia Terengganu, Fac Fisheries &amp; Food Sci, Kuala Terengganu 21030, Terengganu, Malaysia.</t>
  </si>
  <si>
    <t>abduhyazed@umt.edu.my; lokhakim@umt.edu.my</t>
  </si>
  <si>
    <t>BINTI ASWADI, ASRA NOR IZATY/0000-0002-7285-6997; Yazed, Muhammad Abduh/0000-0002-2204-3605</t>
  </si>
  <si>
    <t>Faculty of Fisheries and Food Science</t>
  </si>
  <si>
    <t>The authors express their gratitude to the personnel of the hatchery unit at the Faculty of Fisheries and Food Science for their invaluable support and assistance during the course of this study. This study was internally funded by the Faculty of Fisheries and Food Science.</t>
  </si>
  <si>
    <t>10.1016/j.dib.2023.109826</t>
  </si>
  <si>
    <t>CQ2I0</t>
  </si>
  <si>
    <t>WOS:001126640000001</t>
  </si>
  <si>
    <t>Anderson, JTH; Fujioka, T; Fink, D; Hidy, AJ; Wilson, GS; Wilcken, K; Abramov, A; Demidov, N</t>
  </si>
  <si>
    <t>Anderson, Jacob T. H.; Fujioka, Toshiyuki; Fink, David; Hidy, Alan J.; Wilson, Gary S.; Wilcken, Klaus; Abramov, Andrey; Demidov, Nikita</t>
  </si>
  <si>
    <t>Antarctic permafrost processes and antiphase dynamics of cold-based glaciers in the McMurdo Dry Valleys inferred from 10Be and 26Al cosmogenic nuclides</t>
  </si>
  <si>
    <t>SOUTHERN VICTORIA LAND; ICE-SHEET; TAYLOR VALLEY; SEA-LEVEL; EAST ANTARCTICA; EROSION RATES; PEARSE VALLEY; BEACON VALLEY; ARENA VALLEY; BONNEY DRIFT</t>
  </si>
  <si>
    <t>Soil and sediment mixing and associated permafrost processes are not widely studied or understood in the McMurdo Dry Valleys of Antarctica. In this study, we investigate the stability and depositional history of near-surface permafrost sediments to similar to 3 m depth in the Pearse and lower Wright valleys using measured cosmogenic Be-10 and Al-26 depth profiles. In Pearse Valley, we estimate a minimum depositional age of similar to 74 ka for the active layer and paleoactive-layer sediments (&lt; 0.65 m). Combined depth profile modelling of Be-10 and Al-26 gives a depositional age for near-surface (&lt; 1.65 m) permafrost in Pearse Valley of 180 (+ 20)/(- 40) ka, implying that the deposition of permafrost sediments predates MIS 5 advances of Taylor Glacier. Deeper permafrost sediments (&gt; 2.09 m) in Pearse Valley are thus inferred to have a depositional age of &gt; 180 ka. At a coastal, lower-elevation site in neighbouring lower Wright Valley, Be-10 and Al-26 depth profiles from a second permafrost core exhibit near-constant concentrations with depth and indicate the sediments are either vertically mixed after deposition or sufficiently young so that post-depositional nuclide production is negligible relative to inheritance. Al-26/Be-10 concentration ratios for both depth profiles range between 4.0 and 5.2 and are all lower than the nominal surface production rate ratio of 6.75, indicating that prior to deposition, these sediments experienced complex, yet similar, exposure-burial histories. Assuming a single-cycle exposure-burial scenario, the observed (26)A/Be-10 ratios are equivalent to a total minimum exposure-burial history of similar to 1.2 Myr. In proximity to the depth profile core site, we measured cosmogenic Be-10 and Al-26 in three granite cobbles from thin, patchy drift (Taylor 2 Drift) in Pearse Valley to constrain the timing of retreat of Taylor Glacier. Assuming simple continuous exposure, our minimum, zero-erosion exposure ages suggest Taylor Glacier partially retreated from Pearse Valley no later than 65-74 ka. The timing of retreat after 65 ka and until the Last Glacial Maximum (LGM) when Taylor Glacier was at a minimum position remains unresolved. The surface cobble ages and permafrost processes reveal Taylor Glacier advances during MIS 5 were non-erosive or mildly erosive, preserving the underlying permafrost sediments and peppering boulders and cobbles upon an older, relict surface. Our results are consistent with U/Th ages from central Taylor Valley and suggest changes in moisture delivery over Taylor Dome during MIS 5e, 5c, and 5a appear to be associated with the extent of the Ross Ice Shelf and sea ice in the Ross Sea. These data provide further evidence of antiphase behaviour through retreat of a peripheral lobe of Taylor Glacier in Pearse Valley, a region that was glaciated during MIS 5. We suggest a causal relationship of cold-based glacier advance and retreat that is controlled by an increase in moisture availability during retreat of sea ice and perhaps the Ross Ice Shelf, as well as, conversely, a decrease during times of sea ice and Ross Ice Shelf expansion in the Ross Sea.</t>
  </si>
  <si>
    <t>[Anderson, Jacob T. H.; Wilson, Gary S.] Univ Otago, Dept Marine Sci, POB 56, Otepoti Dunedin, Aotearoa, New Zealand; [Fujioka, Toshiyuki] Ctr Nacl Invest Evoluc Humana, Burgos 09002, Spain; [Fink, David; Wilcken, Klaus] Australian Nucl Sci &amp; Technol Org, New Illawarra Rd, Lucas Heights, NSW 2234, Australia; [Hidy, Alan J.] Lawrence Livermore Natl Lab, Ctr Accelerator Mass Spectrometry, Livermore, CA 94550 USA; [Wilson, Gary S.] GNS Sci, POB 30368, Lower Hutt 5040, Aotearoa, New Zealand; [Wilson, Gary S.] GNS Sci, POB 30368, Te Whanganui A Tara welli 5040, Aotearoa, New Zealand; [Abramov, Andrey] Inst Physicochem &amp; Biol Problems Soil Sci, Pushchino, Russia; [Demidov, Nikita] Arctic &amp; Antarctic Res Inst, St Petersburg, Russia</t>
  </si>
  <si>
    <t>University of Otago; Centro Nacional de Investigacion de La Evolucion Humana (CENIEH); Australian Nuclear Science &amp; Technology Organisation; United States Department of Energy (DOE); Lawrence Livermore National Laboratory; GNS Science - New Zealand; Russian Academy of Sciences; Pushchino Scientific Center for Biological Research (PSCBI) of the Russian Academy of Sciences; Institute of Physicohemical &amp; Biological Problems of Soil Science; Arctic &amp; Antarctic Research Institute</t>
  </si>
  <si>
    <t>Anderson, JTH (corresponding author), Univ Otago, Dept Marine Sci, POB 56, Otepoti Dunedin, Aotearoa, New Zealand.</t>
  </si>
  <si>
    <t>jacob.anderson@otago.ac.nz</t>
  </si>
  <si>
    <t>; fink, david/A-9518-2012</t>
  </si>
  <si>
    <t>Anderson, Jacob/0000-0002-4329-4200; Wilcken, Klaus/0000-0002-6870-2047; fink, david/0000-0001-7156-4602</t>
  </si>
  <si>
    <t>New Zealand Antarctic Research Institute</t>
  </si>
  <si>
    <t>We thank Craig Cary, Ian McDonald, Bob Dagg, and Steph Lambie for assistance in the field; Antarctica New Zealand and Southern Lakes Helicopters for logistical support; and Steve Kotevski for laboratory assistance. We thank Jane Andersen and Greg Balco for their valuable reviews which improved the quality of the paper.</t>
  </si>
  <si>
    <t>NOV 24</t>
  </si>
  <si>
    <t>10.5194/tc-17-4917-2023</t>
  </si>
  <si>
    <t>JF0P6</t>
  </si>
  <si>
    <t>WOS:001171635200001</t>
  </si>
  <si>
    <t>Ferrone, A; Vignon,É; Zonato, A; Berne, A</t>
  </si>
  <si>
    <t>Ferrone, Alfonso; Vignon, Etienne; Zonato, Andrea; Berne, Alexis</t>
  </si>
  <si>
    <t>Local spatial variability in the occurrence of summer precipitation in the Sør Rondane Mountains, Antarctica</t>
  </si>
  <si>
    <t>SURFACE MASS-BALANCE; VERTICAL STRUCTURE; SNOW ACCUMULATION; MAUD-LAND; PART I; MODEL; CLIMATE; RADAR; CLOUD; STATIONS</t>
  </si>
  <si>
    <t>During the austral summer 2019/2020, three vertically pointing K-band Doppler profilers (Micro Rain Radar PRO, MRR-PRO) were deployed along a transect across the Sor Rondane Mountains, directly south of the scientific base Princess Elisabeth Antarctica. The MRR-PRO devices were placed at locations corresponding to different stages of the interaction between the complex terrain and the typical flow associated with precipitating systems. The radar measurements, alongside information from the ERA5 reanalysis and a set of high-resolution Weather Research and Forecasting (WRF) simulations, have been used to study the spatial variability in snowfall across the transect. Radar observations reveal differences in the frequency of occurrence of virga and surface precipitation above the transect. An analysis of the WRF outputs reveals the presence of a relatively dry layer above the radar locations, reaching a constant altitude of 3.5 km above mean sea level. Due to the complex terrain, the depth of the layer varies across the transect, affecting sublimation and the occurrence of virgae. Combined information from the ERA5 reanalysis, the WRF simulations, and ground-level measurements suggests that orographic lifting enhances precipitation above the highest mountain peaks. Finally, the analysis of the succession of virga and surface precipitation above the sites shows that, in most cases, they represent different stages of the same large-scale events. This study reveals the significant spatial variability in the occurrence of precipitation in a region of complex terrain, emphasizing the importance of collecting snowfall measurements in the mountainous regions of the Antarctic continent.</t>
  </si>
  <si>
    <t>[Ferrone, Alfonso; Berne, Alexis] Ecole Polytech Fed Lausanne EPFL, Environm Remote Sensing Lab, Lausanne, Switzerland; [Ferrone, Alfonso] Fed Off Meteorol &amp; Climatol MeteoSwiss, Radar Satell &amp; Nowcasting Div, Locarno, Switzerland; [Vignon, Etienne] Sorbonne Univ, CNRS, UMR 8539, Lab Meteorol Dynam,IPSL, Paris, France; [Zonato, Andrea] Royal Netherlands Meteorol Inst KNMI, De Bilt, Netherlands</t>
  </si>
  <si>
    <t>Swiss Federal Institutes of Technology Domain; Ecole Polytechnique Federale de Lausanne; Sorbonne Universite; Universite Paris Cite; Centre National de la Recherche Scientifique (CNRS); CNRS - National Institute for Earth Sciences &amp; Astronomy (INSU); Royal Netherlands Meteorological Institute</t>
  </si>
  <si>
    <t>Berne, A (corresponding author), Ecole Polytech Fed Lausanne EPFL, Environm Remote Sensing Lab, Lausanne, Switzerland.</t>
  </si>
  <si>
    <t>alexis.berne@epfl.ch</t>
  </si>
  <si>
    <t>Ferrone, Alfonso/JQI-6190-2023</t>
  </si>
  <si>
    <t>Ferrone, Alfonso/0000-0003-1441-7184</t>
  </si>
  <si>
    <t>Schweizerischer Nationalfonds zur Frderung der Wissenschaftlichen Forschung</t>
  </si>
  <si>
    <t>We would like to thank all the EPFL-LTE collaborators for their help in shaping the study and their contribution to the measurement campaign at Princess Elisabeth Antarctica. We are also grateful to the staff of the International Polar Foundation and all the personnel of the base for their contribution to the deployment and maintenance of the scientific instruments on site.</t>
  </si>
  <si>
    <t>10.5194/tc-17-4937-2023</t>
  </si>
  <si>
    <t>IU2N5</t>
  </si>
  <si>
    <t>WOS:001168785700001</t>
  </si>
  <si>
    <t>Toda, K; Obolkin, V; Ohira, SI; Saeki, K</t>
  </si>
  <si>
    <t>Toda, Kei; Obolkin, Vladimir; Ohira, Shin-Ichi; Saeki, Kentaro</t>
  </si>
  <si>
    <t>Abundant production of dimethylsulfoniopropionate as a cryoprotectant by freshwater phytoplanktonic dinoflagellates in ice-covered Lake Baikal</t>
  </si>
  <si>
    <t>COMMUNICATIONS BIOLOGY</t>
  </si>
  <si>
    <t>DIMETHYLATED-SULFUR-COMPOUNDS; ANTARCTIC SEA-ICE; UNDER-ICE; DIMETHYLSULFOXIDE DMSO; VAPOR GENERATION; MARINE-ALGAE; CHINA SEA; SULFIDE; SURFACE; DIMETHYLSULPHONIOPROPIONATE</t>
  </si>
  <si>
    <t>Phytoplanktonic dinoflagellates form colonies between vertical ice crystals during the ice-melting season in Lake Baikal, but how the plankton survive the freezing conditions is not known. Here we show that the phytoplankton produces large amounts of dimethylsulfoniopropionate (DMSP), which is best-known as a marine compound. Lake-water DMSP concentrations in the spring season are comparable with those in the oceans, and colony water in ice exhibits extremely high concentrations. DMSP concentration of surface water correlates with plankton density and reaches a maximum in mid-April, with temperature-dependent fluctuations. DMSP is released from plankton cells into water in warm days. DMSP is a characteristic osmolyte of marine algae; our results demonstrate that freshwater plankton, Gymnodinium baicalense, has DMSP-producing ability, and efficiently uses the limited sulfur resource (only 1/500 of sea sulfate) to survive in freshwater ice. Plankton in Lake Baikal do not need an osmolyte, and our results clearly indicate that DMSP plays a cryoprotective role. DMSP, although a characteristic marine compound, could also be an important zwitterion for algae of other boreal lakes, alpine snow, and glaciers. DMSP potentially serves as a form of cryoprotection for freshwater dinoflagellates during the time of ice melting in Lake Baikal although sulfur content of the lake water is much lower than seawater and algae do not need an osmolyte in freshwater ice.</t>
  </si>
  <si>
    <t>[Toda, Kei; Ohira, Shin-Ichi; Saeki, Kentaro] Kumamoto Univ, Dept Chem, 2-39-1 Kurokami, Kumamoto 8608555, Japan; [Toda, Kei; Ohira, Shin-Ichi] Kumamoto Univ, Int Res Org Adv Sci &amp; Technol IROAST, 2-39-1 Kurokami, Kumamoto 8608555, Japan; [Obolkin, Vladimir] Russian Acad Sci, Limnol Inst, Siberian Branch, Lab Hydrochem &amp; Atmosphere Chem, 3 Ulan Batorskaya St, Irkutsk 664033, Russia; [Saeki, Kentaro] Univ Ryukyus, Dept Chem Biol &amp; Marine Sci, 1 Senbaru, Nishihara, Okinawa 9030213, Japan</t>
  </si>
  <si>
    <t>Kumamoto University; Kumamoto University; Irkutsk Science Centre of the Russian Academy of Sciences; Russian Academy of Sciences; Limnological Institute SB RAS; University of the Ryukyus</t>
  </si>
  <si>
    <t>Toda, K (corresponding author), Kumamoto Univ, Dept Chem, 2-39-1 Kurokami, Kumamoto 8608555, Japan.;Toda, K (corresponding author), Kumamoto Univ, Int Res Org Adv Sci &amp; Technol IROAST, 2-39-1 Kurokami, Kumamoto 8608555, Japan.</t>
  </si>
  <si>
    <t>todakei@kumamoto-u.ac.jp</t>
  </si>
  <si>
    <t>Toda, Kei/0000-0001-6577-1752; Ohira, Shin-Ichi/0000-0002-5958-339X; Saeki, Kentaro/0000-0003-2401-3570</t>
  </si>
  <si>
    <t>MEXT | Japan Society for the Promotion of Science (JSPS) [FIY 2018-2019]; Bilateral Joint Research Projects; Japan Society for the Promotion of Science (JSPS) [FIY 2023-2024, JPJSBP 120239935, 23H03526]; Russian Foundation for Basic Research (RFBR); JSPS</t>
  </si>
  <si>
    <t>MEXT | Japan Society for the Promotion of Science (JSPS)(Ministry of Education, Culture, Sports, Science and Technology, Japan (MEXT)Japan Society for the Promotion of Science); Bilateral Joint Research Projects; Japan Society for the Promotion of Science (JSPS)(Ministry of Education, Culture, Sports, Science and Technology, Japan (MEXT)Japan Society for the Promotion of Science); Russian Foundation for Basic Research (RFBR)(Russian Foundation for Basic Research (RFBR)); JSPS(Ministry of Education, Culture, Sports, Science and Technology, Japan (MEXT)Japan Society for the Promotion of Science)</t>
  </si>
  <si>
    <t>We are grateful to students from Kumamoto University who assisted with the Baikal field surveys and chemical analyses: Mrs. Takanori Nagahata, Toshinori Tanaka, Masahiro Ban, Satoshi Iyadomi, Naruto Hozumi, Shohei Mifune, Daiki Okane, Koya Tashima, Kenta Mori and Ms. Misaki Taira. We thank Dr. Natalia Annenkova and Dr. Kate Volkova for valuable discussions about Lake Baikal algae, and Ms. Tatyana Shishlyannikova and Dr. Anton Kuzmin for chromatography-mass spectrometry analysis. This work was supported by Bilateral Joint Research Projects for FIY 2018-2019 and 2014-2016 provided by Japan Society for the Promotion of Science (JSPS) and Russian Foundation for Basic Research (RFBR). This work was supported also by Bilateral Joint Research Project for FIY 2023-2024 (JPJSBP 120239935) and Grants-in-aid for basic research (B) no.23H03526 from JSPS. We thank Barbara Garbers, PhD, and Lucy Muir, PhD, from Edanz (https://jp.edanz.com/ac) for editing a draft of this manuscript.</t>
  </si>
  <si>
    <t>2399-3642</t>
  </si>
  <si>
    <t>COMMUN BIOL</t>
  </si>
  <si>
    <t>Commun. Biol.</t>
  </si>
  <si>
    <t>10.1038/s42003-023-05573-9</t>
  </si>
  <si>
    <t>Biology; Multidisciplinary Sciences</t>
  </si>
  <si>
    <t>Life Sciences &amp; Biomedicine - Other Topics; Science &amp; Technology - Other Topics</t>
  </si>
  <si>
    <t>Z0PS5</t>
  </si>
  <si>
    <t>WOS:001109195000006</t>
  </si>
  <si>
    <t>Le, PTD; Fischer, AM; Hardesty, BD; Auman, HJ; Wilcox, C</t>
  </si>
  <si>
    <t>Le, Phuc T. D.; Fischer, Andrew M.; Hardesty, Britta D.; Auman, Heidi J.; Wilcox, Chris</t>
  </si>
  <si>
    <t>Relationship between floating marine debris accumulation and coastal fronts in the Northeast coast of the USA</t>
  </si>
  <si>
    <t>Floating marine debris; Coastal front; Convergence; Coastal zone; MODIS; Plastic pollution</t>
  </si>
  <si>
    <t>SEA-SURFACE TEMPERATURE; SPATIAL-DISTRIBUTION; CONTINENTAL-SHELF; PLASTIC POLLUTION; EDGE-DETECTION; CHLOROPHYLL; VARIABILITY; CRITERION; LITTER</t>
  </si>
  <si>
    <t>Floating marine debris (FMD) is one of the world's most concerning issues due to its potential impact on biodiversity, communities, and ecosystem services. FMD transport and concentrations are driven by fronts, generated by oceanographic processes, and the accumulation of FMD has been reported in gyres, eddies, tidal fronts, salinity fronts, and coastal fronts. This study explores the relationship between fronts and FMD accu-mulation in the Gulf of Maine (GoM) and the surrounding coastal areas (USA). Frontal edge detection algorithms were applied to sea surface temperature (SST) imagery from the Moderate-resolution Imaging Spectroradiometer (MODIS) between 2002 and 2012. Frontal location is spatially correlated with FMD concentrations collected by the Sea Education Association. Higher concentrations of FMD are associated with frontal frequencies (FF) of 5-10 %. FMD is trapped between fronts and the coastline in accumulation zones. These results highlight the need to consider coastal FMD hotspots, given these are areas of high biodiversity value.</t>
  </si>
  <si>
    <t>[Le, Phuc T. D.; Fischer, Andrew M.; Auman, Heidi J.] Univ Tasmania, Inst Marine &amp; Antarctic Studies, Hobart, Tas, Australia; [Hardesty, Britta D.; Wilcox, Chris] Commonwealth Sci &amp; Ind Res Org, Hobart, Tas, Australia; [Hardesty, Britta D.] Univ Tasmania, Ctr Marine Socioecol, Hobart, Tas, Australia; [Le, Phuc T. D.] Univ Tasmania, Inst Marine &amp; Antarctic Studies IMAS, 20 Castray Esplanade, Battery Point, Tas 7004, Australia</t>
  </si>
  <si>
    <t>University of Tasmania; Commonwealth Scientific &amp; Industrial Research Organisation (CSIRO); University of Tasmania; University of Tasmania</t>
  </si>
  <si>
    <t>Le, PTD (corresponding author), Univ Tasmania, Inst Marine &amp; Antarctic Studies IMAS, 20 Castray Esplanade, Battery Point, Tas 7004, Australia.</t>
  </si>
  <si>
    <t>phuc.le@utas.edu.au</t>
  </si>
  <si>
    <t>Le, Phuc/KGM-1132-2024; Hardesty, Britta Denise/A-3189-2011</t>
  </si>
  <si>
    <t>Le, Phuc/0000-0002-3611-9340;</t>
  </si>
  <si>
    <t>Commonwealth Scientific and Industrial Research Organisation (CSIRO); University of Tasmania (UTAS), Australia</t>
  </si>
  <si>
    <t>Commonwealth Scientific and Industrial Research Organisation (CSIRO)(Commonwealth Scientific &amp; Industrial Research Organisation (CSIRO)); University of Tasmania (UTAS), Australia</t>
  </si>
  <si>
    <t>This study is completed as a part of a CSIRO-UTAS PhD program in Quantitative Marine Science, developed by Commonwealth Scientific and Industrial Research Organisation (CSIRO) and University of Tasmania (UTAS) , Australia. We thank the Sea Education Association for providing us with floating debris data collected from plankton net tows from 1986 to 2012 in the North Atlantic. We also thank the 7th International Marine Debris Conference for the invitation to submit this manuscript. We are grateful to the two anonymous reviewers for sug-gestions and comments to greatly improve the manuscript.</t>
  </si>
  <si>
    <t>10.1016/j.marpolbul.2023.115818</t>
  </si>
  <si>
    <t>CK8Z4</t>
  </si>
  <si>
    <t>WOS:001125250700001</t>
  </si>
  <si>
    <t>Kavan, J; Luláková, P; Malecki, J; Strzelecki, MC</t>
  </si>
  <si>
    <t>Kavan, Jan; Lulakova, Petra; Malecki, Jakub; Strzelecki, Mateusz Czeslaw</t>
  </si>
  <si>
    <t>Capturing the transition from marine to land-terminating glacier from the 126-year retreat history of Nordenskioldbreen, Svalbard</t>
  </si>
  <si>
    <t>climate warming; coastal zone development; glacier retreat; marine-terminating glacier; Svalbard</t>
  </si>
  <si>
    <t>SURGE-TYPE GLACIERS; TIDEWATER GLACIER; ICE-AGE; OUTLET GLACIERS; REGIME CHANGE; MASS-BALANCE; SPITSBERGEN; FJORD; DYNAMICS; BILLEFJORDEN</t>
  </si>
  <si>
    <t>Svalbard has experienced a dramatic increase in air temperature and glacier retreat since the end of the Little Ice Age. In many cases, this retreat has resulted in glaciers transitioning from being marine-terminating to land-terminating. Nordenskioldbreen is an excellent contemporary example of this transition. A set of historical observations of glacier front positions was used to assess Nordenskioldbreen's retreat rate and we found that the southern portion of the glacier front retreated by similar to 3500 m, since records began in 1896. The general retreat rate corresponds well with the air temperature trend during most of the 20th century. However, the average retreat rate has slowed since the 1990s despite increasing air temperatures. We show that this discrepancy between air temperature and retreat rate marks the transition from marine-terminating towards a land-terminating glacier, as the glacier's bedrock topography started to play an essential role in the glacier margin geometry, ice flow and retreat dynamics.</t>
  </si>
  <si>
    <t>[Kavan, Jan] Masaryk Univ, Polar Geo Lab, Fac Sci, Brno, Czech Republic; [Kavan, Jan; Strzelecki, Mateusz Czeslaw] Univ Wroclaw, Alfred Jahn Cold Regions Res Ctr, Wroclaw, Poland; [Kavan, Jan; Lulakova, Petra] Univ South Bohemia, Dept Ecosyst Biol, Fac Sci, Ceske Budejovice, Czech Republic; [Malecki, Jakub] Adam Mickiewicz Univ, Fac Geog &amp; Geol Sci, Poznan, Poland</t>
  </si>
  <si>
    <t>Masaryk University Brno; University of Wroclaw; University of South Bohemia Ceske Budejovice; Adam Mickiewicz University</t>
  </si>
  <si>
    <t>Kavan, J (corresponding author), Masaryk Univ, Polar Geo Lab, Fac Sci, Brno, Czech Republic.;Kavan, J (corresponding author), Univ Wroclaw, Alfred Jahn Cold Regions Res Ctr, Wroclaw, Poland.;Kavan, J (corresponding author), Univ South Bohemia, Dept Ecosyst Biol, Fac Sci, Ceske Budejovice, Czech Republic.</t>
  </si>
  <si>
    <t>jan.kavan.cb@gmail.com</t>
  </si>
  <si>
    <t>Luláková, Petra/KFS-0883-2024; Strzelecki, Mateusz C/Y-9851-2019; Malecki, Jakub/M-6881-2014</t>
  </si>
  <si>
    <t>Strzelecki, Mateusz C/0000-0003-0479-3565; Malecki, Jakub/0000-0002-1338-5232; Kavan, Jan/0000-0003-4524-3009; Lulakova, Petra/0000-0001-6743-5357</t>
  </si>
  <si>
    <t>Norwegian Financial Mechanism 2014-2021: SVELTA - Svalbard Delta Systems Under Warming Climate [UMO-2020/37/K/ST10/02852]; Masaryk University project ARCTOS MU [MUNI/G/1540/2019]; Arctic Field Grant project 'Glacier mass balance - central Svalbard' - Research Council of Norway [282536]; Czech Antarctic Research Programme</t>
  </si>
  <si>
    <t>Norwegian Financial Mechanism 2014-2021: SVELTA - Svalbard Delta Systems Under Warming Climate; Masaryk University project ARCTOS MU; Arctic Field Grant project 'Glacier mass balance - central Svalbard' - Research Council of Norway; Czech Antarctic Research Programme</t>
  </si>
  <si>
    <t>The research leading to these results has received funding from the Norwegian Financial Mechanism 2014-2021: SVELTA - Svalbard Delta Systems Under Warming Climate (UMO-2020/37/K/ST10/02852) based at the University of Wroclaw. This work was also supported by the Masaryk University project ARCTOS MU (MUNI/G/1540/2019) and Arctic Field Grant project 'Glacier mass balance - central Svalbard' (ID 282536), funded by The Research Council of Norway. J. K. was supported by the Czech Antarctic Research Programme. We acknowledge the help of Veronika Kavanova for performing the statistics in R and Christopher Stringer for language checks. We also greatly appreciate help of the three anonymous reviewers and Rachel Carr as scientific editor.</t>
  </si>
  <si>
    <t>2023 NOV 24</t>
  </si>
  <si>
    <t>10.1017/jog.2023.92</t>
  </si>
  <si>
    <t>Z1US6</t>
  </si>
  <si>
    <t>WOS:001110008200001</t>
  </si>
  <si>
    <t>Li, JY; Li, HB; Wang, CF; Zhao, Y; Zhao, L; Dong, Y; Zhang, WC</t>
  </si>
  <si>
    <t>Li, Jingyuan; Li, Haibo; Wang, Chaofeng; Zhao, Yuan; Zhao, Li; Dong, Yi; Zhang, Wuchang</t>
  </si>
  <si>
    <t>Summertime tintinnids in surface water of the Weddell and Cosmonaut seas: community structure and relationships with different water masses</t>
  </si>
  <si>
    <t>POLAR RESEARCH</t>
  </si>
  <si>
    <t>Antarctica; microzooplankton; ciliate; biogeographic distribution; indicator; sea currents</t>
  </si>
  <si>
    <t>ICE-EDGE ZONE; AMUNDSEN SEA; ROSS SEA; ABUNDANCE; ANTARCTICA; PROTOZOOPLANKTON; CIRCULATION; POLYNYA; GYRE; BIOGEOGRAPHY</t>
  </si>
  <si>
    <t>Tintinnids (Ciliophora) are important microzooplankton grazers. In the Southern Ocean, they are found in the Antarctic Zone, Polar Front and Subantarctic Zone. The Antarctic Zone encompasses large gyres (Weddell Gyre and Ross Gyre) and the Antarctic Slope Current around the continent. The influence of these water masses on tintinnid communities has not been studied. This study investigated the tintinnid community structure in the Weddell and Cosmonaut seas in the summer of 2022. In the Weddell Gyre, tintinnid abundance was significantly lower in the interior than at the fronts. The dominant species differed between the east and west fronts: the proportion of Codonellopsis gaussi was high at the west front, whilst Laackmanniella naviculaefera, Salpingella sp. and Salpingella faurei showed high abundances at the east front. Tintinnid communities varied from inshore to offshore of the Cosmonaut Sea, possibly because of the influence from the Antarctic Slope Current and Antarctic Circumpolar Current. The Antarctic Slope Current was characterized by the occurrence of Cymatocylis drygalskii, whilst the Antarctic Circumpolar Current was characterized by Codonellopsis glacialis, Cymatocylis convallaria and Cy. calyciformis. We proposed that Cy. drygalskii can be used as an indicator of the Antarctic Slope Current. Moreover, we classify polymorphic C. gaussi into three types, in accordance with their loricae, and report their distribution character-istics in water masses. Our results contribute to a better understanding of tintinnid horizontal distribution in different parts of the Weddell Gyre and water masses and serve as a baseline for future studies of pelagic community responses to climate change in the Southern Ocean.</t>
  </si>
  <si>
    <t>[Li, Jingyuan; Li, Haibo; Wang, Chaofeng; Zhao, Yuan; Zhao, Li; Dong, Yi; Zhang, Wuchang] Chinese Acad Sci, Inst Oceanol, CAS Key Lab Marine Ecol &amp; Environm Sci, Qingdao 266071, Peoples R China; [Li, Jingyuan; Li, Haibo; Wang, Chaofeng; Zhao, Yuan; Zhao, Li; Dong, Yi; Zhang, Wuchang] Qingdao Natl Lab Marine Sci &amp; Technol, Lab Marine Ecol &amp; Environm Sci, Qingdao, Peoples R China; [Li, Jingyuan] Chinese Acad Sci, Ctr Ocean Mega Sci, Qingdao, Peoples R China; [Zhang, Wuchang] Univ Chinese Acad Sci, Beijing, Peoples R China</t>
  </si>
  <si>
    <t>Chinese Academy of Sciences; Institute of Oceanology, CAS; Laoshan Laboratory; Chinese Academy of Sciences; Chinese Academy of Sciences; University of Chinese Academy of Sciences, CAS</t>
  </si>
  <si>
    <t>Zhang, WC (corresponding author), Chinese Acad Sci, Inst Oceanol, CAS Key Lab Marine Ecol &amp; Environm Sci, Qingdao 266071, Peoples R China.</t>
  </si>
  <si>
    <t>wuchangzhang@qdio.ac.cn</t>
  </si>
  <si>
    <t>Zhang, Wuchang/0000-0001-7534-8368</t>
  </si>
  <si>
    <t>Impact and Response of Antarctic Seas to Climate Change project [IRASCC 01-02-01D]; National Natural Science Foundation of China [41706192, 41806178, 42206258]; Shandong Provincial Natural Science Foundation [ZR2022QD022]</t>
  </si>
  <si>
    <t>Impact and Response of Antarctic Seas to Climate Change project; National Natural Science Foundation of China(National Natural Science Foundation of China (NSFC)); Shandong Provincial Natural Science Foundation(Natural Science Foundation of Shandong Province)</t>
  </si>
  <si>
    <t>Funding This study was supported by the Impact and Response of Antarctic Seas to Climate Change project (grant no. IRASCC 01-02-01D) , the National Natural Science Foundation of China (grant nos. 41706192, 41806178 and 42206258) and the Shandong Provincial Natural Science Foundation (grant no. ZR2022QD022) .</t>
  </si>
  <si>
    <t>OPEN ACADEMIA AB</t>
  </si>
  <si>
    <t>SPANGA</t>
  </si>
  <si>
    <t>STORMBYVAGEN 6, SPANGA, SE-163 55, SWEDEN</t>
  </si>
  <si>
    <t>0800-0395</t>
  </si>
  <si>
    <t>1751-8369</t>
  </si>
  <si>
    <t>POLAR RES-SWEDEN</t>
  </si>
  <si>
    <t>Polar Res.</t>
  </si>
  <si>
    <t>NOV 23</t>
  </si>
  <si>
    <t>10.33265/polar.v42.9469</t>
  </si>
  <si>
    <t>Ecology; Geosciences, Multidisciplinary; Oceanography</t>
  </si>
  <si>
    <t>Environmental Sciences &amp; Ecology; Geology; Oceanography</t>
  </si>
  <si>
    <t>FI4R6</t>
  </si>
  <si>
    <t>WOS:001145124600001</t>
  </si>
  <si>
    <t>Schoombie, Stefan; Wilson, Rory P.; Ryan, Peter G.</t>
  </si>
  <si>
    <t>Wind driven effects on the fine-scale flight behaviour of dynamic soaring wandering albatrosses</t>
  </si>
  <si>
    <t>Bio-logging; Diomedea exulans; Seabird; Southern Ocean; Sub-Antarctic; Inertial measurement unit; IMU</t>
  </si>
  <si>
    <t>SEABIRDS; FRONTIERS; PATTERNS; TRACKING; SPEEDS; LIFE</t>
  </si>
  <si>
    <t>Wandering albatrosses Diomedea exulans are among the largest flying birds. Their energy-efficient dynamic soaring flight allows them to travel large distances by exploiting the gradient in wind strength above the sea surface. We used bio-logging devices to study the dynamic soaring flight behaviour of wandering albatrosses, deriving roll (bank) angles from video and tri-axial magnetometers, and flapping events from tri-axial accelerometers. Albatrosses mostly experienced westerly winds coming from their left during outbound flights from their colonies and from their right when returning. They compensated for differences in wind speed by varying their roll angles and predominantly turning into the wind, resulting in a net displacement that was perpendicular to the wind. Flapping flight was influenced by wind speed and direction, with birds spending more time flapping in light winds and in head winds. Flapping often occurred at the upper turn of the dynamic soaring cycle, a stage previously considered devoid of flapping. There was also evidence of sexual differences in flight behaviour, with females flapping less than males. Males almost exclusively take off into head winds, whereas females utilized cross winds as well. These results add to our knowledge of dynamic soaring and show how albatrosses react to their wind fields at a fine scale.</t>
  </si>
  <si>
    <t>[Schoombie, Stefan; Ryan, Peter G.] Univ Cape Town, FitzPatrick Inst African Ornithol, DST NRF Ctr Excellence, ZA-7701 Rondebosch, South Africa; [Wilson, Rory P.] Swansea Univ, Dept Biosci, Swansea SA1 8PP, W Glam, Wales; [Schoombie, Stefan] Univ Cape Town, Ctr Stat Ecol Environm &amp; Conservat SEEC, Dept Stat Sci, ZA-7701 Cape Town, South Africa</t>
  </si>
  <si>
    <t>Schoombie, S (corresponding author), Univ Cape Town, FitzPatrick Inst African Ornithol, DST NRF Ctr Excellence, ZA-7701 Rondebosch, South Africa.;Schoombie, S (corresponding author), Univ Cape Town, Ctr Stat Ecol Environm &amp; Conservat SEEC, Dept Stat Sci, ZA-7701 Cape Town, South Africa.</t>
  </si>
  <si>
    <t>FitzPatrick Institute of African Ornithology Centre of Excellence; South African National Antarctic Programme, through the South African National Research Foundation</t>
  </si>
  <si>
    <t>We thank all field assistants who helped with deployment and retrievals on Marion Island during the study period. The South African Department of Environmental Affairs provided logistic support on Marion Islands. Funding was provided by the FitzPatrick Institute of African Ornithology Centre of Excellence and the South African National Antarctic Programme, through the South African National Research Foundation. Permission to work on seabirds at the Prince Edward Islands was granted by the Prince Edward Islands' Management Committee. All research was approved by the University of Cape Town's Science Faculty Animal Ethics Committee (2017/V10REV/PRyan). We thank 2 anonymous reviewers whose comments improved a previous version of this manuscript.</t>
  </si>
  <si>
    <t>10.3354/meps14265</t>
  </si>
  <si>
    <t>AB7G9</t>
  </si>
  <si>
    <t>WOS:001116056800006</t>
  </si>
  <si>
    <t>Schoombie, J; Schoombie, S; Connan, M; Jones, CW; Risi, M; Craig, KJ; Smith, L; Ryan, PG; Shepard, ELC</t>
  </si>
  <si>
    <t>Schoombie, J.; Schoombie, S.; Connan, M.; Jones, C. W.; Risi, M.; Craig, K. J.; Smith, L.; Ryan, P. G.; Shepard, E. L. C.</t>
  </si>
  <si>
    <t>Impact of wind on crash-landing mortality in grey-headed albatrosses Thalassarche chrysostoma breeding on Marion Island</t>
  </si>
  <si>
    <t>Flight limitations; Seabird mortality; Wind gradients; Numerical modelling; Demographic impact</t>
  </si>
  <si>
    <t>BIRD-ISLAND; DIOMEDEA-MELANOPHRIS; SOUTHERN-OCEAN; FLIGHT; POPULATION; PETRELS; SEABIRDS; BEHAVIOR; NUMBERS; CHICKS</t>
  </si>
  <si>
    <t>Albatrosses exploit winds to travel vast distances across the ocean. Their morphology is adapted for low-cost dynamic soaring flight, but these adaptations confer low manoeuvrability, which may be risky when flying over land. This study investigates how wind conditions influence Endangered grey-headed albatross Thalassarche chrysostoma crashes in the valley below an inland sub-colony on Marion Island. Carcass surveys were conducted in a 1 km2 area spanning the length of this sub-colony (ca. 4000 breeding pairs) from October 2017 to June 2021. Hundreds of adult and fledgling albatross carcasses were discovered, some with evidence of fatal crash-landings in the form of broken bones. Wind data measured on the cliff-top above the colony were supplemented by computational fluid dynamics simulations of wind vectors over Marion Island. Most crashes occurred below the centre of the colony, where there are strong gradients in wind speed and direction under the dominant westerly wind conditions. Observations of albatrosses in flight indicate that most birds are killed when attempting to leave the colony, specifically when flying low above ground in strong wind. An average of at least 41 adults and 40 fledglings died after crashing into the valley annually. This represents an estimated 2% of the annual production of fledglings, 0.5% of the estimated annual breeding adult population and 11% of the adult annual mortality, suggesting a substantial cost to breeding at this inland site. For these long-lived seabirds, even low levels of adult mortality can have potential demographic consequences. This is the first study to document persistent wind-driven, land-based mortalities in albatrosses.</t>
  </si>
  <si>
    <t>[Schoombie, J.; Craig, K. J.; Smith, L.] Univ Pretoria, Dept Mech &amp; Aeronaut Engn, ZA-0028 Pretoria, South Africa; [Schoombie, S.; Connan, M.] Nelson Mandela Univ, Inst Coastal &amp; Marine Res, Dept Zool, Marine Apex Predator Res Unit MAPRU, ZA-6001 Gqeberha, South Africa; [Jones, C. W.; Risi, M.; Ryan, P. G.] Univ Cape Town, FitzPatrick Inst African Ornithol, ZA-7701 Rondebosch, South Africa; [Shepard, E. L. C.] Swansea Univ, Dept Biosci, Swansea SA2 8PP, W Glam, Wales</t>
  </si>
  <si>
    <t>University of Pretoria; Nelson Mandela University; University of Cape Town; Swansea University</t>
  </si>
  <si>
    <t>Schoombie, J (corresponding author), Univ Pretoria, Dept Mech &amp; Aeronaut Engn, ZA-0028 Pretoria, South Africa.</t>
  </si>
  <si>
    <t>janine.versteegh@gmail.com</t>
  </si>
  <si>
    <t>Craig, Ken J/V-8784-2018</t>
  </si>
  <si>
    <t>Craig, Ken J/0000-0002-7960-2148; Ryan, Peter/0000-0002-3356-2056</t>
  </si>
  <si>
    <t>South African National Antarctic Programme [110726, 110738, 129226]; Department of Forestry, Fisheries and the Environment</t>
  </si>
  <si>
    <t>South African National Antarctic Programme; Department of Forestry, Fisheries and the Environment</t>
  </si>
  <si>
    <t>Special thanks to Prof. Peter le Roux (University of Pretoria, Dept. Plant and Soil Sciences) for logistical support and wind data. We also thank all field workers who collected data over the study period: Dineo Mogashoa, Elsa van Ginkel, Monica Leitner, Charlotte Heijnis, Sean Morar, Oyena Masiko, Michelle Thompson, Jenna van Berkel, Leandri de Kock, Danielle Keys, Eleanor Weideman, Isabel Micklem, Yinhla Shihlomule and Lucy Smyth. Financial and logistical support was provided by the South African National Antarctic Programme (grant nos. 110726, 110738 and 129226) and the Department of Forestry, Fisheries and the Environment.</t>
  </si>
  <si>
    <t>10.3354/meps14292</t>
  </si>
  <si>
    <t>WOS:001116056800012</t>
  </si>
  <si>
    <t>Paleari, CI; Mekhaldi, F; Erhardt, T; Zheng, MJ; Christl, M; Adolphi, F; Hörhold, M; Muscheler, R</t>
  </si>
  <si>
    <t>Paleari, Chiara I.; Mekhaldi, Florian; Erhardt, Tobias; Zheng, Minjie; Christl, Marcus; Adolphi, Florian; Hoerhold, Maria; Muscheler, Raimund</t>
  </si>
  <si>
    <t>Evaluating the 11-year solar cycle and short-term 10 Be deposition events with novel excess water samples from the East Greenland Ice-core Project (EGRIP)</t>
  </si>
  <si>
    <t>CLIMATE INFLUENCES; COSMOGENIC BE-10; ANTARCTICA; RECORD; DOME; INTENSITY; TRACE; NEEM</t>
  </si>
  <si>
    <t>Be-10 is produced by the interaction between galactic cosmic rays (GCRs) and solar energetic particles (SEPs) with the Earth's atmospheric constituents. The flux of GCRs is modulated by the varying strength of the magnetic fields of the Earth and the Sun. Measurement of Be-10 concentrations from polar ice cores is thus a valuable tool to reconstruct the variations in the geomagnetic field and solar activity levels. The interpretation of Be-10 records is, however, complicated by non-production-related effects on the Be-10 deposition rate caused by climate- or weather-induced variability. Furthermore, volcanic eruptions have been proposed to lead to short-term Be-10 deposition enhancements. In this study, we test the use of excess meltwater from continuous flow analysis (CFA) to measure Be-10, allowing less time-consuming and more cost-effective sample preparation. We compare two records obtained from CFA and discrete samples from the East Greenland Ice core Project (EGRIP) S6 firn core, reaching back to 1900 CE. We find that the two records agree well and that the Be-10 record from CFA samples agrees as well as the discrete samples with other records from Greenland. Furthermore, by subtracting the theoretically expected GCR-induced signal, we investigate the high-frequency variability in the Be-10 records from Greenland and Antarctica after 1951 CE, focusing on SEP events and volcanic eruptions. Finally, we use the Be-10 records from Greenland and Antarctica to study the 11-year solar cycles, allowing us to assess the suitability of the CFA samples for the reconstruction of solar activity. This result opens new opportunities for the collection of continuous Be-10 records with less time-consuming sample preparation, while saving an important portion of the ice cores for other measurements.</t>
  </si>
  <si>
    <t>[Paleari, Chiara I.; Mekhaldi, Florian; Zheng, Minjie; Muscheler, Raimund] Lund Univ, Dept Geol, Lund, Sweden; [Mekhaldi, Florian] British Antarctic Survey, Ice Dynam &amp; Paleoclimate, Cambridge, England; [Erhardt, Tobias] Univ Bern, Phys Inst, Climate &amp; Environm Phys, Bern, Switzerland; [Erhardt, Tobias] Univ Bern, Oeschger Ctr Climate Change Res, Bern, Switzerland; [Erhardt, Tobias; Adolphi, Florian] Alfred Wegener Inst, Helmholtz Ctr Polar &amp; Marine Res, Bremerhaven, Germany; [Zheng, Minjie] Inst Atmospher &amp; Climate Sci, ETH Zurich, Zurich, Switzerland; [Christl, Marcus] Lab Ion Beam Phys, ETH Zurich, Zurich, Switzerland; [Adolphi, Florian] Bremen Univ, Dept Geosci, Bremen, Germany</t>
  </si>
  <si>
    <t>Lund University; UK Research &amp; Innovation (UKRI); Natural Environment Research Council (NERC); NERC British Antarctic Survey; University of Bern; University of Bern; Helmholtz Association; Alfred Wegener Institute, Helmholtz Centre for Polar &amp; Marine Research; Swiss Federal Institutes of Technology Domain; ETH Zurich; Swiss Federal Institutes of Technology Domain; ETH Zurich; University of Bremen</t>
  </si>
  <si>
    <t>Paleari, CI (corresponding author), Lund Univ, Dept Geol, Lund, Sweden.</t>
  </si>
  <si>
    <t>chiara.paleari@geol.lu.se</t>
  </si>
  <si>
    <t>Erhardt, Tobias/C-4589-2019; Christl, Marcus/J-4769-2016; Hörhold, Maria/IST-9483-2023</t>
  </si>
  <si>
    <t>Erhardt, Tobias/0000-0002-6683-6746; Christl, Marcus/0000-0002-3131-6652; Adolphi, Florian/0000-0003-0014-8753; Muscheler, Raimund/0000-0003-2772-3631; Zheng, Minjie/0000-0003-2111-9476</t>
  </si>
  <si>
    <t>Kungliga Fysiografiska Saellskapet i Lund; Vetenskapsradet; [DNR2018-05469]</t>
  </si>
  <si>
    <t>Kungliga Fysiografiska Saellskapet i Lund; Vetenskapsradet(Swedish Research Council);</t>
  </si>
  <si>
    <t>This research has been supported by the Kungliga Fysiografiska Saellskapet i Lund and the Vetenskapsradet (grant no. DNR2018-05469)</t>
  </si>
  <si>
    <t>NOV 22</t>
  </si>
  <si>
    <t>10.5194/cp-19-2409-2023</t>
  </si>
  <si>
    <t>JE6M2</t>
  </si>
  <si>
    <t>WOS:001171526900001</t>
  </si>
  <si>
    <t>Mathiot, P; Jourdain, NC</t>
  </si>
  <si>
    <t>Mathiot, Pierre; Jourdain, Nicolas C.</t>
  </si>
  <si>
    <t>Southern Ocean warming and Antarctic ice shelf melting in conditions plausible by late 23rd century in a high-end scenario</t>
  </si>
  <si>
    <t>SURFACE MASS-BALANCE; SEA-LEVEL RISE; FRESH-WATER DISCHARGE; WEDDELL GYRE; BOTTOM WATER; CMIP5 MODELS; DEEP-WATER; SHEET; CIRCULATION; IMPACT</t>
  </si>
  <si>
    <t>How much Antarctic ice shelf basal melt rates can increase in response to global warming remains an open question. Here we describe the response of the Southern Ocean and ice shelf cavities to an abrupt change to high-end atmospheric conditions plausible by the late 23rd century under the SSP5-8.5 scenario. To achieve this objective, we first present and evaluate a new 0.25 circle global configuration of the NEMO Nucleus for European Modelling of the Ocean ocean and sea ice model. Our present-day simulations demonstrate good agreement with observational data for key variables such as temperature, salinity, and ice shelf melt rates, despite the remaining difficulties to simulate the interannual variability in the Amundsen Sea. The ocean response to the high-end atmospheric perturbation includes a strengthening and extension of the Ross and Weddell gyres and a quasi-disappearance of sea ice, with a subsequent decrease in production of High Salinity Shelf Water and increased intrusion of warmer water onto the continental shelves favoured by changes in baroclinic currents at the shelf break. We propose to classify the perturbed continental shelf as a warm-fresh shelf. This induces a substantial increase in ice shelf basal melt rates, particularly in the coldest seas, with a total basal mass loss rising from 1180 to 15 700 Gt yr - 1 and an Antarctica averaged melt rate increasing from 0.8 to 10.6 m yr - 1 . In the perturbed simulation, most ice shelves around Antarctica experience conditions that are currently found in the Amundsen Sea, while the Amundsen Sea warms by 2 circle C. These idealised projections can be used as a base to calibrate basal melt parameterisations used in long-term ice sheet projections.</t>
  </si>
  <si>
    <t>[Mathiot, Pierre; Jourdain, Nicolas C.] Univ Grenoble Alpes, Inst Geosci Environm, CNRS IRD G INP INRAE, Grenoble, France</t>
  </si>
  <si>
    <t>Communaute Universite Grenoble Alpes; Universite Grenoble Alpes (UGA)</t>
  </si>
  <si>
    <t>Mathiot, P (corresponding author), Univ Grenoble Alpes, Inst Geosci Environm, CNRS IRD G INP INRAE, Grenoble, France.</t>
  </si>
  <si>
    <t>pierre.mathiot@univ-grenoble-alpes.fr</t>
  </si>
  <si>
    <t>Jourdain, Nicolas/B-6899-2015</t>
  </si>
  <si>
    <t>Jourdain, Nicolas/0000-0002-1372-2235</t>
  </si>
  <si>
    <t>Horizon 2020 [820575]; European Union [ANR-19-CE01-0015, EU-H2020, 101003536, ESM2025, 869304, A0100106035]; French National Research Agency; Agence Nationale de la Recherche (ANR) [ANR-19-CE01-0015] Funding Source: Agence Nationale de la Recherche (ANR)</t>
  </si>
  <si>
    <t>Horizon 2020(Horizon 2020); European Union(European Union (EU)); French National Research Agency(Agence Nationale de la Recherche (ANR)); Agence Nationale de la Recherche (ANR)(Agence Nationale de la Recherche (ANR))</t>
  </si>
  <si>
    <t>This study was funded by the European Union's Horizon 2020 research and innovation programme under grant agreement no. 820575 (TiPACCs) and by the French National Research Agency under grant no. ANR-19-CE01-0015 (EIS). N. Jourdain was also supported by EU-H2020 grant nos. 101003536 (ESM2025) and 869304 (PROTECT). This work was granted access to the high-performance computing (HPC) resources of CINES and TGCC under allocations A0100106035 and A0120106035 attributed by GENCI.</t>
  </si>
  <si>
    <t>10.5194/os-19-1595-2023</t>
  </si>
  <si>
    <t>IU2D6</t>
  </si>
  <si>
    <t>WOS:001168775700001</t>
  </si>
  <si>
    <t>Steiner, L; Schmithüsen, H; Wickert, J; Eisen, O</t>
  </si>
  <si>
    <t>Steiner, Ladina; Schmithuesen, Holger; Wickert, Jens; Eisen, Olaf</t>
  </si>
  <si>
    <t>Combined GNSS reflectometry-refractometry for automated and continuous in situ surface mass balance estimation on an Antarctic ice shelf</t>
  </si>
  <si>
    <t>SNOW WATER EQUIVALENT; RECONCILED ESTIMATE; GPS; GREENLAND; SHEET; ACCUMULATION; ELEVATION; SENSOR; MELT; CLIMATE</t>
  </si>
  <si>
    <t>Reliable in situ surface mass balance (SMB) estimates in polar regions are scarce due to limited spatial and temporal data availability. This study aims at deriving automated and continuous specific SMB time series for fast-moving parts of ice sheets and shelves (flow velocity &gt; 10 m a (- 1) ) by developing a combined global navigation satellite system (GNSS) reflectometry and refractometry (GNSS-RR) method. In situ snow density, snow water equivalent (SWE), and snow deposition or erosion are estimated simultaneously as an average over an area of several square meters and independently on weather conditions. The combined GNSS-RR method is validated and investigated regarding its applicability to a moving, high-latitude ice shelf. A combined GNSS-RR system was therefore installed in November 2021 on the Ekstrom ice shelf (flow velocity approximate to 150 m a - 1 ) in Dronning Maud Land, Antarctica. The reflected and refracted GNSS observations from the site are post-processed to obtain snow accumulation (deposition and erosion), SWE, and snow density estimates with a 15 min temporal resolution. The results of the first 16 months of data show a high level of agreement with manual and automated reference observations from the same site. Snow accumulation, SWE, and density are derived with uncertainties of around 9 cm, 40 kg m - 2 a (- 1) , and 72 kg m( - 3) , respectively. This pilot study forms the basis for extending observational networks with GNSS-RR capabilities, particularly in polar regions. Regional climate models, local snow modeling, and extensive remote sensing data products will profit from calibration and validation based on such in situ time series, especially if many such sensors will be deployed over larger regional scales.</t>
  </si>
  <si>
    <t>[Steiner, Ladina; Schmithuesen, Holger; Eisen, Olaf] Alfred Wegener Inst, Helmholtz Ctr Polar &amp; Marine Res, Alten Hafen 26, D-27515 Bremerhaven, Germany; [Wickert, Jens] GFZ German Res Ctr Geosci, D-14473 Potsdam, Germany; [Wickert, Jens] Tech Univ Berlin, Inst Geodesy, D-10553 Berlin, Germany</t>
  </si>
  <si>
    <t>Helmholtz Association; Alfred Wegener Institute, Helmholtz Centre for Polar &amp; Marine Research; Helmholtz Association; Helmholtz-Center Potsdam GFZ German Research Center for Geosciences; Technical University of Berlin</t>
  </si>
  <si>
    <t>Steiner, L (corresponding author), Alfred Wegener Inst, Helmholtz Ctr Polar &amp; Marine Res, Alten Hafen 26, D-27515 Bremerhaven, Germany.</t>
  </si>
  <si>
    <t>ladina.steiner@alumni.ethz.ch</t>
  </si>
  <si>
    <t>Eisen, Olaf/0000-0002-6380-962X</t>
  </si>
  <si>
    <t>This project was strongly supported by many collaborators, who enabled a successful outcome thanks to their valuable support and inputs.</t>
  </si>
  <si>
    <t>10.5194/tc-17-4903-2023</t>
  </si>
  <si>
    <t>IZ7A4</t>
  </si>
  <si>
    <t>WOS:001170220400001</t>
  </si>
  <si>
    <t>El-Gabbas, A; Thomisch, K; Van Opzeeland, I; Burkhardt, E; Boebel, O</t>
  </si>
  <si>
    <t>El-Gabbas, Ahmed; Thomisch, Karolin; Van Opzeeland, Ilse; Burkhardt, Elke; Boebel, Olaf</t>
  </si>
  <si>
    <t>Dynamic species distribution models of Antarctic blue whales in the Weddell Sea using visual sighting and passive acoustic monitoring data</t>
  </si>
  <si>
    <t>Antarctic blue whales; Balaenoptera musculus intermedia; dynamic species distribution models; maxent; PAM; passive acoustic monitoring; Southern Ocean; species distribution models; Weddell Sea</t>
  </si>
  <si>
    <t>POINT PROCESS MODELS; LOW-FREQUENCY; BALAENOPTERA-MUSCULUS; SOUTHERN-HEMISPHERE; VOCALIZATIONS; CALIFORNIA; RANGE; OCEAN; LOCALIZATION; PREDICTIONS</t>
  </si>
  <si>
    <t>Aim: Species distribution models (SDMs) are essential tools in ecology and conservation. However, the scarcity of visual sightings of marine mammals in remote polar areas hinders the effective application of SDMs there. Passive acoustic monitoring (PAM) data provide year-round information and overcome foul weather limitations faced by visual surveys. However, the use of PAM data in SDMs has been sparse so far. Here, we use PAM-based SDMs to investigate the spatiotemporal distribution of the critically endangered Antarctic blue whale in the Weddell Sea.Location: The Weddell Sea.Methods: We used presence-only dynamic SDMs employing visual sightings and PAM detections in independent models. We compared the two independent models with a third combined model that integrated both visual and PAM data, aiming at leveraging the advantages of each data type: the extensive spatial extent of visual data and the broader temporal/environmental range of PAM data.Results: Visual and PAM data prove complementary, as indicated by a low spatial overlap between daily predictions and the low predictability of each model at detections of other data types. Combined data models reproduced suitable habitats as given by both independent models. Visual data models indicate areas close to the sea ice edge (SIE) and with low-to-moderate sea ice concentrations (SIC) as suitable, while PAM data models identified suitable habitats at a broader range of distances to SIE and relatively higher SIC.Main Conclusions: The results demonstrate the potential of PAM data to predict year-round marine mammal habitat suitability at large spatial scales. We provide reasons for discrepancies between SDMs based on either data type and give methodological recommendations on using PAM data in SDMs. Combining visual and PAM data in future SDMs is promising for studying vocalized animals, particularly when using recent advances in integrated distribution modelling methods.</t>
  </si>
  <si>
    <t>[El-Gabbas, Ahmed; Thomisch, Karolin; Van Opzeeland, Ilse; Burkhardt, Elke; Boebel, Olaf] Helmholtz Ctr Polar &amp; Marine Res, Alfred Wegener Inst AWI, Ocean Acoust Grp, Bremerhaven, Germany; [El-Gabbas, Ahmed] UFZ Helmholtz Ctr Environm Res, Halle, Germany</t>
  </si>
  <si>
    <t>Helmholtz Association; Alfred Wegener Institute, Helmholtz Centre for Polar &amp; Marine Research; Helmholtz Association; Helmholtz Center for Environmental Research (UFZ)</t>
  </si>
  <si>
    <t>El-Gabbas, A (corresponding author), Helmholtz Ctr Polar &amp; Marine Res, Alfred Wegener Inst AWI, Ocean Acoust Grp, Bremerhaven, Germany.;El-Gabbas, A (corresponding author), UFZ Helmholtz Ctr Environm Res, Halle, Germany.</t>
  </si>
  <si>
    <t>elgabbas@outlook.com</t>
  </si>
  <si>
    <t>; El-Gabbas, Ahmed/E-7796-2014</t>
  </si>
  <si>
    <t>Thomisch, Karolin/0000-0002-7144-8369; Burkhardt, Elke/0000-0002-5128-4176; Boebel, Olaf/0000-0002-2259-0035; El-Gabbas, Ahmed/0000-0003-2225-088X</t>
  </si>
  <si>
    <t>Bundesministerium fur Verbraucherschutz, Ernahrung und Landwirtschaft [2817HS004]</t>
  </si>
  <si>
    <t>Bundesministerium fur Verbraucherschutz, Ernahrung und Landwirtschaft</t>
  </si>
  <si>
    <t>Bundesministerium fur Verbraucherschutz, Ernahrung und Landwirtschaft, Grant/Award Number: 2817HS004</t>
  </si>
  <si>
    <t>10.1111/ddi.13790</t>
  </si>
  <si>
    <t>GQ2Y3</t>
  </si>
  <si>
    <t>WOS:001115907000001</t>
  </si>
  <si>
    <t>Kennedy, AS; Carroll, EL; Zerbini, AN; Baker, CS; Bassoi, M; Beretta, NA; Buss, DL; Calderan, S; Cheeseman, T; Collins, MA; Costa-Urrutia, P; Ensor, P; Groch, K; Leaper, R; Olson, P; Passadore, C; Riet-Sapriza, FG; Vermeulen, E; Vilches, F; Wood, AG; Jackson, JA</t>
  </si>
  <si>
    <t>Kennedy, Amy S.; Carroll, Emma L.; Zerbini, Alexandre N.; Baker, C. Scott; Bassoi, Manuela; Beretta, Nazarena A.; Buss, Danielle L.; Calderan, Susannah; Cheeseman, Ted; Collins, Martin A.; Costa-Urrutia, Paula; Ensor, Paul; Groch, Karina; Leaper, Russell; Olson, Paula; Passadore, Cecilia; Riet-Sapriza, Federico G.; Vermeulen, Els; Vilches, Florencia; Wood, Andrew G.; Jackson, Jennifer A.</t>
  </si>
  <si>
    <t>Photo-identification and satellite telemetry connect southern right whales from South Georgia Island (Islas Georgias del Sur) with multiple feeding and calving grounds in the southwest Atlantic</t>
  </si>
  <si>
    <t>Antarctic; Eubalaena australis; migration; photo-identification; satellite telemetry; southern right whale; South Georgia; whale</t>
  </si>
  <si>
    <t>EUBALAENA-AUSTRALIS; RELATIVE ABUNDANCE; PENINSULA VALDES; BALEEN WHALES; POPULATION; MOVEMENTS; SIGHTINGS; BEHAVIOR; KRILL</t>
  </si>
  <si>
    <t>The sub-Antarctic waters of South Georgia Island (Islas Georgias del Sur, SG/IG) are a regularly visited feeding ground for southern right whales (Eubalaena australis, SRW) in the southwest Atlantic. Satellite telemetry and photo-identification records were compared to better understand the role of SG/IG in the SRW migratory network. We present the first insights from SRW satellite-tracked from the SG/IG feeding ground, habitat use patterns in the Scotia Arc, and movements to Antarctic habitats. Photo-identification comparisons to calving and feeding areas across the South Atlantic and a review of sightings of cetaceans reported from Bird Island (west of SG/IG) since 1979 illuminate long-term habitat use patterns in SG/IG. We present the first recorded migratory movement between SG/IG and multiple countries: Argentina, Uruguay, and Brazil. Photo-identification (1) linked SG/IG to a female SRW with a long-term sighting history in Brazil, and (2) provided the first match between SG/IG and the western Antarctic Peninsula, suggesting the latter could extend the feeding area for southwest Atlantic SRW. Satellite tracking and opportunistic sightings suggest that shelf and coastal waters west of SG/IG represent an important multi-season SRW feeding habitat and add to our overall understanding of habitats and ranges occupied by recovering southwest Atlantic SRW.</t>
  </si>
  <si>
    <t>[Kennedy, Amy S.] Univ Washington, Cooperat Inst Climate Ocean &amp; Ecosyst Studies, Seattle, WA USA; [Carroll, Emma L.] Univ Auckland, Sch Biol Sci, New Zealand Waipapa Taumata Rau, Auckland, New Zealand; [Kennedy, Amy S.; Zerbini, Alexandre N.] Alaska Fisheries Sci Ctr, Marine Mammal Lab, Seattle, WA 98112 USA; [Baker, C. Scott] Oregon State Univ, Marine Mammal Inst, Newport, OR USA; [Baker, C. Scott] Oregon State Univ, Dept Fisheries Wildlife &amp; Conservat Sci, Newport, OR USA; [Bassoi, Manuela] Univ Fed Rio Grande do Norte, Ctr Biociencias, Lab Bioacust, Natal, Brazil; [Beretta, Nazarena A.] Fauna Marina Uruguay, La Paloma, Uruguay; [Buss, Danielle L.; Passadore, Cecilia; Wood, Andrew G.; Jackson, Jennifer A.] NERC, British Antarctic Survey, Cambridge, England; [Buss, Danielle L.] Univ Cambridge, Dept Archaeol, Cambridge, England; [Calderan, Susannah] Scottish Assoc Marine Sci, Oban, Argyll, Scotland; [Cheeseman, Ted] Happywhale, Santa Cruz, CA USA; [Cheeseman, Ted] Southern Cross Univ, Marine Ecol Res Ctr, Lismore, NSW, Australia; [Costa-Urrutia, Paula] Proyecto Franca Austral, Montevideo, Uruguay; [Ensor, Paul] Australian Antarctic Div, Hobart, Tas, Australia; [Groch, Karina] Ctr Nacl Conservacao Baleia Franca, Projeto Franca Austral, Inst Australis, BR-88780000 Imbituba, Brazil; [Leaper, Russell] Int Fund Anim Welf, London, England; [Olson, Paula] NOAA, Southwest Fisheries Sci Ctr, NMFS, La Jolla, CA 92037 USA; [Passadore, Cecilia; Riet-Sapriza, Federico G.] Vida Silvestre Uruguay, Montevideo, Uruguay; [Vermeulen, Els] Univ Pretoria, Mammal Res Inst, Dept Zool &amp; Entomol, Whale Unit, Pretoria, South Africa; [Vilches, Florencia] Inst Conservac Ballenas, Buenos Aires, Argentina; [Kennedy, Amy S.] Univ Washington, Cooperat Inst Climate Ocean &amp; Ecosyst Studies CIC, Ocean, 3737 Brooklyn Ave NE, Seattle, WA 98105 USA</t>
  </si>
  <si>
    <t>University of Washington; University of Washington Seattle; University of Auckland; National Oceanic Atmospheric Admin (NOAA) - USA; Oregon State University; Oregon State University; Universidade Federal do Rio Grande do Norte; UK Research &amp; Innovation (UKRI); Natural Environment Research Council (NERC); NERC British Antarctic Survey; University of Cambridge; UHI Millennium Institute; Southern Cross University; Australian Antarctic Division; National Oceanic Atmospheric Admin (NOAA) - USA; University of Pretoria; University of Washington; University of Washington Seattle</t>
  </si>
  <si>
    <t>Jackson, JA (corresponding author), NERC, British Antarctic Survey, Cambridge, England.;Kennedy, AS (corresponding author), Univ Washington, Cooperat Inst Climate Ocean &amp; Ecosyst Studies CIC, Ocean, 3737 Brooklyn Ave NE, Seattle, WA 98105 USA.</t>
  </si>
  <si>
    <t>amy.kennedy@noaa.gov; jeck@bas.ac.uk</t>
  </si>
  <si>
    <t>Jackson, Jennifer A/E-7997-2013; Carroll, Emma/U-9133-2019; Vermeulen, Els/AAW-2716-2020</t>
  </si>
  <si>
    <t>Carroll, Emma/0000-0003-3193-7288; Vermeulen, Els/0000-0002-3667-1290; Jackson, Jennifer/0000-0003-4158-1924; Vilches, Florencia/0000-0002-8582-5532; Bassoi, Manuela/0000-0003-4376-1128</t>
  </si>
  <si>
    <t>EU BEST 2.0 Medium [1594]; DARWIN PLUS award [DPLUS057]; World Wildlife Fund, South Georgia Heritage Trust; Friends of South Georgia Island - Natural Environment Research Council; Government of South Georgia; South Sandwich Islands</t>
  </si>
  <si>
    <t>EU BEST 2.0 Medium; DARWIN PLUS award; World Wildlife Fund, South Georgia Heritage Trust; Friends of South Georgia Island - Natural Environment Research Council; Government of South Georgia; South Sandwich Islands</t>
  </si>
  <si>
    <t>This work was supported by funding from an EU BEST 2.0 Medium Grant 1594, with additional support provided by a DARWIN PLUS award DPLUS057 and additional funding from the World Wildlife Fund, South Georgia Heritage Trust, and Friends of South Georgia Island. This study forms part of the Ecosystems component of the British Antarctic Survey Polar Science for Planet Earth Programme, funded by The Natural Environment Research Council. We thank the Government of South Georgia and the South Sandwich Islands for providing support for this expedition. Thanks to Matt Jolly and the crew of R/V Braveheart, to Bird Island personnel for compiling whale sightings, to Darryl MacDonald for his assistance with drone imagery and fieldwork, to Aliaksandra Skachkova with mapping support, and to all contributors to Happywhale, in particular Pamela Le Noury, Kerstin Langenberger, and Ella Potts. Reviews of this manuscript were provided by Kim Shelden and Thomas Jefferson.</t>
  </si>
  <si>
    <t>10.1111/mms.13089</t>
  </si>
  <si>
    <t>WOS:001108939000001</t>
  </si>
  <si>
    <t>Rosenfeld, S; Segovia, N; Maturana, CS; Aldea, C; Saucède, T; Brickle, P; Spencer, HG; Poulin, E; González-Wevar, CA</t>
  </si>
  <si>
    <t>Rosenfeld, Sebastian; Segovia, Nicolas, I; Maturana, Claudia S.; Aldea, Cristian; Saucede, Thomas; Brickle, Paul; Spencer, Hamish G.; Poulin, Elie; Gonzalez-Wevar, Claudio A.</t>
  </si>
  <si>
    <t>A revision of the higher latitude periwinkle species Laevilitorina caliginosa sensu lato</t>
  </si>
  <si>
    <t>Antarctica; speciation; molecular phylogeny; biogeography; South America; Bayesian analysis; Gastropoda; new species; morphological comparison; vicariance</t>
  </si>
  <si>
    <t>SOUTHERN-OCEAN; LITTORININAE GASTROPODA; MARINE-INVERTEBRATES; MOLECULAR PHYLOGENY; EVOLUTIONARY RATES; ROCKY SHORES; DIVERSITY; ANTARCTICA; PATTERNS; ECOLOGY</t>
  </si>
  <si>
    <t>The marine gastropod genus Laevilitorina is exclusive to the Southern Hemisphere, with 21 species from southern South America, Antarctica, Australia, New Zealand, and sub-Antarctic Islands. We present a comprehensive revision of Laevilitorina, using molecular and morphological analyses, to address formally the interspecific divergences within the nominal taxon Laevilitorina caliginosa s.l. We confirm the validity of L. caliginosa and Laevilitorina venusta, and we demonstrate that specimens from the Strait of Magellan and Hornos Island constitute four new species here described: Laevilitorina magellanica sp. nov., Laevilitorina pepita sp. nov., Laevilitorina fueguina sp. nov., and Laevilitorina hicana sp. nov. All six species are clearly distinguishable genetically, morphologically, and through radular tooth shape and configurations. Laevilitorina venusta is broadly distributed across the Antarctic Peninsula, South Georgia, and sub-Antarctic Islands (Marion, Crozet, Kerguelen, and Macquarie), whereas L. caliginosa s.s. appears geographically restricted to Cape Horn, the Falkland/Malvinas Islands, and South Georgia. The identification of populations from Macquarie Island as L. caliginosa is dubious; we suggest that these records are likely to pertain to L. venusta. This detailed revision of Laevilitorina, whereby hidden diversity was detected, significantly enriches our knowledge of the evolutionary history of this group.</t>
  </si>
  <si>
    <t>[Rosenfeld, Sebastian; Aldea, Cristian] Univ Magallanes, Ctr Invest Gaia Antart, Ave Bulnes 01855, Punta Arenas, Chile; [Rosenfeld, Sebastian] Univ Magallanes, Lab Ecosistemas Marinos Antart &amp; Subantart, Punta Arenas, Chile; [Rosenfeld, Sebastian; Maturana, Claudia S.; Gonzalez-Wevar, Claudio A.] Inst Milenio Biodivers Ecosistemas Antart &amp; Subant, Las Palmeras 3425, Santiago 7800003, Chile; [Rosenfeld, Sebastian; Maturana, Claudia S.] Univ Magallanes, Cape Horn Int Ctr CHIC, Punta Arenas, Chile; [Segovia, Nicolas, I] Univ Catolica Norte, Fac Ciencias Mar, Dept Biol Marina, Coquimbo, Chile; [Segovia, Nicolas, I] Inst Milenio Socioecol Costera SECOS, Santiago, Chile; [Saucede, Thomas] Univ Bourgogne Franche Comte, Biogeosci, UMR CNRS 6282, 6 Blvd Gabriel, F-21000 Dijon, France; [Brickle, Paul] South Atlantic Environm Res Inst, Ross Rd, Stanley, Falkland Island, England; [Brickle, Paul] Univ Aberdeen, Sch Biol Sci Zool, Aberdeen, Scotland; [Spencer, Hamish G.] Univ Otago, Dept Zool, Dunedin, New Zealand; [Gonzalez-Wevar, Claudio A.] Univ Austral Chile, Fac Ciencias, Ctr Invest Dinam Ecosistemas Altas Latitudes Fonda, Inst Ciencias Marinas &amp; Limnol ICML, Casilla 567, Valdivia 5090000, Chile</t>
  </si>
  <si>
    <t>Universidad de Magallanes; Universidad de Magallanes; Universidad de Magallanes; Universidad Catolica del Norte; Centre National de la Recherche Scientifique (CNRS); CNRS - Institute of Ecology &amp; Environment (INEE); Universite de Bourgogne; University of Aberdeen; University of Otago; Universidad Austral de Chile</t>
  </si>
  <si>
    <t>González-Wevar, CA (corresponding author), Inst Milenio Biodivers Ecosistemas Antart &amp; Subant, Las Palmeras 3425, Santiago 7800003, Chile.;González-Wevar, CA (corresponding author), Univ Austral Chile, Fac Ciencias, Ctr Invest Dinam Ecosistemas Altas Latitudes Fonda, Inst Ciencias Marinas &amp; Limnol ICML, Casilla 567, Valdivia 5090000, Chile.</t>
  </si>
  <si>
    <t>2023 NOV 22</t>
  </si>
  <si>
    <t>10.1093/zoolinnean/zlad171</t>
  </si>
  <si>
    <t>Y9AL2</t>
  </si>
  <si>
    <t>WOS:001108113600001</t>
  </si>
  <si>
    <t>Baranov, AA; Lobkovsky, LI</t>
  </si>
  <si>
    <t>Baranov, A. A.; Lobkovsky, L. I.</t>
  </si>
  <si>
    <t>The Deepest Depressions on Land in Antarctica as a Result of Cenosoic Riftogenesis Activation</t>
  </si>
  <si>
    <t>DOKLADY EARTH SCIENCES</t>
  </si>
  <si>
    <t>Antarctica; BEDMACHINE; Cenozoic rifting; Gaussberg Volcano; Denman Depression; sea level rise</t>
  </si>
  <si>
    <t>EAST; GAUSSBERG; AGE</t>
  </si>
  <si>
    <t>New subglacial BEDMACHINE model shows the presence of a large number of narrow and deep bedrock depressions in various regions of Antarctica with depths up to 3500 m below sea level (Denman Depression). Nothing similar is observed for other continents - on land, depressions usually do not exceed several hundred meters in depth, and the deepest continental rift depressions filled with water, such as Baikal or Tanganyika, also have a significantly shallower depth. Since sedimentation under the ice sheet is practically impossible, the authors suggest that the formation of these deep subglacial uncompensated troughs is associated with the activation of rifting already after the glaciation of Antarctica. At the same time, when the rift structure approaches the coast of the continent, its subglacial relief sharply flattens out, which indicates sedimentation in the transitional area during periods of ice melting and subsequent marine regressions-transgressions. Negative gravity anomalies in the free air of the order of -100 mGal for many subglacial depressions testify in favor of their rift nature. Rifting involves an increased heat flow, which can lead to melting of the glacier base and promote their accelerated sliding from the bedrock into the ocean. This explains the confinement of the most rapidly moving glaciers in Antarctica to the areas of rift depressions. Accelerated flow of glaciers into the ocean creates a potential threat of rising sea levels. The geodynamic mechanism responsible for the Cenozoic activation of the Antarctic rift zones is associated with the action of local upper mantle plumes under Antarctica. The existence of a subglacial volcanic province in the area of the Gaussberg volcano in East Antarctica is assumed.</t>
  </si>
  <si>
    <t>[Baranov, A. A.] Russian Acad Sci, Inst Earthquake Predict Theory &amp; Math Geophys, Moscow 117997, Russia; [Lobkovsky, L. I.] Russian Acad Sci, Shirshov Inst Oceanol, Moscow 117997, Russia</t>
  </si>
  <si>
    <t>Russian Academy of Sciences; Institute of Earthquake Prediction Theory &amp; Mathematical Geophysics; Russian Academy of Sciences; Shirshov Institute of Oceanology</t>
  </si>
  <si>
    <t>Baranov, AA (corresponding author), Russian Acad Sci, Inst Earthquake Predict Theory &amp; Math Geophys, Moscow 117997, Russia.</t>
  </si>
  <si>
    <t>aabaranov@gmail.com</t>
  </si>
  <si>
    <t>We thank the Reviewers whose comments helped to make considerable improvements to this paper.</t>
  </si>
  <si>
    <t>1028-334X</t>
  </si>
  <si>
    <t>1531-8354</t>
  </si>
  <si>
    <t>DOKL EARTH SCI</t>
  </si>
  <si>
    <t>Dokl. Earth Sci.</t>
  </si>
  <si>
    <t>2023 NOV 21</t>
  </si>
  <si>
    <t>10.1134/S1028334X23602420</t>
  </si>
  <si>
    <t>Y5ES5</t>
  </si>
  <si>
    <t>WOS:001105493700008</t>
  </si>
  <si>
    <t>Wilner, JA; Morlighem, M; Cheng, G</t>
  </si>
  <si>
    <t>Wilner, Joel A.; Morlighem, Mathieu; Cheng, Gong</t>
  </si>
  <si>
    <t>Evaluation of four calving laws for Antarctic ice shelves</t>
  </si>
  <si>
    <t>TIDEWATER GLACIERS; JAKOBSHAVN ISBRAE; DYNAMICS; GREENLAND; STABILITY; FRAMEWORK; INSIGHTS; IMPACT; DRIVEN; DAMAGE</t>
  </si>
  <si>
    <t>Many floating ice shelves in Antarctica buttress the ice streams feeding them, thereby reducing the discharge of icebergs into the ocean. The rate at which ice shelves calve icebergs and how fast they flow determine whether they advance, retreat, or remain stable, exerting a first-order control on ice discharge. To parameterize calving within ice sheet models, several empirical and physical calving laws have been proposed in the past few decades. Such laws emphasize dissimilar features, including along- and across-flow strain rates (the eigencalving law), a fracture yield criterion (the von Mises law), longitudinal stretching (the crevasse depth law), and a simple ice thickness threshold (the minimum thickness law), among others. Despite the multitude of established calving laws, these laws remain largely unvalidated for the Antarctic Ice Sheet, rendering it difficult to assess the broad applicability of any given law in Antarctica. We address this shortcoming through a set of numerical experiments that evaluate existing calving laws for 10 ice shelves around the Antarctic Ice Sheet. We utilize the Ice-sheet and Sea-level System Model (ISSM) and implement four calving laws under constant external forcing, calibrating the free parameter of each of these calving laws for each ice shelf by assuming that the current position of the ice front is in steady state and finding the set of parameters that best achieves this position over a simulation of 200 years. We find that, in general, the eigencalving and von Mises laws best reproduce observed calving front positions under the steady-state position assumption. These results will streamline future modeling efforts of Antarctic ice shelves by better informing the relevant physics of Antarctic-style calving on a shelf-by-shelf basis.</t>
  </si>
  <si>
    <t>[Wilner, Joel A.; Morlighem, Mathieu; Cheng, Gong] Dartmouth Coll, Dept Earth Sci, Hanover, NH 03755 USA</t>
  </si>
  <si>
    <t>Wilner, JA (corresponding author), Dartmouth Coll, Dept Earth Sci, Hanover, NH 03755 USA.</t>
  </si>
  <si>
    <t>joel.a.wilner.gr@dartmouth.edu</t>
  </si>
  <si>
    <t>Morlighem, Mathieu/O-9942-2014</t>
  </si>
  <si>
    <t>Morlighem, Mathieu/0000-0001-5219-1310; Cheng, Gong/0000-0001-9171-6714</t>
  </si>
  <si>
    <t>National Science Foundation; Heising-Simons Foundation [2019-1161, 2021-3059]; [2147601]</t>
  </si>
  <si>
    <t>National Science Foundation(National Science Foundation (NSF)); Heising-Simons Foundation;</t>
  </si>
  <si>
    <t>Joel A. Wilner and Mathieu Morlighem acknowledge support from the National Science Foundation (grant no. 2147601), Collaborative Research: Frameworks: Convergence of Bayesian inverse methods and scientific machine learning in Earth system models through universal differentiable programming. Gong Cheng is supported by two Heising-Simons Foundation grants (grant nos. 2019-1161 and 2021-3059).</t>
  </si>
  <si>
    <t>NOV 21</t>
  </si>
  <si>
    <t>10.5194/tc-17-4889-2023</t>
  </si>
  <si>
    <t>IU5T8</t>
  </si>
  <si>
    <t>WOS:001168871200001</t>
  </si>
  <si>
    <t>Kessenich, HE; Seppälä, A; Rodger, CJ</t>
  </si>
  <si>
    <t>Kessenich, Hannah E.; Seppala, Annika; Rodger, Craig J.</t>
  </si>
  <si>
    <t>Potential drivers of the recent large Antarctic ozone holes</t>
  </si>
  <si>
    <t>ENERGETIC PARTICLE-PRECIPITATION; STRATOSPHERIC CHLORINE; TRENDS; RECOVERY; DEPLETION; PROFILES</t>
  </si>
  <si>
    <t>The past three years (2020-2022) have witnessed the re-emergence of large, long-lived ozone holes over Antarctica. Understanding ozone variability remains of high importance due to the major role Antarctic stratospheric ozone plays in climate variability across the Southern Hemisphere. Climate change has already incited new sources of ozone depletion, and the atmospheric abundance of several chlorofluorocarbons has recently been on the rise. In this work, we take a comprehensive look at the monthly and daily ozone changes at different altitudes and latitudes within the Antarctic ozone hole. Following indications of early-spring recovery, the October middle stratosphere is dominated by continued, significant ozone reduction since 2004, amounting to 26% loss in the core of the ozone hole. We link the declines in mid-spring Antarctic ozone to dynamical changes in mesospheric descent within the polar vortex, highlighting the importance of continued monitoring of the state of the ozone layer. The record-breaking ozone holes of recent years contribute to a steady decline of mid-spring ozone in the Antarctic, contrary to signs of early-spring recovery. Changes in descending air at the core of the ozone hole might be the driver.</t>
  </si>
  <si>
    <t>[Kessenich, Hannah E.; Seppala, Annika; Rodger, Craig J.] Univ Otago, Dept Phys, Dunedin, New Zealand</t>
  </si>
  <si>
    <t>Seppälä, A (corresponding author), Univ Otago, Dept Phys, Dunedin, New Zealand.</t>
  </si>
  <si>
    <t>Seppälä, Annika/C-8031-2014</t>
  </si>
  <si>
    <t>Seppälä, Annika/0000-0002-5028-8220</t>
  </si>
  <si>
    <t>Ministry of Business, Innovation and Employment (MBIE) [UOOX2106]; New Zealand Ministry of Business, Innovation &amp; Employment Endeavour fund Smart Ideas project PROP-76111-ENDSI-UOO</t>
  </si>
  <si>
    <t>Ministry of Business, Innovation and Employment (MBIE)(New Zealand Ministry of Business, Innovation and Employment (MBIE)); New Zealand Ministry of Business, Innovation &amp; Employment Endeavour fund Smart Ideas project PROP-76111-ENDSI-UOO</t>
  </si>
  <si>
    <t>H.E.K. and A.S. were partially funded by the New Zealand Ministry of Business, Innovation &amp; Employment Endeavour fund Smart Ideas project PROP-76111-ENDSI-UOO (Contract UOOX2106).</t>
  </si>
  <si>
    <t>10.1038/s41467-023-42637-0</t>
  </si>
  <si>
    <t>AD4B6</t>
  </si>
  <si>
    <t>WOS:001116498500013</t>
  </si>
  <si>
    <t>Burke, A; Innes, HM; Crick, L; Anchukaitis, KJ; Byrne, MP; Hutchison, W; McConnell, JR; Moore, KA; Rae, JWB; Sigl, M; Wilson, R</t>
  </si>
  <si>
    <t>Burke, Andrea; Innes, Helen M.; Crick, Laura; Anchukaitis, Kevin J.; Byrne, Michael P.; Hutchison, William; McConnell, Joseph R.; Moore, Kathryn A.; Rae, James W. B.; Sigl, Michael; Wilson, Rob</t>
  </si>
  <si>
    <t>High sensitivity of summer temperatures to stratospheric sulfur loading from volcanoes in the Northern Hemisphere</t>
  </si>
  <si>
    <t>PROCEEDINGS OF THE NATIONAL ACADEMY OF SCIENCES OF THE UNITED STATES OF AMERICA</t>
  </si>
  <si>
    <t>volcanoes; climate; ice cores; sulfur isotopes</t>
  </si>
  <si>
    <t>TRANSIENT CLIMATE SENSITIVITY; EXPLOSIVE VOLCANISM; OPTICAL DEPTH; RADIATIVE FEEDBACKS; EAST ANTARCTICA; CE ERUPTION; 1450S CE; RECORD; SIMULATIONS; DEPENDENCE</t>
  </si>
  <si>
    <t>The 540s, 1450s, and 1600s represent three of the five coldest decades in the Common Era (CE). In each of these cases, the cause of these cold pulses has been attributed to large volcanic eruptions. However, the provenance of the eruption and magnitude of the volcanic forcing remains uncertain. Here, we use high- resolution sulfur isotopes in Greenland and Antarctic ice cores measured across these events to provide a means of improving sulfur loading estimates for these eruptions. In each case, the largest reconstructed tree -ring cooling is associated with an extratropical eruption, and the high- altitude stratospheric sulfate loading of these events is substantially smaller than previous estimates (by up to a factor of two). These results suggest an increased sensitivity of the reconstructed Northern Hemisphere summer temperature response to extratropical eruptions. This highlights the importance of climate feedbacks and processes that amplify and prolong the cooling signal from high latitudes, such as changes in sea ice extent and ocean heat content.</t>
  </si>
  <si>
    <t>[Burke, Andrea; Innes, Helen M.; Crick, Laura; Byrne, Michael P.; Hutchison, William; Moore, Kathryn A.; Rae, James W. B.; Wilson, Rob] Univ St Andrews, Sch Earth &amp; Environm Sci, St Andrews KY16 9TS, Scotland; [Anchukaitis, Kevin J.] Univ Arizona, Sch Geog Dev &amp; Environm, Tucson, AZ 85721 USA; [Anchukaitis, Kevin J.] Univ Arizona, Lab Tree Ring Res, Tucson, AZ 85721 USA; [McConnell, Joseph R.] Desert Res Inst, Div Hydrol Sci, Reno, NV 89512 USA; [Moore, Kathryn A.] Colorado State Univ, Dept Atmospher Sci, Ft Collins, CO 80523 USA; [Sigl, Michael] Univ Bern, Climate &amp; Environm Phys &amp; Oeschger Ctr Climate Cha, CH-3012 Bern, Switzerland</t>
  </si>
  <si>
    <t>University of St Andrews; University of Arizona; University of Arizona; Nevada System of Higher Education (NSHE); Desert Research Institute NSHE; Colorado State University; University of Bern</t>
  </si>
  <si>
    <t>Burke, A (corresponding author), Univ St Andrews, Sch Earth &amp; Environm Sci, St Andrews KY16 9TS, Scotland.</t>
  </si>
  <si>
    <t>ab276@st-andrews.ac.uk</t>
  </si>
  <si>
    <t>Moody, Michael P/H-9377-2013; Wilson, Robert/S-9147-2016; Rae, James/R-3812-2017</t>
  </si>
  <si>
    <t>Wilson, Robert/0000-0003-4486-8904; Burke, Andrea/0000-0002-3754-1498; Rae, James/0000-0003-3904-2526; Sigl, Michael/0000-0002-9028-9703; McConnell, Joseph/0000-0001-9051-5240; Byrne, Michael/0000-0001-9019-3915</t>
  </si>
  <si>
    <t>ERC (European Research Council) [CIG14-631752]; Philip Leverhulme prize from the Leverhulme Trust [PLP-2021-167]; UKRI Future Leaders Fellowship [MR/S033505/1]; ERC under the European Union [820047]; IAPETUS; IAPETUS2 NERC Doctoral Training Partnership; NSF [1204176, 0909541]</t>
  </si>
  <si>
    <t>ERC (European Research Council)(European Research Council (ERC)); Philip Leverhulme prize from the Leverhulme Trust(Leverhulme Trust); UKRI Future Leaders Fellowship(UK Research &amp; Innovation (UKRI)); ERC under the European Union(European Research Council (ERC)); IAPETUS; IAPETUS2 NERC Doctoral Training Partnership; NSF(National Science Foundation (NSF))</t>
  </si>
  <si>
    <t>This work was funded by an ERC (European Research Council) Marie Curie Career Integration Grant (CIG14-631752) and a Philip Leverhulme prize in Earth Sciences (PLP-2021-167) from the Leverhulme Trust awarded to A.B. WH is funded by a UKRI Future Leaders Fellowship (MR/S033505/1) . M.S. acknowledges the support of the ERC under the European Union's Horizon 2020 research and innovation programme (grant agreement 820047) . H.M.I. and L.C. were both funded by IAPETUS and IAPETUS2 NERC Doctoral Training Partnership. The Tunu2013 and NEEM_2011_S1 ice cores were collected and analyzed for sulfur and other chemical species used to establish the ice core chronologies with funding from NSF grants 1204176 and 0909541 to J.R.M., respectively, and ice cores were sampled with funding from NSF grant 1340174.</t>
  </si>
  <si>
    <t>NATL ACAD SCIENCES</t>
  </si>
  <si>
    <t>2101 CONSTITUTION AVE NW, WASHINGTON, DC 20418 USA</t>
  </si>
  <si>
    <t>0027-8424</t>
  </si>
  <si>
    <t>1091-6490</t>
  </si>
  <si>
    <t>P NATL ACAD SCI USA</t>
  </si>
  <si>
    <t>Proc. Natl. Acad. Sci. U. S. A.</t>
  </si>
  <si>
    <t>e2221810120</t>
  </si>
  <si>
    <t>10.1073/pnas.2221810120</t>
  </si>
  <si>
    <t>HY2I6</t>
  </si>
  <si>
    <t>WOS:001163002000004</t>
  </si>
  <si>
    <t>Zhang, XW; Han, WT; Fan, X; Wang, YT; Xu, D; Sun, K; Wang, W; Zhang, Y; Ma, J; Ye, NH</t>
  </si>
  <si>
    <t>Zhang, Xiaowen; Han, Wentao; Fan, Xiao; Wang, Yitao; Xu, Dong; Sun, Ke; Wang, Wei; Zhang, Yan; Ma, Jian; Ye, Naihao</t>
  </si>
  <si>
    <t>Gene duplication and functional divergence of new genes contributed to the polar acclimation of Antarctic green algae</t>
  </si>
  <si>
    <t>MARINE LIFE SCIENCE &amp; TECHNOLOGY</t>
  </si>
  <si>
    <t>Psychrophilic microalgae; Adaptive evolution; Gene replication</t>
  </si>
  <si>
    <t>EVOLUTION; ADAPTATION; RESPONSES; PHOTOSYNTHESIS; TEMPERATURE; EXPRESSION; PROTECTION; PROTEINS; SEQUENCE; INSIGHTS</t>
  </si>
  <si>
    <t>Psychrophilic microalgae successfully survive in the extreme and highly variable polar ecosystems, which represent the energy base of most food webs and play a fundamental role in nutrient cycling. The success of microalgae is rooted in their adaptive evolution. Revealing how they have evolved to thrive in extreme polar environments will help us better understand the origin of life in polar ecosystems. We isolated a psychrophilic unicellular green alga, Microglena sp. YARC, from Antarctic sea ice which has a huge genome. Therefore, we predicted that gene replication may play an important role in its polar adaptive evolution. We found that its protein-coding gene number significantly increased and the duplication time was dated between 37 and 48 million years ago, which is consistent with the formation of the circumpolar Southern Ocean. Most duplicated paralogous genes were enriched in pathways related to photosynthesis, DNA repair, and fatty acid metabolism. Moreover, there were a total of 657 Microglena-specific families, including collagen-like proteins. The divergence in the expression patterns of the duplicated and species-specific genes reflects sub- and neo-functionalization during stress acclimation. Overall, key findings from this study provide new information on how gene duplication and their functional novelty contributed to polar algae adaptation to the highly variable polar environmental conditions.</t>
  </si>
  <si>
    <t>[Zhang, Xiaowen; Han, Wentao; Fan, Xiao; Wang, Yitao; Xu, Dong; Sun, Ke; Wang, Wei; Zhang, Yan; Ma, Jian; Ye, Naihao] Chinese Acad Fishery Sci, Yellow Sea Fisheries Res Inst, State Key Lab Mariculture Biobreeding &amp; Sustainabl, Qingdao 266071, Peoples R China; [Zhang, Xiaowen; Ye, Naihao] Laoshan Lab, Lab Marine Fisheries Sci &amp; Food Prod Proc, Qingdao 266237, Peoples R China</t>
  </si>
  <si>
    <t>Chinese Academy of Fishery Sciences; Yellow Sea Fisheries Research Institute, CAFS; Laoshan Laboratory</t>
  </si>
  <si>
    <t>Ye, NH (corresponding author), Chinese Acad Fishery Sci, Yellow Sea Fisheries Res Inst, State Key Lab Mariculture Biobreeding &amp; Sustainabl, Qingdao 266071, Peoples R China.;Ye, NH (corresponding author), Laoshan Lab, Lab Marine Fisheries Sci &amp; Food Prod Proc, Qingdao 266237, Peoples R China.</t>
  </si>
  <si>
    <t>yenh@ysfri.ac.cn</t>
  </si>
  <si>
    <t>liu, zhao/KGM-5884-2024; Huang, Yong/KFA-1191-2024</t>
  </si>
  <si>
    <t>National Key Research and Development Programme of China [2022YFD2400105, LSKJ202203801]; Natural Science Foundation of Shandong Province [ZR2021MD075, ZR202211110025]; National Natural Science Foundation of China [41676145, 32000404]; Central Public-interest Scientific Institution Basal Research Fund, CAFS [2023TD28, 2023TD19]; China Agriculture Research System [CARS-50]; Young Taishan Scholars Program, Taishan Scholars Program</t>
  </si>
  <si>
    <t>National Key Research and Development Programme of China; Natural Science Foundation of Shandong Province(Natural Science Foundation of Shandong Province); National Natural Science Foundation of China(National Natural Science Foundation of China (NSFC)); Central Public-interest Scientific Institution Basal Research Fund, CAFS; China Agriculture Research System; Young Taishan Scholars Program, Taishan Scholars Program</t>
  </si>
  <si>
    <t>This work was supported by the National Key Research and Development Programme of China (2022YFD2400105), Laoshan Laboratory (LSKJ202203801), Natural Science Foundation of Shandong Province (ZR2021MD075, ZR202211110025), National Natural Science Foundation of China (41676145, 32000404), Central Public-interest Scientific Institution Basal Research Fund, CAFS (2023TD28, 2023TD19), China Agriculture Research System (CARS-50), the Young Taishan Scholars Program, Taishan Scholars Program.</t>
  </si>
  <si>
    <t>2096-6490</t>
  </si>
  <si>
    <t>2662-1746</t>
  </si>
  <si>
    <t>MAR LIFE SCI TECH</t>
  </si>
  <si>
    <t>Mar. Life Sci. Tech.</t>
  </si>
  <si>
    <t>10.1007/s42995-023-00203-z</t>
  </si>
  <si>
    <t>LN4P3</t>
  </si>
  <si>
    <t>WOS:001106453000001</t>
  </si>
  <si>
    <t>Drijfhout, SS; Bull, CYS; Hewitt, H; Holland, PR; Jenkins, A; Mathiot, P; Garabato, AN</t>
  </si>
  <si>
    <t>Drijfhout, Sybren S.; Bull, Christopher Y. S.; Hewitt, Helene; Holland, Paul R.; Jenkins, Adrian; Mathiot, Pierre; Garabato, Alberto Naveira</t>
  </si>
  <si>
    <t>An Amundsen Sea source of decadal temperature changes on the Antarctic continental shelf</t>
  </si>
  <si>
    <t>OCEAN DYNAMICS</t>
  </si>
  <si>
    <t>Amundsen Sea; Circumpolar Deep Water; Antarctic continental shelf; Subsurface warming; Global ocean model; Basal melt</t>
  </si>
  <si>
    <t>CIRCUMPOLAR DEEP-WATER; GLACIAL MELTWATER; VARIABILITY; TRANSPORT; DRIVEN; IMPACT</t>
  </si>
  <si>
    <t>Mass loss from the Antarctic Ice Sheet is dominated by basal melting-induced warm ocean water. Ice-sheet mass loss and thinning of buttressing ice shelves occur primarily in the Amundsen and Bellingshausen Seas. Here, we show that in a global ocean simulation using the 0.25 degrees Nucleus for European Modeling of Ocean (NEMO) model driven by the JRA55 reanalysis from 1982 to 2017, the Amundsen sector of the Antarctic continental shelf acts as a gateway, regulating the on-shelf access of warm Circumpolar Deep Water (CDW) from the deep ocean and its westward transfer to other sectors up to ca. 90 degrees E, particularly the Ross Sea. As a result, anomalies in Antarctic-shelf-averaged temperature mainly originate in the Amundsen sector. These changes are primarily governed by shifts in the Amundsen Sea Low associated with tropical climate variability, modulating the on-shelf transport of CDW via wind-driven perturbations to ocean currents. The ensuing temperature anomalies progress westward from the Amundsen Sea via three distinct routes: a slow, convoluted westward pathway on the shelf via the Antarctic Coastal Current; a faster westward pathway along the shelf break via the Antarctic Slope Current and then onto the shelf along topographic troughs; and a third, eastward route toward the Bellingshausen sector, whereby temperature anomalies are transported into a region of local wind-generated changes farther north. These results emphasize the importance of the Amundsen sector for climate variability over the Antarctic shelves.</t>
  </si>
  <si>
    <t>[Drijfhout, Sybren S.; Garabato, Alberto Naveira] Univ Southampton, Sch Ocean &amp; Earth Sci, Southampton, England; [Drijfhout, Sybren S.] Royal Netherlands Meteorol Inst, De Bilt, Netherlands; [Drijfhout, Sybren S.] Univ Utrecht, Inst Marine &amp; Atmospher Res, Utrecht, Netherlands; [Bull, Christopher Y. S.; Jenkins, Adrian] Northumbria Univ, Dept Geog &amp; Environm Sci, Newcastle Upon Tyne, England; [Hewitt, Helene; Mathiot, Pierre] Met Off, Exeter, England; [Holland, Paul R.] British Antarctic Survey, Cambridge, England; [Mathiot, Pierre] Univ Grenoble Alpes, Grenoble, France</t>
  </si>
  <si>
    <t>NERC National Oceanography Centre; University of Southampton; Royal Netherlands Meteorological Institute; Utrecht University; Northumbria University; Met Office - UK; UK Research &amp; Innovation (UKRI); Natural Environment Research Council (NERC); NERC British Antarctic Survey; Communaute Universite Grenoble Alpes; Universite Grenoble Alpes (UGA)</t>
  </si>
  <si>
    <t>Drijfhout, SS (corresponding author), Univ Southampton, Sch Ocean &amp; Earth Sci, Southampton, England.;Drijfhout, SS (corresponding author), Royal Netherlands Meteorol Inst, De Bilt, Netherlands.;Drijfhout, SS (corresponding author), Univ Utrecht, Inst Marine &amp; Atmospher Res, Utrecht, Netherlands.</t>
  </si>
  <si>
    <t>s.s.drijfhout@soton.ac.uk</t>
  </si>
  <si>
    <t>Bull, Christopher/0000-0001-8362-3446; Jenkins, Adrian/0000-0002-9117-0616; Drijfhout, Sybren/0000-0001-5325-7350</t>
  </si>
  <si>
    <t>The authors acknowledge resources provided by the supercomputing facilities of the ARCHER and JASMIN UK National Supercomputing Services and the JWCRP Joint Marine Modelling Programme for providing support and access to model configurations and output.</t>
  </si>
  <si>
    <t>1616-7341</t>
  </si>
  <si>
    <t>1616-7228</t>
  </si>
  <si>
    <t>OCEAN DYNAM</t>
  </si>
  <si>
    <t>Ocean Dyn.</t>
  </si>
  <si>
    <t>10.1007/s10236-023-01587-3</t>
  </si>
  <si>
    <t>DO3O2</t>
  </si>
  <si>
    <t>WOS:001104954500001</t>
  </si>
  <si>
    <t>Liu, WQ; Cong, BL; Lin, J; Liu, SH; Deng, AF; Zhao, LL</t>
  </si>
  <si>
    <t>Liu, Wenqi; Cong, Bailin; Lin, Jing; Liu, Shenghao; Deng, Aifang; Zhao, Linlin</t>
  </si>
  <si>
    <t>Taxonomic identification and temperature stress tolerance mechanisms of Aequorivita marisscotiae sp. nov</t>
  </si>
  <si>
    <t>ESCHERICHIA-COLI K-12; EMENDED DESCRIPTION; GEN. NOV.; CHLAMYDOMONAS; ADAPTATION; SEQUENCE; MUTANTS; MEMBER; EXOPOLYSACCHARIDES; EXTRACTION</t>
  </si>
  <si>
    <t>The deep sea harbours microorganisms with unique life characteristics and activities due to adaptation to particular environmental conditions, but the limited sample collection and pure culture techniques available constrain the study of deep-sea microorganisms. In this study, strain Ant34-E75 was isolated from Antarctic deep-sea sediment samples and showed the highest 16 S rRNA gene sequence similarity (97.18%) with the strain Aequorivita viscosa 8-1bT. Strain Ant34-E75 is psychrotrophic and can effectively increase the cold tolerance of Chlamydomonas reinhardtii (a model organism). Subsequent transcriptome analysis revealed multiple mechanisms involved in the Ant34-E75 response to temperature stress, and weighted gene co-expression network analysis (WGCNA) showed that the peptidoglycan synthesis pathway was the key component. Overall, this study provides insights into the characteristics of a deep-sea microorganism and elucidates mechanisms of temperature adaptation at the molecular level. A novel Aequorivita bacterium isolated from deep sea sediments in Antarctica could increase cold tolerance of Chlamydomonas reinhardtii, transcriptomics revealed peptidoglycan rearrangement as key response to cold stress.</t>
  </si>
  <si>
    <t>[Liu, Wenqi; Cong, Bailin; Lin, Jing; Liu, Shenghao; Deng, Aifang; Zhao, Linlin] Minist Nat Resources, Inst Oceanog 1, Qingdao 266061, Peoples R China</t>
  </si>
  <si>
    <t>Ministry of Natural Resources of the People's Republic of China; First Institute of Oceanography, Ministry of Natural Resources</t>
  </si>
  <si>
    <t>Cong, BL (corresponding author), Minist Nat Resources, Inst Oceanog 1, Qingdao 266061, Peoples R China.</t>
  </si>
  <si>
    <t>biolin@fio.org.cn</t>
  </si>
  <si>
    <t>Liu, Wenqi/T-1712-2019</t>
  </si>
  <si>
    <t>Liu, Wenqi/0000-0001-6408-0204</t>
  </si>
  <si>
    <t>This work was financially supported by the Chinese National Natural Science Foundation (Grant No: 41006102). [41006102]; Chinese National Natural Science Foundation</t>
  </si>
  <si>
    <t>This work was financially supported by the Chinese National Natural Science Foundation (Grant No: 41006102).; Chinese National Natural Science Foundation(National Natural Science Foundation of China (NSFC))</t>
  </si>
  <si>
    <t>This work was financially supported by the Chinese National Natural Science Foundation (Grant No: 41006102).</t>
  </si>
  <si>
    <t>10.1038/s42003-023-05559-7</t>
  </si>
  <si>
    <t>Y5NG9</t>
  </si>
  <si>
    <t>gold, Green Published, Green Submitted</t>
  </si>
  <si>
    <t>WOS:001105717100001</t>
  </si>
  <si>
    <t>Sanderson, RJ; Winter, K; Callard, SL; Napoleoni, F; Ross, N; Jordan, TA; Bingham, RG</t>
  </si>
  <si>
    <t>Sanderson, Rebecca J.; Winter, Kate; Callard, S. Louise; Napoleoni, Felipe; Ross, Neil; Jordan, Tom A.; Bingham, Robert G.</t>
  </si>
  <si>
    <t>Englacial architecture of Lambert Glacier, East Antarctica</t>
  </si>
  <si>
    <t>PINE ISLAND GLACIER; ICE-SHELF SYSTEM; WEST ANTARCTICA; FLOW DIRECTION; STREAM-D; DOME C; SHEET; ONSET; STRATIGRAPHY; BALANCE</t>
  </si>
  <si>
    <t>The analysis of englacial layers using radio-echo sounding data enables the characterisation and reconstruction of current and past ice-sheet flow. Despite the Lambert Glacier catchment being one of the largest in Antarctica, discharging similar to 16 % of East Antarctica's ice, its englacial architecture has been little analysed. Here, we present a comprehensive analysis of Lambert Glacier's englacial architecture using radio-echo sounding data collected by Antarctica's Gamburtsev Province Project (AGAP) North survey. We used an internal layering continuity index (ILCI) to characterise the internal architecture of the ice and identify four macro-scale ILCI zones with distinct glaciological contexts. Whilst the catchment is dominated by continuous englacial layering, disrupted or discontinuous layering is highlighted by the ILCI at both the onset of enhanced ice flow (defined here as &gt; 15 m a(-1)) and along the shear margin, suggesting a transition in englacial deformation conditions and converging ice flow. These zones are characterised by buckled and folded englacial layers which have fold axes aligned with the current ice-flow regime. These folds suggest that the flow direction of the Lambert Glacier trunk has changed little, if at all, during the Holocene. Disturbed englacial layers that do not correspond to modern ice-flow routing found within a deep subglacial channel, however, suggest that ice-flow change has occurred in a former tributary that fed Lambert Glacier from grid north. As large outlet systems such as Lambert Glacier are likely to play a vital role in the future drainage of the East Antarctic Ice Sheet, constraining their englacial architecture to reconstruct their past ice flow and determine basal conditions is important for refining projections of future sea-level change.</t>
  </si>
  <si>
    <t>[Sanderson, Rebecca J.; Callard, S. Louise] Newcastle Univ, Sch Geog Polit &amp; Sociol, Newcastle, England; [Winter, Kate] Northumbria Univ, Fac Engn &amp; Environm, Dept Geog &amp; Environm Sci, Newcastle, England; [Napoleoni, Felipe] Univ Durham, Dept Geog, Durham, England; [Napoleoni, Felipe] Ctr Estudios Cient, Valdivia, Chile; [Jordan, Tom A.] British Antarctic Survey, Cambridge, England; [Napoleoni, Felipe; Bingham, Robert G.] Univ Edinburgh, Sch Geosci, Edinburgh, Scotland</t>
  </si>
  <si>
    <t>Newcastle University - UK; Northumbria University; Durham University; UK Research &amp; Innovation (UKRI); Natural Environment Research Council (NERC); NERC British Antarctic Survey; University of Edinburgh</t>
  </si>
  <si>
    <t>Sanderson, RJ (corresponding author), Newcastle Univ, Sch Geog Polit &amp; Sociol, Newcastle, England.</t>
  </si>
  <si>
    <t>r.sanderson5@newcastle.ac.uk</t>
  </si>
  <si>
    <t>Jordan, Tom/0000-0003-2780-1986; Napoleoni, Felipe/0000-0003-3406-0856</t>
  </si>
  <si>
    <t>National Environmental Research Council (NERC)-funded ONE Planet Doctoral Training Partnership [NE/S007512/1]; Newcastle and Northumbria universities</t>
  </si>
  <si>
    <t>National Environmental Research Council (NERC)-funded ONE Planet Doctoral Training Partnership; Newcastle and Northumbria universities</t>
  </si>
  <si>
    <t>This research has been supported by the National Environmental Research Council (NERC)-funded ONE Planet Doctoral Training Partnership (NE/S007512/1), hosted jointly by Newcastle and Northumbria universities.</t>
  </si>
  <si>
    <t>NOV 20</t>
  </si>
  <si>
    <t>10.5194/tc-17-4853-2023</t>
  </si>
  <si>
    <t>JA5G2</t>
  </si>
  <si>
    <t>WOS:001170438600001</t>
  </si>
  <si>
    <t>Fatima, S; Afzal, A; Rashid, H; Iqbal, S; Zafar, R; Khalid, K; Rauf, A; Majeed, M; Malik, A; Carter, CG</t>
  </si>
  <si>
    <t>Fatima, Shafaq; Afzal, Ayesha; Rashid, Hamna; Iqbal, Saba; Zafar, Rosheen; Khalid, Komal; Rauf, Ayman; Majeed, Maryam; Malik, Aqsa; Carter, Chris G.</t>
  </si>
  <si>
    <t>Dietary replacement of soybean meal with black soldier fly larvae meal in juvenile Labeo rohita and Catla catla: Effects on growth, nutritional quality, oxidative stress biomarkers and disease resistance</t>
  </si>
  <si>
    <t>PRE-PUPAE MEAL; HERMETIA-ILLUCENS; FISH-MEAL; RAINBOW-TROUT; ONCORHYNCHUS-MYKISS; PERFORMANCE; PROTEIN; PREPUPAE; DIPTERA; JIAN</t>
  </si>
  <si>
    <t>This experiment aimed to investigate the effects of partial substitution of crude protein from soybean meal (SBM) with black soldier fly (Hermetia illucens) larvae meal (BSFLM) in juvenile rohu (Labeo rohita) and catla (Catla catla). Four isonitrogenous diets (23% crude protein) were formulated to replace 0% (T0), 40% (T40), 80% (T80) and 100% (T100) crude protein from SBM with BSFLM. Triplicate groups of each species (10 fish per replicate) were fed in an eight week growth experiment. After final sampling (n = 20 fish per dietary group), the remaining fish were exposed to bacterial (Staphylococcus aureus) challenge (0.80 CFU/ml) for 15 days. Rohu fed with BSFLM substituted diets showed significantly higher growth and feed conversion ratio as compared to those in T0. Catla fed with BSFLM substituted diets showed slightly higher growth indices. The growth response of rohu to BSFLM substitution was better than that noted in catla in all groups. The chemical composition, amino acids and fatty acids profile, haematological and biochemical parameters, levels of liver function enzymes measured in T0, T40, T80 and T100 were similar between four dietary groups in both species. However, the maximum value of cholesterol and triglycerides were noted in T100 both in catla and rohu. The values of lauric acid, alpha-linolenic acid, decosahexanoic acid, n3:n6 fatty acids ratio progressively increased with dietary increase of BSFLM in both species. At end of the growth experiment, the levels of catalase, superoxide dismutase and lysozyme increased linearly with the inclusion of BSFLM in both species while malondialdehyde showed similar values between different groups. However, catalase, and superoxide dismutase increased (T0</t>
  </si>
  <si>
    <t>[Fatima, Shafaq] Purdue Univ, Dept Biol Sci, Ft Wayne, IN 46805 USA; [Afzal, Ayesha; Rashid, Hamna; Iqbal, Saba; Zafar, Rosheen; Khalid, Komal; Rauf, Ayman; Majeed, Maryam; Malik, Aqsa] Lahore Coll Women Univ, Dept Zool, Jail Rd, Lahore, Pakistan; [Carter, Chris G.] Univ Tasmania, Inst Marine &amp; Antarctic Studies IMAS, Hobart, Tas, Australia</t>
  </si>
  <si>
    <t>Fatima, S (corresponding author), Purdue Univ, Dept Biol Sci, Ft Wayne, IN 46805 USA.</t>
  </si>
  <si>
    <t>shaff01@pfw.edu</t>
  </si>
  <si>
    <t>Carter, Chris Guy/A-3438-2008; Khalid, Komal/AAL-1242-2020</t>
  </si>
  <si>
    <t>Carter, Chris Guy/0000-0001-5210-1282; Khalid, Komal/0000-0001-7220-6962; fatima, shafaq/0000-0002-7133-3633</t>
  </si>
  <si>
    <t>e0294452</t>
  </si>
  <si>
    <t>10.1371/journal.pone.0294452</t>
  </si>
  <si>
    <t>CD8O3</t>
  </si>
  <si>
    <t>WOS:001123404900014</t>
  </si>
  <si>
    <t>dos Santos, GS; Teixeira, MVS; Clementino, LD; Gama, PA; Pereira, LM; Teixeira, TR; Furtado, NAJC; Graminha, MAD; Yatsuda, AP; Neto, PC; Edrada-Ebel, RA; Debonsi, HM</t>
  </si>
  <si>
    <t>dos Santos, Gustavo Souza; Teixeira, Maria Valdeline Sousa; Clementino, Leandro da Costa; Gama-Filho, Pericles Abreu; Pereira, Luiz Miguel; Teixeira, Thaiz Rodrigues; Furtado, Niege Aracari Jacometti Cardoso; Graminha, Marcia Aparecida da Silva; Yatsuda, Ana Patricia; Neto, Pio Colepicolo; Edrada-Ebel, Ru Angelie; Debonsi, Hosana Maria</t>
  </si>
  <si>
    <t>Annotation of GC-MS Data of Antimicrobial Constituents in the Antarctic Seaweed Phaeurus antarcticus by Molecular Networking</t>
  </si>
  <si>
    <t>CHEMISTRY &amp; BIODIVERSITY</t>
  </si>
  <si>
    <t>antiparasitic; antibacterial; antarctic seaweed; neglected diseases</t>
  </si>
  <si>
    <t>BROWN ALGA; ANTILEISHMANIAL ACTIVITY; METHYLENE-BLUE; EXTRACTS; PYRIMETHAMINE; ASSAY</t>
  </si>
  <si>
    <t>Phaeurus antarcticus is a member of the Desmarestiaceae family endemic to the Antarctic Peninsula. Reports addressing its chemical composition and biological activities are scarce. Herein, bioactive non-polar compounds of P. antarcticus against pathogenic bacteria, Leishmania amazonensis and Neospora caninum parasites were targeted through GC-MS Molecular Networking and multivariate analysis (OPLS-DA). The effects on horseradish peroxidase (HRP) were also evaluated. P. antarcticus exhibited selective bacteriostatic and bactericidal activities against Staphylococcus aureus with MIC and MBC values from 6.25-100 mu g mL(-1). Fractions HX-FC and HX-FD were the most active against L. amazonensis with EC50 ranging from 18.5-62.3 mu g mL(-1). Additionally, fractions HX-FC and HX-FD showed potent inhibition of N. caninum at EC50 values of 2.8 and 6.3 mu g mL(-1), respectively. All fractions inhibited HRP activity, indicating possible interactions with Heme proteins. It was possible to annotate compounds from tree mains clusters, containing terpenoids, steroids, fatty acids, and alcohols by correlating the spectral data of the GC-MS analysis with Molecular Networking and the OPLS-DA results.</t>
  </si>
  <si>
    <t>[dos Santos, Gustavo Souza; Teixeira, Thaiz Rodrigues; Debonsi, Hosana Maria] Univ Sao Paulo, Sch Pharmaceut Sci Ribeirao Preto, Dept Biomol Sci, Ribeirao Preto, SP, Brazil; [Teixeira, Maria Valdeline Sousa; Furtado, Niege Aracari Jacometti Cardoso] Univ Sao Paulo, Sch Pharmaceut Sci Ribeirao Preto, Dept Pharmaceut Sci, Ribeirao Preto, SP, Brazil; [Clementino, Leandro da Costa] Sao Paulo State Univ UNESP, Inst Chem, Araraquara, SP, Brazil; [Gama-Filho, Pericles Abreu; Pereira, Luiz Miguel; Yatsuda, Ana Patricia] Univ Sao Paulo, Sch Pharmaceut Sci Ribeirao Preto, Dept Clin Anal Toxicol &amp; Food Sci, Ribeirao Preto, SP, Brazil; [Graminha, Marcia Aparecida da Silva] Sao Paulo State Univ UNESP, Dept Clin Anal, Sch Pharmaceut Sci, Araraquara, SP, Brazil; [Neto, Pio Colepicolo] Univ Sao Paulo, Inst Chem, Dept Biochem, Sao Paulo, SP, Brazil; [Edrada-Ebel, Ru Angelie] Univ Strathclyde, Strathclyde Inst Pharm &amp; Biomed Sci, Glasgow, Scotland</t>
  </si>
  <si>
    <t>Universidade de Sao Paulo; Universidade de Sao Paulo; Universidade Estadual Paulista; Universidade de Sao Paulo; Universidade Estadual Paulista; Universidade de Sao Paulo; University of Strathclyde</t>
  </si>
  <si>
    <t>Debonsi, HM (corresponding author), Univ Sao Paulo, Sch Pharmaceut Sci Ribeirao Preto, Dept Biomol Sci, Ribeirao Preto, SP, Brazil.</t>
  </si>
  <si>
    <t>hosana@fcfrp.usp.br</t>
  </si>
  <si>
    <t>Santos, Gustavo/M-7752-2017; Teixeira, Thaiz R/JCD-9187-2023; Pereira, Luiz Miguel/B-3010-2014; Clementino, Leandro/V-1995-2018; Furtado, Niege/D-1128-2012</t>
  </si>
  <si>
    <t>Santos, Gustavo/0000-0002-7288-2466; Pereira, Luiz Miguel/0000-0001-8249-7476; Gama Abreu Filho, Pericles/0000-0002-1083-125X; Clementino, Leandro/0000-0001-5196-6372; Furtado, Niege/0000-0003-4775-8153; Rodrigues Teixeira, Thaiz/0000-0001-9514-3327</t>
  </si>
  <si>
    <t>Brazilian Antarctic Program [64/2013]; Brazilian Marine Force, National Institute of Science and Technology (INCT: BioNat); State of Sao Paulo Research Foundation (FAPESP); Brazilian research funding agencies Coordination of Improvement of Higher-Level Personnel (CAPES); [465637/2014-0]; [2014/50926-0]; [2017/03552-5]; [2016/06931-4]; [1408011/2018-4]</t>
  </si>
  <si>
    <t>Brazilian Antarctic Program; Brazilian Marine Force, National Institute of Science and Technology (INCT: BioNat); State of Sao Paulo Research Foundation (FAPESP)(Fundacao de Amparo a Pesquisa do Estado de Sao Paulo (FAPESP)); Brazilian research funding agencies Coordination of Improvement of Higher-Level Personnel (CAPES)(Coordenacao de Aperfeicoamento de Pessoal de Nivel Superior (CAPES)); ; ; ; ;</t>
  </si>
  <si>
    <t>This study had financial and logistic support from the Brazilian Antarctic Program (PROANTAR/MCTI/CNPq No 64/2013), Brazilian Marine Force, National Institute of Science and Technology (INCT: BioNat), Grant #465637/2014-0, and the State of Sao Paulo Research Foundation (FAPESP), Grant #2014/50926-0, Grant #2017/03552-5 and Grant #2016/06931-4. The University of Sao Paulo for providing access to necessary resources, the financial and fellowship support from the Brazilian research funding agencies Coordination of Improvement of Higher-Level Personnel (CAPES), and the National Council for Scientific and Technological Development (CNPq) for the scholarship provided, Grant #1408011/2018-4. The Department of Biomolecular Sciences and the Nucleo de Pesquisas em Produtos Naturais e Sinteticos - NPPNS are acknowledged.</t>
  </si>
  <si>
    <t>WILEY-V C H VERLAG GMBH</t>
  </si>
  <si>
    <t>WEINHEIM</t>
  </si>
  <si>
    <t>POSTFACH 101161, 69451 WEINHEIM, GERMANY</t>
  </si>
  <si>
    <t>1612-1872</t>
  </si>
  <si>
    <t>1612-1880</t>
  </si>
  <si>
    <t>CHEM BIODIVERS</t>
  </si>
  <si>
    <t>Chem. Biodivers.</t>
  </si>
  <si>
    <t>10.1002/cbdv.202300429</t>
  </si>
  <si>
    <t>CT7O1</t>
  </si>
  <si>
    <t>WOS:001107342000001</t>
  </si>
  <si>
    <t>Baudino, F; Werenkraut, V; Elgueta, M; Flores, GE; Marvaldi, A; Posadas, P; Roig-Juñent, S; Ruggiero, A</t>
  </si>
  <si>
    <t>Baudino, Florencia; Werenkraut, Victoria; Elgueta, Mario; Flores, Gustavo Ernesto; Marvaldi, Adriana; Posadas, Paula; Roig-Junent, Sergio; Ruggiero, Adriana</t>
  </si>
  <si>
    <t>Ecological responses of epigaeic beetle composition to a volcanic eruption across temperate mountains featuring a forest-steppe transition</t>
  </si>
  <si>
    <t>ECOLOGICAL ENTOMOLOGY</t>
  </si>
  <si>
    <t>Coleoptera; elevation; high-Andean steppes; sub-Antarctic forests; taxonomic composition; volcanic ash</t>
  </si>
  <si>
    <t>NORTH-WESTERN PATAGONIA; PUYEHUE-CAULLE RANGE; COLEOPTERA-TENEBRIONIDAE; NORTHWESTERN PATAGONIA; ELEVATIONAL GRADIENTS; ALTITUDINAL VARIATION; TERRESTRIAL INSECTS; SPECIES ASSEMBLAGES; ASH DEPOSITION; NW PATAGONIA</t>
  </si>
  <si>
    <t>Monitoring changes in species composition near active volcanoes is important to identify environmental factors that maintain biological diversity after major disturbances. We investigated the taxonomic composition of epigaeic beetles' assemblages in five mountains in north-western Patagonia (Argentina) in the aftermath of the 2011 Puyehue Cordon-Caulle Volcanic Complex eruption.The associations of beetle composition with the thermal environment, vegetation structure and soil characteristics were analysed using 10 m x 10 m plots with nine pitfall traps each, established 100 m apart in altitude on each mountain in 2005, 2006 (pre-eruption) and 2012, 2015 and 2016 (post-eruption).We found significant differences in beetle composition between forests and high-Andean steppes before and after the eruption. The beetle composition of forests and high-Andean steppes differed due to higher plant cover and lower pH and herb richness in forests. Six months after the eruption, the herbs almost disappeared and forests showed high ash accumulation and lower temperature than the high-Andean steppes. In the medium term, plant cover, temperature and soil conditions-but not ash accumulation-remained as important correlates of beetle composition. Before the eruption, forest assemblages showed higher beetle diversity and Leiodidae indicator species, but Curculionidae predominated post-eruption. Tenebrionidae and Carabidae were high Andean steppes indicators. Post-eruption, the beetle composition in high-Andean steppes did not change significantly except for an increase in Tenebrionidae indicator species.We concluded that the conservation of landscape diversity and environmental gradients maintaining the differentiation between ecoregions is essential to protect epigaeic beetle composition and for species survival after volcanic disturbances.</t>
  </si>
  <si>
    <t>[Baudino, Florencia; Werenkraut, Victoria] Univ Nacl Comahue, Lab Invest Hormigas LIHO, Inst Invest Biodivers &amp; Medioambiente INIBIOMA, CONICET, San Carlos De Bariloche, Argentina; [Elgueta, Mario] Museo Nacl Hist Nat, Area Entomol, Santiago, Chile; [Flores, Gustavo Ernesto; Roig-Junent, Sergio] Inst Argentino Invest Zonas Aridas, Lab Entomol, IADIZA, CCT,CONICET Mendoza, Mendoza, Argentina; [Marvaldi, Adriana] Univ Nacl Plata, Fac Ciencias Nat &amp; Museo, Consejo Nacl Invest Cient &amp; Tecn CONICET, Div Entomol,UNLP, Buenos Aires, Argentina; [Posadas, Paula] Univ Nacl Plata, Fac Ciencias Nat &amp; Museo, Lab Sistemat &amp; Biol Evolut, UNLP, Buenos Aires, Argentina; [Ruggiero, Adriana] Univ Nacl Comahue, Lab Ecotono, CONICET, Inst Invest Biodivers &amp; Medioambiente INIBIOMA, San Carlos De Bariloche, Argentina; [Baudino, Florencia] Univ Nacl Comahue, Lab Invest Hormigas LIHO, Inst Invest Biodivers &amp; Medioambiente INIBIOMA, CONICET, Pasaje Gutierrez 1415, RA-8400 San Carlos De Bariloche, Rio Negro, Argentina</t>
  </si>
  <si>
    <t>Consejo Nacional de Investigaciones Cientificas y Tecnicas (CONICET); Universidad Nacional del Comahue; Consejo Nacional de Investigaciones Cientificas y Tecnicas (CONICET); Consejo Nacional de Investigaciones Cientificas y Tecnicas (CONICET); National University of La Plata; National University of La Plata; Universidad Nacional del Comahue; Consejo Nacional de Investigaciones Cientificas y Tecnicas (CONICET); Universidad Nacional del Comahue; Consejo Nacional de Investigaciones Cientificas y Tecnicas (CONICET)</t>
  </si>
  <si>
    <t>Baudino, F (corresponding author), Univ Nacl Comahue, Lab Invest Hormigas LIHO, Inst Invest Biodivers &amp; Medioambiente INIBIOMA, CONICET, Pasaje Gutierrez 1415, RA-8400 San Carlos De Bariloche, Rio Negro, Argentina.</t>
  </si>
  <si>
    <t>baudinoflorencia@comahue-conicet.gob.ar</t>
  </si>
  <si>
    <t>Ruggiero, Adriana/AGP-3977-2022</t>
  </si>
  <si>
    <t>Ruggiero, Adriana/0000-0002-4423-8366; Flores, Gustavo E./0000-0002-9108-7038; Baudino, Florencia/0000-0001-5256-9432; Marvaldi, Adriana/0000-0001-6029-4803; Werenkraut, Victoria/0000-0003-2417-3953</t>
  </si>
  <si>
    <t>British Ecological Society [3687/4553]; Consejo Nacional de Investigaciones Cientificas y Tecnicas; Fondopara la Investigacion Cientifica y Tecnologica; National Geographic Society; Universidad Nacional del Comahue; PICT [0111826, 38148]</t>
  </si>
  <si>
    <t>British Ecological Society; Consejo Nacional de Investigaciones Cientificas y Tecnicas(Consejo Nacional de Investigaciones Cientificas y Tecnicas (CONICET)); Fondopara la Investigacion Cientifica y Tecnologica; National Geographic Society(National Geographic Society); Universidad Nacional del Comahue; PICT(ANPCyT)</t>
  </si>
  <si>
    <t>British Ecological Society, Grant/Award Number: 3687/4553; Consejo Nacional de Investigaciones Cientificas y Tecnicas ; Fondopara la Investigacion Cientifica y Tecnologica; National Geographic Society; Universidad Nacional del Comahue; PICT, Grant/Award Number: 0111826; PICT, Grant/Award Number: 38148</t>
  </si>
  <si>
    <t>0307-6946</t>
  </si>
  <si>
    <t>1365-2311</t>
  </si>
  <si>
    <t>ECOL ENTOMOL</t>
  </si>
  <si>
    <t>Ecol. Entomol.</t>
  </si>
  <si>
    <t>10.1111/een.13299</t>
  </si>
  <si>
    <t>Entomology</t>
  </si>
  <si>
    <t>KA9F7</t>
  </si>
  <si>
    <t>WOS:001107399200001</t>
  </si>
  <si>
    <t>Bailey, ST; Kondragunta, A; Choi, HA; Han, JL; Rotenberg, D; Ullman, DE; Benoit, JB</t>
  </si>
  <si>
    <t>Bailey, Samuel T.; Kondragunta, Alekhya; Choi, Hyojin A.; Han, Jinlong; Rotenberg, Dorith; Ullman, Diane E.; Benoit, Joshua B.</t>
  </si>
  <si>
    <t>Dehydration yields distinct transcriptional shifts associated with glycogen metabolism and increases feeding in the western flower thrips, Frankliniella occidentalis</t>
  </si>
  <si>
    <t>ENTOMOLOGIA EXPERIMENTALIS ET APPLICATA</t>
  </si>
  <si>
    <t>dehydration; desiccating conditions; feeding; Frankliniella occidentalis; glycogen; invasive plant pest; RNA-seq; Thripidae; thrips; Thysanoptera; water balance; western flower thrips</t>
  </si>
  <si>
    <t>WATER-BALANCE; DESICCATION RESISTANCE; RAPID-DETERMINATION; BODY MELANIZATION; ANOPHELES-GAMBIAE; CUTICULAR LIPIDS; ANTARCTIC MIDGE; DROSOPHILA; STRESS; VIRUS</t>
  </si>
  <si>
    <t>We examined water balance characteristics and the influence of desiccating conditions on the physiology and behavior of adult western flower thrips, Frankliniella occidentalis (Pergande) (Thysanoptera: Thripidae). Western flower thrips are globally invasive and likely to contend with shifts in water availability across their expansive geographic range. Basic water balance characteristics, including water mass and dry mass, were established for adult males and females, revealing a distinct sexual dimorphism wherein females are larger, and males retain a larger percentage of their body mass as water. Males lose relative water mass more quickly and their survival times are shorter compared to females. RNA-seq analysis identified significant enrichment of a multitude of factors including carbohydrate transport and metabolism in dehydrated males and females. This was validated by altered glycogen levels, suggesting a rapid depletion in glycogen during dehydration. The probability of thrips feeding significantly increases when desiccation occurs, potentially to replenish water content and nutrient reserves. Our results establish the fundamental water balance characteristics of adult thrips and indicate that dehydration significantly influences the survivorship and feeding behavior of thrips; all of which being crucial factors that contribute to their capacity as vectors for plant pathogens.</t>
  </si>
  <si>
    <t>[Bailey, Samuel T.; Kondragunta, Alekhya; Choi, Hyojin A.; Benoit, Joshua B.] Univ Cincinnati, Dept Biol Sci, Cincinnati, OH USA; [Han, Jinlong; Rotenberg, Dorith] North Carolina State Univ, Dept Entomol &amp; Plant Pathol, Raleigh, NC USA; [Ullman, Diane E.] Univ Calif Davis, Dept Entomol &amp; Nematol, Davis, CA USA; [Bailey, Samuel T.; Benoit, Joshua B.] Univ Cincinnati, Dept Biol Sci, Cincinnati, OH 45221 USA</t>
  </si>
  <si>
    <t>University System of Ohio; University of Cincinnati; North Carolina State University; University of California System; University of California Davis; University System of Ohio; University of Cincinnati</t>
  </si>
  <si>
    <t>Bailey, ST; Benoit, JB (corresponding author), Univ Cincinnati, Dept Biol Sci, Cincinnati, OH 45221 USA.</t>
  </si>
  <si>
    <t>bailest@mail.uc.edu; joshua.benoit@uc.edu</t>
  </si>
  <si>
    <t>Benoit, Joshua/0000-0002-4018-3513; Rotenberg, Dorith/0000-0002-9018-8822; Han, Jinlong/0000-0003-4095-8398</t>
  </si>
  <si>
    <t>We thank Alekhya Kondragunta and Hyojin Choi for assistance in data collection. Melissa Uhran, Oluwaseun Ajayi, A. Kondragunta, and H. Choi all assisted in animal husbandry. Christopher Holmes helped with R-script, Python-script, and figure construction. F [2018-67013-28495]; USDA</t>
  </si>
  <si>
    <t>We thank Alekhya Kondragunta and Hyojin Choi for assistance in data collection. Melissa Uhran, Oluwaseun Ajayi, A. Kondragunta, and H. Choi all assisted in animal husbandry. Christopher Holmes helped with R-script, Python-script, and figure construction. F; USDA(United States Department of Agriculture (USDA))</t>
  </si>
  <si>
    <t>We thank Alekhya Kondragunta and Hyojin Choi for assistance in data collection. Melissa Uhran, Oluwaseun Ajayi, A. Kondragunta, and H. Choi all assisted in animal husbandry. Christopher Holmes helped with R-script, Python-script, and figure construction. Funding was provided through the USDA (2018-67013-28495).</t>
  </si>
  <si>
    <t>0013-8703</t>
  </si>
  <si>
    <t>1570-7458</t>
  </si>
  <si>
    <t>ENTOMOL EXP APPL</t>
  </si>
  <si>
    <t>Entomol. Exp. Appl.</t>
  </si>
  <si>
    <t>10.1111/eea.13387</t>
  </si>
  <si>
    <t>GQ2H1</t>
  </si>
  <si>
    <t>WOS:001107398600001</t>
  </si>
  <si>
    <t>Lopes, DD; de Oliveira, FS; Reis, JS; Schaefer, CEGR</t>
  </si>
  <si>
    <t>Lopes, Davi do Vale; de Oliveira, Fabio Soares; Reis, Joao Santiago; Schaefer, Carlos Ernesto G. R.</t>
  </si>
  <si>
    <t>Lithological controls on soil properties, Snow Island, Maritime Antarctica</t>
  </si>
  <si>
    <t>PERMAFROST AND PERIGLACIAL PROCESSES</t>
  </si>
  <si>
    <t>cryosols; pedogenesis; periglacial soils; permafrost</t>
  </si>
  <si>
    <t>SOUTH SHETLAND ISLANDS; LIVINGSTON ISLAND; BYERS PENINSULA; ORNITHOGENIC SOILS; VICTORIA LAND; ACTIVE-LAYER; HOPE BAY; CRYOSOLS; CLASSIFICATION; LANDFORMS</t>
  </si>
  <si>
    <t>Soil-parent material is a critical controlling factor of soil properties in the Antarctic region due to a limited degree of soil development. However, the degree to which soil-parent material can be considered the major controlling factor in pedogenesis and subsequent soil physical and chemical properties in Antarctica should be better understood to improve soil mapping and interpretations. The present study aims to analyze the soil properties of different lithological groups on the President Head Peninsula on Snow Island, Maritime Antarctica. Thirty soil profiles across the major lithological groupings on Snow Island (beach deposits, andesites, basalts/andesites, conglomerate, sandstones, siltstones, and mudstones) were described, and the morphological, physical, and chemical properties of samples from sampled genetic horizons were characterized. Beach deposits were most clearly differentiated from other lithological groups, whereas most other groups overlapped strongly in observed properties. Whereas some lithological groups (e.g., sedimentary rock groups) were characterized largely by immature soils with little degree of pedogenesis, other sampled soils exhibited more development. The soil-parent material relationships of Snow Island revealed a unique setting of a complex heterogeneous landscape and show that the area has a great pedological complexity induced by phosphatization, melanization, and cryoturbation processes that preclude placing primary importance on parent material and lithology as the major controlling factor in Antarctic soils.</t>
  </si>
  <si>
    <t>[Lopes, Davi do Vale; Reis, Joao Santiago] Univ Fed Rio Grande do Norte, Ctr Ensino Super Serido, Dept Geog, Caico, Brazil; [de Oliveira, Fabio Soares] Univ Fed Minas Gerais, Dept Geog, Inst Geociencias, Belo Horizonte, Brazil; [Schaefer, Carlos Ernesto G. R.] Univ Fed Vicosa, Ctr Ciencias Agr, Dept Solos, Vicosa, Brazil; [Lopes, Davi do Vale] Univ Fed Rio Grande do Norte, Ctr Ensino Super Serido, Dept Geog, Rua Joaquim Gregorio, S N, BR-59300000 Caico, RN, Brazil</t>
  </si>
  <si>
    <t>Universidade Federal do Rio Grande do Norte; Universidade Federal de Minas Gerais; Universidade Federal de Vicosa; Universidade Federal do Rio Grande do Norte</t>
  </si>
  <si>
    <t>Lopes, DD (corresponding author), Univ Fed Rio Grande do Norte, Ctr Ensino Super Serido, Dept Geog, Rua Joaquim Gregorio, S N, BR-59300000 Caico, RN, Brazil.</t>
  </si>
  <si>
    <t>davivlopes@hotmail.com</t>
  </si>
  <si>
    <t>Lopes, Davi/0000-0003-3336-7397</t>
  </si>
  <si>
    <t>This work is a contribution of Terrantar Group (INCT Criosfera), with a collaboration between the Geography Post-Graduate Programs (IGC/UFMG) and Soil Science (DPS/UFV). We are grateful to PROANTAR for financial support and field assistance. The authors th; PROANTAR; Fundacao de Amparo a Pesquisado Estado de Minas Gerais (FAPEMIG); Coordenacao de Aperfeicoamento de Pessoalde Nivel Superior (Capes); Conselho Nacionalde Desenvolvimento Cientifico e Tecnologico(CNPq)</t>
  </si>
  <si>
    <t>This work is a contribution of Terrantar Group (INCT Criosfera), with a collaboration between the Geography Post-Graduate Programs (IGC/UFMG) and Soil Science (DPS/UFV). We are grateful to PROANTAR for financial support and field assistance. The authors th; PROANTAR; Fundacao de Amparo a Pesquisado Estado de Minas Gerais (FAPEMIG)(Fundacao de Amparo a Pesquisa do Estado de Minas Gerais (FAPEMIG)Fundacao de Amparo a Pesquisa e Inovacao do Estado de Santa Catarina (FAPESC)); Coordenacao de Aperfeicoamento de Pessoalde Nivel Superior (Capes)(Coordenacao de Aperfeicoamento de Pessoal de Nivel Superior (CAPES)); Conselho Nacionalde Desenvolvimento Cientifico e Tecnologico(CNPq)(Conselho Nacional de Desenvolvimento Cientifico e Tecnologico (CNPQ))</t>
  </si>
  <si>
    <t>PROANTAR; Fundacao de Amparo a Pesquisado Estado de Minas Gerais (FAPEMIG);Coordenacao de Aperfeicoamento de Pessoalde Nivel Superior (Capes); Conselho Nacionalde Desenvolvimento Cientifico e Tecnologico(CNPq)</t>
  </si>
  <si>
    <t>1045-6740</t>
  </si>
  <si>
    <t>1099-1530</t>
  </si>
  <si>
    <t>PERMAFROST PERIGLAC</t>
  </si>
  <si>
    <t>Permafrost Periglacial Process.</t>
  </si>
  <si>
    <t>10.1002/ppp.2212</t>
  </si>
  <si>
    <t>Geography, Physical; Geology</t>
  </si>
  <si>
    <t>FA3K8</t>
  </si>
  <si>
    <t>WOS:001104699900001</t>
  </si>
  <si>
    <t>Radchenkova, N; Rusinova-Videva, S</t>
  </si>
  <si>
    <t>Radchenkova, Nadja; Rusinova-Videva, Snezhana</t>
  </si>
  <si>
    <t>Exremophiles as a green source of new exopolysaccharides with ecological importance and multifunctional applications</t>
  </si>
  <si>
    <t>POLYMER-PLASTICS TECHNOLOGY AND MATERIALS</t>
  </si>
  <si>
    <t>Exopolysaccharides; polymer composites; Extremophiles</t>
  </si>
  <si>
    <t>EXTRACELLULAR POLYMERIC SUBSTANCES; SP-NOV.; SEA-ICE; STRUCTURAL-CHARACTERIZATION; PSYCHROPHILIC BACTERIUM; CHEMICAL-COMPOSITION; ANTARCTIC BACTERIUM; HYDROTHERMAL VENT; CRYOPROTECTIVE PROPERTIES; THERMOPHILIC BACTERIA</t>
  </si>
  <si>
    <t>Microorganisms are ubiquitous. Different habitats are associated with a variety of environmental factors that suggest rich biodiversity. Many of them live in various ecological, extreme niches, producing exopolysaccharides (EPSs) as a defense mechanism in response to harsh environmental conditions. Exopolymers possess unique properties because of the diverse crude habitats that generally characterize by atypical conditions as pH, salinity, temperatures, toxicity, pressure and radiation levels that stimulate the microbes to secret these substances. They offer a variety of structures due to the presence of different functional groups such as uronic acids, phosphate groups and sulfated units. The microorganisms, called extremophiles, are of significant biotechnological, medical, biomedical and ecological importance as their enzymes and exopolysaccharides possess properties that offer knowledge into their evolution, functional properties and biology. Their unique products can be transformed into valuable applications vary from wastewater treatment to the genetic diseases. This review present extremophilic microorganisms and their adaptation mechanisms that focus on the production of EPSs and their ecological function, physiological role for the cell, physicochemical properties and different applications. The remarkable versatility and efficacy of these extremophile-derived biopolymers offer novel opportunities for innovation and development in the industrial and biotechnological sectors.</t>
  </si>
  <si>
    <t>[Radchenkova, Nadja] Bulgarian Acad Sci, Stephan Angeloff Inst Microbiol, Dept Gen Microbiol, Sofia, Bulgaria; [Rusinova-Videva, Snezhana] Bulgarian Acad Sci, Stephan Angeloff Inst Microbiol, Dept Biotechnol, Plovdiv, Bulgaria</t>
  </si>
  <si>
    <t>Bulgarian Academy of Sciences; Stephan Angeloff Institute of Microbiology, Bulgarian Academy of Sciences; Bulgarian Academy of Sciences; Stephan Angeloff Institute of Microbiology, Bulgarian Academy of Sciences</t>
  </si>
  <si>
    <t>Radchenkova, N (corresponding author), Bulgarian Acad Sci, Stephan Angeloff Inst Microbiol, Dept Gen Microbiol, Sofia, Bulgaria.</t>
  </si>
  <si>
    <t>nstoicheva@yahoo.com</t>
  </si>
  <si>
    <t>Bulgarian Ministry of Education and Science; National Centre for Polar Studies, and Sofia University [70-25-40/23.01.2023]</t>
  </si>
  <si>
    <t>Bulgarian Ministry of Education and Science; National Centre for Polar Studies, and Sofia University</t>
  </si>
  <si>
    <t>This research was funded by the Bulgarian Ministry of Education and Science through the National Centre for Polar Studies, and Sofia University St. Kliment Ohridski in the frames of the National Program for Polar Studies 2022- 2025, grant number 70-25-40/23.01.2023</t>
  </si>
  <si>
    <t>2574-0881</t>
  </si>
  <si>
    <t>2574-089X</t>
  </si>
  <si>
    <t>POLYM-PLAST TECH MAT</t>
  </si>
  <si>
    <t>Polym.-Plast. Tech. Mater.</t>
  </si>
  <si>
    <t>FEB 11</t>
  </si>
  <si>
    <t>10.1080/25740881.2023.2282608</t>
  </si>
  <si>
    <t>Polymer Science</t>
  </si>
  <si>
    <t>CU9G8</t>
  </si>
  <si>
    <t>WOS:001106966200001</t>
  </si>
  <si>
    <t>Saniewski, M; Balazy, P; Klajman, K; Saniewska, D</t>
  </si>
  <si>
    <t>Saniewski, Michal; Balazy, Piotr; Klajman, Kamila; Saniewska, Dominika</t>
  </si>
  <si>
    <t>Distribution of 137Cs in the marine environment from King George Island (Southern Shetlands, maritime Antarctica)</t>
  </si>
  <si>
    <t>Antarctic; Macrophytobenthos; Zoobenthos; Cs-137; delta C-13; delta N-15</t>
  </si>
  <si>
    <t>ADMIRALTY BAY; RADIONUCLIDES; SOIL; DEPOSITION; RADIOACTIVITY; SEDIMENT; FALLOUT; PB-210; REGION; PU-238</t>
  </si>
  <si>
    <t>The article presents data on the activity of the radionuclide Cs-137 in seawater, sediment, macroalgae, and zoobenthos from different locations in Admiralty Bay, King George Island, maritime Antarctica. The activity of Cs-137 in the macrophytobenthos remained relatively stable across species, oscillating at the level of 1 Bq kg(-1)dw. However, a few individuals exhibited higher activity, particularly at stations closer to the glacier front. This result could have been caused by specific conditions resulting from melting glaciers and meltwater inflow and mixing with oceanic water. The activities of Cs-137 in zoobenthic were in the range from 0.12 Bq kg(-1)dw (Asteroidea) to 24.2 Bq kg(-1)dw (Porifera) and the total doses in marine species were several orders of magnitude lower than reference levels. Stable isotopes of delta C-13 and delta N-15 suggest that the main factor influencing Cs-137 activity may be the source of carbon (marine vs. terrestrial/glacial), rather than feeding strategy or trophic niches.</t>
  </si>
  <si>
    <t>[Saniewski, Michal] Natl Res Inst, Inst Meteorol &amp; Water Management, Waszyngtona 42, PL-81342 Gdynia, Poland; [Balazy, Piotr] Polish Acad Sci, Inst Oceanol, Powstancow Warszawy 55, PL-81412 Sopot, Poland; [Klajman, Kamila] Lodz Univ Technol, Inst Appl Radiat Chem, Zeromskiego 116, PL-90924 Lodz, Poland; [Saniewska, Dominika] Univ Gdansk, Fac Oceanog &amp; Geog, Al. Pi Lsudskiego 46, PL-81387 Gdynia, Poland</t>
  </si>
  <si>
    <t>Institute of Meteorology &amp; Water Management; Polish Academy of Sciences; Institute of Oceanology of the Polish Academy of Sciences; Lodz University of Technology; Fahrenheit Universities; University of Gdansk</t>
  </si>
  <si>
    <t>Saniewski, M (corresponding author), Natl Res Inst, Inst Meteorol &amp; Water Management, Waszyngtona 42, PL-81342 Gdynia, Poland.</t>
  </si>
  <si>
    <t>michal.saniewski@imgw.pl</t>
  </si>
  <si>
    <t>Saniewska, Dominika/G-1472-2015</t>
  </si>
  <si>
    <t>Saniewska, Dominika/0000-0002-0630-9602</t>
  </si>
  <si>
    <t>National Science Center [2017/27/N/ST10/02230, 2019/33/B/ST10/00290]</t>
  </si>
  <si>
    <t>National Science Center(National Science Centre, Poland)</t>
  </si>
  <si>
    <t>This study has been performed within the framework of a National Science Center projects No. 2017/27/N/ST10/02230 and No. 2019/33/B/ST10/00290. We thank Dr. Rafal Kaminski from Institute of Applied Radiation Chemistry, Lodz University of Technology, for conducting the isotope analysis.</t>
  </si>
  <si>
    <t>10.1016/j.marpolbul.2023.115752</t>
  </si>
  <si>
    <t>AU5E6</t>
  </si>
  <si>
    <t>WOS:001120972500001</t>
  </si>
  <si>
    <t>Xiong, Y; Ma, KR; Zou, X; Liang, YT; Zheng, KY; Wang, TC; Zhang, H; Dong, Y; Wang, ZY; Liu, YD; Shao, HB; Mcminn, A; Wang, M</t>
  </si>
  <si>
    <t>Xiong, Yao; Ma, Keran; Zou, Xiao; Liang, Yantao; Zheng, Kaiyang; Wang, Tiancong; Zhang, Hong; Dong, Yue; Wang, Ziyue; Liu, Yundan; Shao, Hongbing; Mcminn, Andrew; Wang, Min</t>
  </si>
  <si>
    <t>Vibrio cyclitrophicus phage encoding gene transfer agent fragment, representing a novel viral family</t>
  </si>
  <si>
    <t>VIRUS RESEARCH</t>
  </si>
  <si>
    <t>Vibriophage; vB_VviC_ZQ26; Genomic and phylogenetic analysis; Coheviridae; Ecological footprint</t>
  </si>
  <si>
    <t>PROTEIN; DNA; BACTERIOPHAGES; ECOGENOMICS; INFECTION; VIRUSES; GENOME</t>
  </si>
  <si>
    <t>Vibrio is a prevalent bacterial genus in aquatic environments and exhibits diverse metabolic capabilities, playing a vital role in marine biogeochemical cycles. This study isolated a novel virus infecting Vibrio cyclitrophicus, vB_VviC_ZQ26, from coastal waters near Qingdao, China. The vB_VviC_ZQ26 comprises a linear double-stranded DNA genome with a length of 42,982 bp and a G + C content of 43.21 %, encoding 72 putative open reading frames (ORFs). Transmission electron microscope characterization indicates a siphoviral-morphology of vB_VviC_ZQ26. Nucleic-acids-wide analysis indicates a tetranucleotide frequency deviation for genomic segments encoding putative gene transfer agent protein (GTA) and coil-containing protein, implying divergent origins occurred in different parts of viral genomes. Phylogenetic and genome-content-based analysis suggest that vB_VviC_ZQ26 represents a novel vibriophage-specific family designated as Coheviridae. From the result of biogeographic analysis, Coheviridae is mainly colonized in the temperate and tropical epipelagic zones. This study describes a novel vibriophage infecting V. cyclitrophicus, shedding light on the evolutionary divergence of different parts of the viral genome and its ecological footprint in marine environments.</t>
  </si>
  <si>
    <t>[Xiong, Yao; Liang, Yantao; Zheng, Kaiyang; Wang, Tiancong; Zhang, Hong; Dong, Yue; Wang, Ziyue; Liu, Yundan; Shao, Hongbing; Mcminn, Andrew; Wang, Min] Ocean Univ China, Inst Evolut &amp; Marine Biodivers, Frontiers Sci Ctr Deep Ocean Multispheres &amp; Earth, Coll Marine Life Sci,Ctr Ocean Carbon Neutral, Qingdao, Peoples R China; [Ma, Keran; Wang, Min] Ocean Univ China, Haide Coll, Qingdao, Peoples R China; [Zou, Xiao; Mcminn, Andrew] Hunan Normal Univ, Xiangdong Hosp, Zhuzhou, Peoples R China; [Liang, Yantao; Shao, Hongbing; Wang, Min] UMT OUC Joint Ctr Marine Studies, Qingdao, Peoples R China; [Mcminn, Andrew] Univ Tasmania, Inst Marine &amp; Antarctic Studies, Hobart, Tas, Australia; [Wang, Min] Qingdao Univ, Affiliated Hosp, Qingdao, Peoples R China</t>
  </si>
  <si>
    <t>Ocean University of China; Ocean University of China; Hunan Normal University; University of Tasmania; Qingdao University</t>
  </si>
  <si>
    <t>Liang, YT; Wang, M (corresponding author), Ocean Univ China, Inst Evolut &amp; Marine Biodivers, Frontiers Sci Ctr Deep Ocean Multispheres &amp; Earth, Coll Marine Life Sci,Ctr Ocean Carbon Neutral, Qingdao, Peoples R China.;Wang, M (corresponding author), Ocean Univ China, Haide Coll, Qingdao, Peoples R China.;Liang, YT; Wang, M (corresponding author), UMT OUC Joint Ctr Marine Studies, Qingdao, Peoples R China.;Wang, M (corresponding author), Qingdao Univ, Affiliated Hosp, Qingdao, Peoples R China.</t>
  </si>
  <si>
    <t>liangyantao@ouc.edu.cn; mingwang@ouc.edu.cn</t>
  </si>
  <si>
    <t>JIANG, Peng/KGL-3427-2024; Wang, Min/AFR-9645-2022; yang, zhou/KBB-6972-2024; li, jixiang/JXN-7599-2024; chen, bin/KBQ-8114-2024; Han, Yang/JVN-5921-2024</t>
  </si>
  <si>
    <t>Wang, Min/0000-0002-2357-589X; chen, bin/0000-0002-3398-1314;</t>
  </si>
  <si>
    <t>Laoshan Laboratory [LSKJ202203201]; Natural Science Foundation of China [42188102, 42120104006, 41976117, 42176111]; Fundamental Research Funds for the Central Universities [202172002, 201812002, 202072001]</t>
  </si>
  <si>
    <t>Laoshan Laboratory; Natural Science Foundation of China(National Natural Science Foundation of China (NSFC)); Fundamental Research Funds for the Central Universities(Fundamental Research Funds for the Central Universities)</t>
  </si>
  <si>
    <t>This work was supported by the Laoshan Laboratory (No. LSKJ202203201), Natural Science Foundation of China (No. 42188102, 42120104006, 41976117, and 42176111), and the Fundamental Research Funds for the Central Universities (202172002, 201812002, 202072001 and Andrew McMinn).</t>
  </si>
  <si>
    <t>0168-1702</t>
  </si>
  <si>
    <t>1872-7492</t>
  </si>
  <si>
    <t>VIRUS RES</t>
  </si>
  <si>
    <t>Virus Res.</t>
  </si>
  <si>
    <t>10.1016/j.virusres.2023.199270</t>
  </si>
  <si>
    <t>Virology</t>
  </si>
  <si>
    <t>AW1U6</t>
  </si>
  <si>
    <t>WOS:001121404500001</t>
  </si>
  <si>
    <t>Khan, A; Ball, BA</t>
  </si>
  <si>
    <t>Khan, Ana; Ball, Becky A.</t>
  </si>
  <si>
    <t>Soil microbial responses to simulated climate change across polar ecosystems</t>
  </si>
  <si>
    <t>Soil respiration; Carbon mineralization; Soil microbial activity; Polar deserts; Tundra; Antarctica</t>
  </si>
  <si>
    <t>ANTARCTIC VASCULAR PLANTS; MCMURDO DRY VALLEYS; ORGANIC-MATTER; TAYLOR VALLEY; ADMIRALTY BAY; BACTERIAL COMMUNITIES; CO2 FLUX; TEMPERATURE; RESPIRATION; MOISTURE</t>
  </si>
  <si>
    <t>The polar regions are among the most biologically constrained in the world, characterized by cold temperatures and reduced liquid water. These limitations make them among the most climate-sensitive regions on Earth. Despite the overwhelming constraints from low temperatures and resource availability, many polar ecosystems, including polar deserts and tundras across the Arctic and Antarctic host uniquely diverse microbial communities. Polar regions have warmed more rapidly than the global average, with continued warming predicted for the future, which will reduce constraints on soil microbial activity. This could alter polar carbon (C) cycles, increasing CO2 emissions into the atmosphere. The objective of this study was to determine how increased temperature and moisture availability impacts microbial respiration in polar regions, by focusing on a diversity of ecosystem types (polar desert vs. tundra) that are geographically distant across Antarctica and the Arctic. We found that polar desert soil microbes were co-limited by temperature and moisture, though C and nitrogen (N) mineralization were only stimulated at the coldest and driest of the two polar deserts. Only bacterial biomass was impacted at the less harsh of the polar deserts, suggesting microbial activity is limited by factors other than temperature and moisture. Of the tundra sites, only the Antarctic tundra was climate-sensitive, where increased temperature decreased C and N mineralization while water availability stimulated it. The greater availability of soil resources and vegetative biomass at the Arctic tundra site might lead to its lack of climate-sensitivity. Notably, while C and N dynamics were climate-sensitive at some of our polar sites, P availability was not impacted at any of them. Our results demonstrate that soil microbial processes in some polar ecosystems are more sensitive to changes in temperature and moisture than others, with implications for soil C and N storage that are not uniformly predictable across polar regions.</t>
  </si>
  <si>
    <t>[Khan, Ana; Ball, Becky A.] Arizona State Univ, Sch Math &amp; Nat Sci, West Campus, Glendale, AZ 85306 USA; [Ball, Becky A.] Arizona State Univ, Sch Math &amp; Nat Sci, West Campus,1407 W Thunderbird Rd, Glendale, AZ 85306 USA</t>
  </si>
  <si>
    <t>Arizona State University; Arizona State University</t>
  </si>
  <si>
    <t>Ball, BA (corresponding author), Arizona State Univ, Sch Math &amp; Nat Sci, West Campus,1407 W Thunderbird Rd, Glendale, AZ 85306 USA.</t>
  </si>
  <si>
    <t>becky.ball@asu.edu</t>
  </si>
  <si>
    <t>National Science Foundation [OPP-1707867, PLR -1341429]; New College at Arizona State University's NCUIRE program</t>
  </si>
  <si>
    <t>National Science Foundation(National Science Foundation (NSF)); New College at Arizona State University's NCUIRE program</t>
  </si>
  <si>
    <t>This research was supported by National Science Foundation grants OPP-1707867 and PLR -1341429, as well as the New College at Arizona State University's NCUIRE program. We thank the British Antarctic Survey, the U.S. Antarctic Program, and the University of Helsinki's Kilpisjarvi Biological Station for their logistic support. Ammar Abidali, Bella Bozzo, Rebecca Klein, and Kenadee Melendez assisted with laboratory analyses. Sarah McGregor at the METALS lab provided analytical services. We thank Kiril Hristovski for thoughtful comments on a draft of this manuscript.</t>
  </si>
  <si>
    <t>JAN 20</t>
  </si>
  <si>
    <t>10.1016/j.scitotenv.2023.168556</t>
  </si>
  <si>
    <t>Z8WP4</t>
  </si>
  <si>
    <t>WOS:001114826100001</t>
  </si>
  <si>
    <t>Li, CC; Xu, XH; Liu, SH; Zhang, PY</t>
  </si>
  <si>
    <t>Li, Chaochao; Xu, Xinhui; Liu, Shenghao; Zhang, Pengying</t>
  </si>
  <si>
    <t>PnCHS1, a chalcone synthase from the Antarctic moss Pohlia nutans, improves the tolerance of salt stress and ABA</t>
  </si>
  <si>
    <t>PLANT BIOTECHNOLOGY REPORTS</t>
  </si>
  <si>
    <t>Chalcone synthase; Flavonoids; Pohlia nutans; Antarctica; Abiotic stress</t>
  </si>
  <si>
    <t>ARABIDOPSIS-THALIANA; EXPRESSION ANALYSIS; GENE; SALINITY; RESISTANCE; PLANTS; WATER; TIME</t>
  </si>
  <si>
    <t>Chalcone synthase (CHS), a key enzyme in plant flavonoid synthesis, is essential for plant tolerance to abiotic stress. However, little research on CHS from the earliest terrestrial plants, such as mosses, has been reported. Here, the biological function of a CHS gene from Antarctic moss Pohlia nutans (PnCHS1) was studied. PnCHS1 had a 32.8-53.7% similarity to CHS from other species, however it still had highly conserved motifs of CHS such as Catalytic site (Asn366, His333) and Co-A binding site (Ser146). Subcellular localization analysis showed that PnCHS1 was distributed in the cell membrane and in the membranes of endothelial organelles. Heterologous expression of PnCHS1 increased flavonoid content in 5-day-old Arabidopsis grown with 24 h light and 17-day-old Arabidopsis cultured with sucrose, as well as anthocyanin content in the latter. PnCHS1 heterologous expression in Arabidopsis increased plant tolerance to salt stress, including a high germination rate and a long taproot. Heterologous expression of PnCHS1 boosted tolerance to oxidative stress while decreasing the sensitivity to ABA. Under H2O2 or ABA stress, the expression pattern of PnCHS1, ROS scavenging enzyme gene (FeSOD1, FeSOD2, Cu-Zn-SOD2, and Cu-Zn-SOD3) and three genes of ABA signal pathway (RAB18, RD29B, and NCED3) were considerably up-regulated by real-time quantitative analysis. It indicates that PnCHS1 could enhance plant tolerance to NaCl and oxidative stresses, and may play a role in the adaptation of Antarctic moss to extreme environments.</t>
  </si>
  <si>
    <t>[Li, Chaochao; Xu, Xinhui; Zhang, Pengying] Shandong Univ, Natl Glycoengn Res Ctr, Qingdao 266237, Peoples R China; [Liu, Shenghao] Minist Nat Resources, Inst Oceanog 1, Marine Ecol Res Ctr, Qingdao 266061, Peoples R China; [Zhang, Pengying] Shandong Univ, Shandong Key Lab Carbohydrate Chem &amp; Glycobiol, Qingdao 266237, Peoples R China; [Xu, Xinhui] Xintai Educ &amp; Sports Bur, Tai An 271200, Shandong, Peoples R China</t>
  </si>
  <si>
    <t>Shandong University; Ministry of Natural Resources of the People's Republic of China; First Institute of Oceanography, Ministry of Natural Resources; Shandong University</t>
  </si>
  <si>
    <t>Zhang, PY (corresponding author), Shandong Univ, Natl Glycoengn Res Ctr, Qingdao 266237, Peoples R China.;Zhang, PY (corresponding author), Shandong Univ, Shandong Key Lab Carbohydrate Chem &amp; Glycobiol, Qingdao 266237, Peoples R China.</t>
  </si>
  <si>
    <t>zhangpy80@sdu.edu.cn</t>
  </si>
  <si>
    <t>xu, xinhui/AAW-5371-2021</t>
  </si>
  <si>
    <t>Natural Science Foundation of Shandong Province [ZR2022MC075]; National Natural Science Foundation of China [41976225]</t>
  </si>
  <si>
    <t>Natural Science Foundation of Shandong Province(Natural Science Foundation of Shandong Province); National Natural Science Foundation of China(National Natural Science Foundation of China (NSFC))</t>
  </si>
  <si>
    <t>This work was supported by the Natural Science Foundation of Shandong Province (ZR2022MC075) and the National Natural Science Foundation of China (41976225).</t>
  </si>
  <si>
    <t>1863-5466</t>
  </si>
  <si>
    <t>1863-5474</t>
  </si>
  <si>
    <t>PLANT BIOTECHNOL REP</t>
  </si>
  <si>
    <t>Plant Biotechnol. Rep.</t>
  </si>
  <si>
    <t>10.1007/s11816-023-00873-2</t>
  </si>
  <si>
    <t>Biotechnology &amp; Applied Microbiology; Plant Sciences</t>
  </si>
  <si>
    <t>HX7F1</t>
  </si>
  <si>
    <t>WOS:001105698800001</t>
  </si>
  <si>
    <t>Lavy, L; Bernath, P; Lecours, M; English, D; Fromm, M</t>
  </si>
  <si>
    <t>Lavy, Leo; Bernath, Peter; Lecours, Michael; English, Dylan; Fromm, Michael</t>
  </si>
  <si>
    <t>Comparison between ACE and CALIPSO observations of Antarctic polar stratospheric clouds</t>
  </si>
  <si>
    <t>JOURNAL OF QUANTITATIVE SPECTROSCOPY &amp; RADIATIVE TRANSFER</t>
  </si>
  <si>
    <t>Atmospheric Chemistry Experiment; CALIPSO; Polar stratospheric clouds; Infrared solar absorption spectroscopy; Satellite remote sensing; Lidar</t>
  </si>
  <si>
    <t>LIDAR MEASUREMENTS; SPACEBORNE LIDAR; DEPLETION; MICROPHYSICS; CLIMATOLOGY; CHEMISTRY; CALIOP; OZONE; MIPAS; MLS</t>
  </si>
  <si>
    <t>The depletion of stratospheric ozone is catalyzed by polar stratospheric clouds (PSCs) that form in the cold polar winter. The space-based lidar onboard CALIPSO (Cloud-Aerosol Lidar and Infrared Pathfinder Satellite Observations) has been the reference instrument for measuring PSCs. Recently, the infrared transmission spectra recorded by the Fourier transform instrument on the ACE (Atmospheric Chemistry Experiment) satellite has provided measurements of PSC composition. We report on coincident observations made by the CALIPSO and the ACE satellites for three late winter periods (2016, 2018 and 2019) and evaluate CALIPSO's determination of PSC composition relative to ACE's findings. We found that CALIPSO and ACE generally agree well for the detection of nitric acid trihydrate (NAT) clouds. However, CALIPSO detects some NAT clouds where ACE detects supercooled ternary solutions of nitric and sulfuric acid (STS). Similarly, CALIPSO only partially detects ice in ACE's ice clouds. Overall, these results seem to show that CALIPSO's NAT classification might be too inclusive. We also found that supercooled nitric acid (SNA) clouds, a new classification, are labelled as STS by CALIPSO.</t>
  </si>
  <si>
    <t>[Lavy, Leo; Bernath, Peter; English, Dylan] Old Dominion Univ, Dept Chem &amp; Biochem, Norfolk, VA 23529 USA; [Bernath, Peter; Lecours, Michael] Univ Waterloo, Dept Chem, Waterloo, ON N2L 3G1, Canada; [Fromm, Michael] Naval Res Lab, Washington, DC 20375 USA</t>
  </si>
  <si>
    <t>Old Dominion University; University of Waterloo; United States Department of Defense; United States Navy; Naval Research Laboratory</t>
  </si>
  <si>
    <t>Lavy, L (corresponding author), Old Dominion Univ, Dept Chem &amp; Biochem, Norfolk, VA 23529 USA.</t>
  </si>
  <si>
    <t>llavy@odu.edu</t>
  </si>
  <si>
    <t>Lavy, Leo/0000-0003-4572-8612</t>
  </si>
  <si>
    <t>Canadian Space Agency [9F045- 200575/001/SA]; NASA through the Atmospheric Composition Modeling and Analysis Program [80NSSC23K0999]</t>
  </si>
  <si>
    <t>Canadian Space Agency(Canadian Space Agency); NASA through the Atmospheric Composition Modeling and Analysis Program</t>
  </si>
  <si>
    <t>The ACE mission is funded by the Canadian Space Agency (9F045- 200575/001/SA) . Some support was provided by NASA through the Atmospheric Composition Modeling and Analysis Program (80NSSC23K0999) . PB acknowledges RB for productive discussion.</t>
  </si>
  <si>
    <t>0022-4073</t>
  </si>
  <si>
    <t>1879-1352</t>
  </si>
  <si>
    <t>J QUANT SPECTROSC RA</t>
  </si>
  <si>
    <t>J. Quant. Spectrosc. Radiat. Transf.</t>
  </si>
  <si>
    <t>10.1016/j.jqsrt.2023.108827</t>
  </si>
  <si>
    <t>Optics; Spectroscopy</t>
  </si>
  <si>
    <t>IB3R0</t>
  </si>
  <si>
    <t>WOS:001163827100001</t>
  </si>
  <si>
    <t>Richards, FD; Coulson, SL; Hoggard, MJ; Austermann, J; Dyer, B; Mitrovica, JX</t>
  </si>
  <si>
    <t>Richards, Fred D.; Coulson, Sophie L.; Hoggard, Mark J.; Austermann, Jacqueline; Dyer, Blake; Mitrovica, Jerry X.</t>
  </si>
  <si>
    <t>Geodynamically corrected Pliocene shoreline elevations in Australia consistent with midrange projections of Antarctic ice loss</t>
  </si>
  <si>
    <t>SEA-LEVEL CHANGE; DYNAMIC TOPOGRAPHY; GLACIAL ISOSTASY; COASTAL-PLAIN; UNITED-STATES; MANTLE; MODEL; EARTH; BASIN; SHEET</t>
  </si>
  <si>
    <t>The Mid-Pliocene represents the most recent interval in Earth history with climatic conditions similar to those expected in the coming decades. Mid-Pliocene sea level estimates therefore provide important constraints on projections of future ice sheet behavior and sea level change but differ by tens of meters due to local distortion of paleoshorelines caused by mantle dynamics. We combine an Australian sea level marker compilation with geodynamic simulations and probabilistic inversions to quantify and remove these post-Pliocene vertical motions at continental scale. Dynamic topography accounts for most of the observed sea level marker deflection, and correcting for this effect and glacial isostatic adjustment yields a Mid-Pliocene global mean sea level of +16.0 (+10.4 to +21.5) m (50th/16th to 84th percentiles). Recalibration of recent high-end sea level projections using this revised estimate implies a more stable Antarctic Ice Sheet under future warming scenarios, consistent with midrange forecasts of sea level rise that do not incorporate a marine ice cliff instability.</t>
  </si>
  <si>
    <t>[Richards, Fred D.] Imperial Coll London, Dept Earth Sci &amp; Engn, London, England; [Coulson, Sophie L.] Los Alamos Natl Lab, Fluid Dynam &amp; Solid Mech Grp, Los Alamos, NM USA; [Coulson, Sophie L.] Univ New Hampshire, Dept Earth Sci, Durham, NH USA; [Hoggard, Mark J.] Australian Natl Univ, Res Sch Earth Sci, Canberra, ACT, Australia; [Austermann, Jacqueline] Columbia Univ, Lamont Doherty Earth Observ, Palisades, NY USA; [Dyer, Blake] Univ Victoria, Sch Earth &amp; Ocean Sci, Victoria, BC, Canada; [Mitrovica, Jerry X.] Harvard Univ, Dept Earth &amp; Planetary Sci, Cambridge, MA USA</t>
  </si>
  <si>
    <t>Imperial College London; United States Department of Energy (DOE); Los Alamos National Laboratory; University System Of New Hampshire; University of New Hampshire; Australian National University; Columbia University; University of Victoria; Harvard University</t>
  </si>
  <si>
    <t>Richards, FD (corresponding author), Imperial Coll London, Dept Earth Sci &amp; Engn, London, England.</t>
  </si>
  <si>
    <t>f.richards19@imperial.ac.uk</t>
  </si>
  <si>
    <t>Coulson, Sophie/0000-0001-9353-2054; Dyer, Blake/0000-0002-0277-366X; Richards, Fred/0000-0002-6610-4289; Austermann, Jacqueline/0000-0003-3754-5082; Hoggard, Mark/0000-0003-4310-3862</t>
  </si>
  <si>
    <t>Schmidt Science Fellows program; Rhodes Trust; Imperial College Research Fellowship Scheme; Los Alamos National Laboratory Director's Postdoctoral Fellowship; Geoscience Australia and the Australian Research Council's Discovery Early Career Researcher Award [DE220101519]; Vetlesen Foundation; NSF [EAR-0949446, EAR-1550901]</t>
  </si>
  <si>
    <t>Schmidt Science Fellows program; Rhodes Trust; Imperial College Research Fellowship Scheme; Los Alamos National Laboratory Director's Postdoctoral Fellowship(United States Department of Energy (DOE)Los Alamos National Laboratory); Geoscience Australia and the Australian Research Council's Discovery Early Career Researcher Award; Vetlesen Foundation; NSF(National Science Foundation (NSF))</t>
  </si>
  <si>
    <t>F.D.R. acknowledges support from the Schmidt Science Fellows program, in partnership with the Rhodes Trust, and the Imperial College Research Fellowship Scheme. S.L.C. is supported by a Los Alamos National Laboratory Director's Postdoctoral Fellowship. M.J.H. acknowledges support from Geoscience Australia and the Australian Research Council's Discovery Early Career Researcher Award DE220101519. J.A. acknowledges support from the Vetlesen Foundation. We thank the Computational Infrastructure for Geodynamics (geodynamics.org), which is funded by the NSF under award EAR-0949446 and EAR-1550901 for supporting the development of ASPECT and the Imperial College Research Computing Service (https://doi.org/10.14469/hpc/2232) for providing computational resources.</t>
  </si>
  <si>
    <t>NOV 17</t>
  </si>
  <si>
    <t>eadg3035</t>
  </si>
  <si>
    <t>10.1126/sciadv.adg3035</t>
  </si>
  <si>
    <t>EY5W2</t>
  </si>
  <si>
    <t>WOS:001142519200009</t>
  </si>
  <si>
    <t>Tytgat, B; Verleyen, E; Sweetlove, M; van den Berge, K; Pinseel, E; Hodgson, DA; Chown, SL; Sabbe, K; Wilmotte, A; Willems, A; Vyverman, W</t>
  </si>
  <si>
    <t>Tytgat, Bjorn; Verleyen, Elie; Sweetlove, Maxime; van den Berge, Koen; Pinseel, Eveline; Hodgson, Dominic A.; Chown, Steven L.; Sabbe, Koen; Wilmotte, Annick; Willems, Anne; Vyverman, Wim</t>
  </si>
  <si>
    <t>Polar Lake Sampling Consortium</t>
  </si>
  <si>
    <t>Polar lake microbiomes have distinct evolutionary histories</t>
  </si>
  <si>
    <t>RIBOSOMAL-RNA SEQUENCES; UBIQUITOUS DISPERSAL; R PACKAGE; BIODIVERSITY; BIOGEOGRAPHY; ANTARCTICA; DIVERSITY; EXISTENCE; DATABASE; REVEALS</t>
  </si>
  <si>
    <t>Toward the poles, life on land is increasingly dominated by microorganisms, yet the evolutionary origin of polar microbiomes remains poorly understood. Here, we use metabarcoding of Arctic, sub-Antarctic, and Antarctic lacustrine benthic microbial communities to test the hypothesis that high-latitude microbiomes are recruited from a globally dispersing species pool through environmental selection. We demonstrate that taxonomic overlap between the regions is limited within most phyla, even at higher-order taxonomic levels, with unique deep-branching phylogenetic clades being present in each region. We show that local and regional taxon richness and net diversification rate of regionally restricted taxa differ substantially between polar regions in both microeukaryotic and bacterial biota. This suggests that long-term evolutionary divergence resulting from low interhemispheric dispersal and diversification in isolation has been a prominent process shaping present-day polar lake microbiomes. Our findings illuminate the distinctive biogeography of polar lake ecosystems and underscore that conservation efforts should include their unique microbiota.</t>
  </si>
  <si>
    <t>[Tytgat, Bjorn; Verleyen, Elie; Sweetlove, Maxime; Pinseel, Eveline; Sabbe, Koen; Vyverman, Wim] Univ Ghent, Lab Protistol &amp; Aquat Ecol, Ghent, Belgium; [van den Berge, Koen] Univ Ghent, Dept Appl Math Comp Sci &amp; Stat, Ghent, Belgium; [Pinseel, Eveline] Meise Bot Garden, Meise, Belgium; [Hodgson, Dominic A.] NERC, British Antarctic Survey, Cambridge, England; [Hodgson, Dominic A.] Univ Durham, Dept Geog, Durham, England; [Chown, Steven L.] Monash Univ, Sch Biol Sci, Securing Antarct Environm Future, Melbourne, Vic, Australia; [Wilmotte, Annick] Univ Liege, InBio Ctr Prot Engn, Liege, Belgium; [Willems, Anne] Univ Ghent, Lab Microbiol, Ghent, Belgium; [van den Berge, Koen] Janssen R&amp;D, Beerse, Belgium; [Pinseel, Eveline] Univ Arkansas, Dept Biol Sci, Fayetteville, AR USA</t>
  </si>
  <si>
    <t>Ghent University; Ghent University; UK Research &amp; Innovation (UKRI); Natural Environment Research Council (NERC); NERC British Antarctic Survey; Durham University; Monash University; Melbourne Genomics Health Alliance; University of Liege; Ghent University; University of Arkansas System; University of Arkansas Fayetteville</t>
  </si>
  <si>
    <t>Vyverman, W (corresponding author), Univ Ghent, Lab Protistol &amp; Aquat Ecol, Ghent, Belgium.</t>
  </si>
  <si>
    <t>wim.vyverman@ugent.be</t>
  </si>
  <si>
    <t>; Willems, Anne/B-2872-2010; Chown, Steven/H-3347-2011</t>
  </si>
  <si>
    <t>Pinseel, Eveline/0000-0002-1801-2187; Willems, Anne/0000-0002-8421-2881; Sabbe, Koen/0000-0001-5163-5581; Hodgson, Dominic/0000-0002-3841-3746; Wilmotte, Annick/0000-0003-3546-3489; Chown, Steven/0000-0001-6069-5105; Elster, Josef/0000-0002-4535-5636</t>
  </si>
  <si>
    <t>Belgian Science Policy Office (BelSPo) project CCAMBIO [SD/BA/03]; BelSPo project SAFRED [BR/154/A6/SAFRED]; EU Interact project Mibipol; Belgian American Educational Foundation (BAEF); Research Foundation - Flanders (FWO) [1S41816N, 1246220N, 1104315 N, 1104317 N, 1221323 N]; Simons Foundation [725407]; FRS-FNRS (A.Wilm.); NERC; Charles University Research Centre program [204069]; Ministry of Education, Youth and Sports of the Czech Republic [CENAKVA LM2018099]; European Regional Development Fund-Project [CZ.02.1.01/0.0/0.0/16_025/0007370]; Kurchatov Center of Genome Research Agreement [075-15-2019-1659]; Czech Ministry of Education (MScaron;MT in Czech); Government fund of the Czech Republic; European Social Fund grant [LM2010009, CZ.1.07/2.2.00/28.0190, RVO67985939]; Italian National Programme for Research in Antarctica (PNRA)</t>
  </si>
  <si>
    <t>Belgian Science Policy Office (BelSPo) project CCAMBIO; BelSPo project SAFRED; EU Interact project Mibipol; Belgian American Educational Foundation (BAEF); Research Foundation - Flanders (FWO)(FWO); Simons Foundation; FRS-FNRS (A.Wilm.)(Fonds de la Recherche Scientifique - FNRS); NERC(UK Research &amp; Innovation (UKRI)Natural Environment Research Council (NERC)); Charles University Research Centre program; Ministry of Education, Youth and Sports of the Czech Republic(Ministry of Education, Youth &amp; Sports - Czech Republic); European Regional Development Fund-Project; Kurchatov Center of Genome Research Agreement; Czech Ministry of Education (MScaron;MT in Czech); Government fund of the Czech Republic; European Social Fund grant; Italian National Programme for Research in Antarctica (PNRA)</t>
  </si>
  <si>
    <t>This work was supported by Belgian Science Policy Office (BelSPo) project CCAMBIO (SD/BA/03); BelSPo project SAFRED (BR/154/A6/SAFRED); EU Interact project Mibipol; Belgian American Educational Foundation (BAEF) (to K.V.d.B.); Research Foundation - Flanders (FWO) no. 1S41816N (to K.V.d.B.); FWO Postdoctoral research grant no. 1246220N (to K.V.d.B.); Research Foundation - Flanders (FWO) no. 1104315 N (to E.P.); Research Foundation - Flanders (FWO) no. 1104317 N (to E.P.); Research Foundation - Flanders (FWO) no. 1221323 N (to E.P.); Simons Foundation, grant no. 725407 (to E.P.); FRS-FNRS (A.Wilm.); NERC core funding to the BAS 'Biodiversity, Evolution and Adaptation' Team (to P.C.); Charles University Research Centre program no. 204069 (to K.K.); Ministry of Education, Youth and Sports of the Czech Republic grant CENAKVA LM2018099 (O.S.); European Regional Development Fund-Project No. CZ.02.1.01/0.0/0.0/16_025/0007370 (O.S.); Kurchatov Center of Genome Research Agreement #075-15-2019-1659 (Z.N.); The Czech Ministry of Education (M &amp; Scaron;MT in Czech); The government fund of the Czech Republic; European Social Fund grant LM2010009; European Social Fund grant CZ.1.07/2.2.00/28.0190; European Social Fund grant RVO67985939; and the Italian National Programme for Research in Antarctica (PNRA) (to R.B).</t>
  </si>
  <si>
    <t>eade7130</t>
  </si>
  <si>
    <t>10.1126/sciadv.ade7130</t>
  </si>
  <si>
    <t>WOS:001142519200008</t>
  </si>
  <si>
    <t>Chen, YW; Zhu, GP</t>
  </si>
  <si>
    <t>Chen, Yuwen; Zhu, Guoping</t>
  </si>
  <si>
    <t>Using teacher-student neural networks based on knowledge distillation to detect anomalous samples in the otolith images</t>
  </si>
  <si>
    <t>ZOOLOGY</t>
  </si>
  <si>
    <t>Deep learning; Anomaly detection; Aberrant crystallization; Species discrimination; Antarctic</t>
  </si>
  <si>
    <t>ABNORMAL OTOLITHS; VATERITE OTOLITHS; STORAGE METHODS; ELEMENTS; MYCTOPHIDAE; MORPHOLOGY</t>
  </si>
  <si>
    <t>Otoliths are small calcium carbonate structures found in the inner ear of fish and they, as one of important information carriers, are applied in diverse ecological fields. Otoliths are usually photographed and used to explore many unsolved biological and ecological questions. However, many anomalies may occur in the large volume of otolith image data due to natural or artificial consequences, which brings a huge bias to the aimed study and even misleading results. In this study, we first propose a specific definition of otolith anomalies and provide a dataset of otolith anomalies with Electrona carlsbergi, one of the most abundant species of lanternfishes, as the study subject. We modify a multiresolution knowledge distillation neural network model, the state-of-theart anomaly detection model to a multiresolution knowledge distillation network model with asymmetric inputs, which uses grayscale maps to align the features of color maps in the feature space, to help improve otolith anomalies detection. Our fine-tuned anomaly detection network obtains a better anomaly identification performance with a Receiving Operating Characteristic Area Under the Curve value of 0.9843. Our result shown that multiresolution knowledge distillation networks can efficiently identify abnormal otolith image sample, which is of great importance for conducting otolith-based science.</t>
  </si>
  <si>
    <t>[Chen, Yuwen; Zhu, Guoping] Shanghai Ocean Univ, Coll Marine Sci, Shanghai 201306, Peoples R China; [Chen, Yuwen; Zhu, Guoping] Shanghai Ocean Univ, Ctr Polar Res, Shanghai 201306, Peoples R China; [Zhu, Guoping] Natl Engn Res Ctr Ocean Fisheries, Shanghai 201306, Peoples R China; [Zhu, Guoping] Shanghai Ocean Univ, Key Lab Sustainable Exploitat Ocean Fisheries Reso, Polar Marine Ecosyst Grp, Minist Educ, Shanghai 201306, Peoples R China</t>
  </si>
  <si>
    <t>Shanghai Ocean University; Shanghai Ocean University; National Engineering Research Center for Oceanic Fisheries; Shanghai Ocean University</t>
  </si>
  <si>
    <t>Zhu, GP (corresponding author), Shanghai Ocean Univ, Coll Marine Sci, Shanghai 201306, Peoples R China.</t>
  </si>
  <si>
    <t>gpzhu@shou.edu.cn</t>
  </si>
  <si>
    <t>Zhu, Guoping/0000-0001-6081-7811</t>
  </si>
  <si>
    <t>Australian Government [4344]</t>
  </si>
  <si>
    <t>Australian Government(Australian Government)</t>
  </si>
  <si>
    <t>We are grateful to Dan Cao for her help in labeling the dataset. We also are grateful to the captains of large-scale trawlers Furonghai and the scientific observers onboard those vessels for fish sampling and processing. We also thank the Science Technical Support Team of the Australian Antarctic Division and the master and crew of the Aurora Australis for their considerable efforts to make this work happen. Team members of the Polar Marine Ecosystem Laboratory, Shanghai Ocean University deserves special recognition for their efforts in the laboratory. We further thank the College of Marine Sciences at Shanghai Ocean University for providing the facilities in the laboratory that make this study happen. This project was supported by the International Science and Technology Cooperation Key Special Project of the National Key Research and Development Program (grant no 2023YFE0104500 to G.P. Zhu) , the National Natural Science Foundation of China (grant 41776185 to G.P. Zhu) , Chinese-Australian Young Scientist Exchange Program of China Association for Science and Technology (Cooperative Research in Antarctic Ecosystem, grant number 2020ZZGJB060926 to G.P. Zhu) and the Promote Scientific Research Cooperation and High-level Talent Training Projects with Canada, Australia, New Zealand and Latin America of Chinese Scholarship Council (grant number 2021-109 to G.P. Zhu) . Samples from the East Antarctic were collected on the K-Axis Voyage 2016 and the Australian Government under the Australian Antarctic Science program (AAS Grant 4344) .r K-Axis Voyage 2016 and the Australian Government under the Austra-lian Antarctic Science program (AAS Grant 4344) .</t>
  </si>
  <si>
    <t>ELSEVIER GMBH</t>
  </si>
  <si>
    <t>MUNICH</t>
  </si>
  <si>
    <t>HACKERBRUCKE 6, 80335 MUNICH, GERMANY</t>
  </si>
  <si>
    <t>0944-2006</t>
  </si>
  <si>
    <t>1873-2720</t>
  </si>
  <si>
    <t>10.1016/j.zool.2023.126133</t>
  </si>
  <si>
    <t>FP2D9</t>
  </si>
  <si>
    <t>WOS:001146970900001</t>
  </si>
  <si>
    <t>Raspotnik, A; Stepien, A</t>
  </si>
  <si>
    <t>Raspotnik, Andreas; Stepien, Adam</t>
  </si>
  <si>
    <t>The European Union's polar ambitions: regional geo-policies yet limited geo-strategic vision</t>
  </si>
  <si>
    <t>JOURNAL OF EUROPEAN INTEGRATION</t>
  </si>
  <si>
    <t>European Union; Arctic; Antarctic; geo-policy; geo-strategy; global spaces</t>
  </si>
  <si>
    <t>GEOPOLITICS</t>
  </si>
  <si>
    <t>The European Union influences the governance of the Arctic and the Antarctic, whose Global Spaces constitute a part of broader complex governance patchworks. This influence derives both from the EU's role in global governance but also builds on some member states being Arctic states and Antarctic Treaty parties. The objective of this article is to propose an innovative conceptual approach - built on political geography and critical geopolitics - to better capture the EU's presence and its visions for an EU-preferred shape of polar governance. We propose that the EU is an important participant to the process of 'polar spatial ordering' and has its own set of objectives, namely, to establish permanent EU-polar linkages and render itself a necessary element/participant of polar (geo)politics. These aims are supported or pursued via diverse geo-policies. However, the EU's overarching visions - cross-sectoral geo-strategies - regarding its preferred shape of polar spaces remain underdeveloped.</t>
  </si>
  <si>
    <t>[Raspotnik, Andreas] Fridtjof Nansen Inst Polhogda, Oslo, Norway; [Stepien, Adam] Univ Lapland, Arctic Ctr, Rovaniemi, Finland</t>
  </si>
  <si>
    <t>University of Lapland</t>
  </si>
  <si>
    <t>Raspotnik, A (corresponding author), Fridtjof Nansen Inst Polhogda, Oslo, Norway.</t>
  </si>
  <si>
    <t>araspotnik@fni.no</t>
  </si>
  <si>
    <t>Raspotnik, Andreas/0000-0001-5076-1711</t>
  </si>
  <si>
    <t>ROUTLEDGE JOURNALS, TAYLOR &amp; FRANCIS LTD</t>
  </si>
  <si>
    <t>2-4 PARK SQUARE, MILTON PARK, ABINGDON OX14 4RN, OXON, ENGLAND</t>
  </si>
  <si>
    <t>0703-6337</t>
  </si>
  <si>
    <t>1477-2280</t>
  </si>
  <si>
    <t>J EUR INTEGR</t>
  </si>
  <si>
    <t>J. Eur. Integr.</t>
  </si>
  <si>
    <t>10.1080/07036337.2023.2270664</t>
  </si>
  <si>
    <t>International Relations; Political Science</t>
  </si>
  <si>
    <t>International Relations; Government &amp; Law</t>
  </si>
  <si>
    <t>Z8TN3</t>
  </si>
  <si>
    <t>WOS:001114745600004</t>
  </si>
  <si>
    <t>Kusahara, K; Tatebe, H</t>
  </si>
  <si>
    <t>Kusahara, Kazuya; Tatebe, Hiroaki</t>
  </si>
  <si>
    <t>Basin-scale tracer replacement timescales in a one-degree global OGCM</t>
  </si>
  <si>
    <t>tracer replacement timescales; a global ocean-sea ice model; passive tracers' experiment; Antarctic ice shelves; ocean modeling</t>
  </si>
  <si>
    <t>MERIDIONAL OVERTURNING CIRCULATION; WATER; ICE; VARIABILITY; MODEL; SEA; PROTOCOLS; CLOSURE; DEEP</t>
  </si>
  <si>
    <t>This study investigates basin-scale tracer replacement timescales of the two polar oceans and the Atlantic, Indian, and Pacific Oceans using a one-degree global ocean-sea ice model that represents oceans under the largest Antarctic ice shelves, the Filchner-Ronne and Ross Ice Shelf (FRIS and RIS). After a long spin-up with present-day surface boundary conditions, we confirm that the model has a typical representation of wind-driven and thermohaline circulations in one-degree ocean models. We use virtual passive tracers placed in the five oceans and examine the behavior of the passive tracers to estimate the tracer replacement timescales and pathways of the basin-scale ocean waters. Replacement timescales in the polar oceans (114 years for the Southern Ocean and 109 years for the Arctic Ocean) are found to be shorter than those in the three oceans (217 years for the Atlantic Ocean, 163 years for the Indian Ocean, and 338 years for the Pacific Ocean). The Southern Ocean tracer has two clear pathways to the Northern Hemisphere: the surface route in the Atlantic Ocean and the bottom route in the Pacific and Indian Oceans. This surface route is a rapid conduit to transport the Southern Ocean signal to the North Atlantic and Arctic Oceans. The Atlantic Ocean tracer is transported to both polar regions along the North Atlantic Current and the Antarctic Circumpolar Current (ACC). The tracer experiments clearly demonstrate that Atlantic Meridional Overturning Circulation (AMOC) plays a vital role in transporting the water masses in the Atlantic and Arctic Oceans to the Southern Ocean. The southward flow of the AMOC at the intermediate depths carries the northern waters to the ACC region, and then the water spreads over the Southern Ocean along the eastward-flowing ACC. The decay timescales of water in the ice-shelf cavities exposed to the water outside the Southern Ocean are estimated to be approximately 150 years for both the FIRS and RIS. The decay timescales in the Antarctic coastal region are short at the surface and long in the deep layers, with a noticeable reduction in the areas where ACC flows southward toward the Antarctic continent.</t>
  </si>
  <si>
    <t>[Kusahara, Kazuya; Tatebe, Hiroaki] Japan Agcy Marine Earth Sci &amp; Technol JAMSTEC, Res Ctr Environm Modeling &amp; Applicat CEMA, Yokohama, Japan</t>
  </si>
  <si>
    <t>Japan Agency for Marine-Earth Science &amp; Technology (JAMSTEC)</t>
  </si>
  <si>
    <t>Kusahara, K (corresponding author), Japan Agcy Marine Earth Sci &amp; Technol JAMSTEC, Res Ctr Environm Modeling &amp; Applicat CEMA, Yokohama, Japan.</t>
  </si>
  <si>
    <t>kazuya.kusahara@gmail.com</t>
  </si>
  <si>
    <t>Japan Society for the Promotion of Science10.13039/501100001691</t>
  </si>
  <si>
    <t>Japan Society for the Promotion of Science10.13039/501100001691(Ministry of Education, Culture, Sports, Science and Technology, Japan (MEXT)Japan Society for the Promotion of Science)</t>
  </si>
  <si>
    <t>All numerical experiments with the ocean-sea ice-ice shelf model were performed on the Earth Simulator at the Japan Agency for Marine-Earth Science and Technology. We are grateful to Dr. Takao Kawasaki for useful discussion.</t>
  </si>
  <si>
    <t>10.3389/fmars.2023.1308728</t>
  </si>
  <si>
    <t>Z4CJ2</t>
  </si>
  <si>
    <t>WOS:001111568900001</t>
  </si>
  <si>
    <t>Clark, MS; Hoffman, JI; Peck, LS; Bargelloni, L; Gande, D; Havermans, C; Meyer, B; Patarnello, T; Phillips, T; Stoof-Leichsenring, KR; Vendrami, DLJ; Beck, A; Collins, G; Friedrich, MW; Halanych, KM; Masello, JF; Nagel, R; Noren, K; Printzen, C; Ruiz, MB; Wohlrab, S; Becker, B; Dumack, K; Ghaderiardakani, F; Glaser, K; Heesch, S; Held, C; John, U; Karsten, U; Kempf, S; Lucassen, M; Paijmans, A; Schimani, K; Wallberg, A; Wunder, LC; Mock, T</t>
  </si>
  <si>
    <t>Clark, M. S.; Hoffman, J. I.; Peck, L. S.; Bargelloni, L.; Gande, D.; Havermans, C.; Meyer, B.; Patarnello, T.; Phillips, T.; Stoof-Leichsenring, K. R.; Vendrami, D. L. J.; Beck, A.; Collins, G.; Friedrich, M. W.; Halanych, K. M.; Masello, J. F.; Nagel, R.; Noren, K.; Printzen, C.; Ruiz, M. B.; Wohlrab, S.; Becker, B.; Dumack, K.; Ghaderiardakani, F.; Glaser, K.; Heesch, S.; Held, C.; John, U.; Karsten, U.; Kempf, S.; Lucassen, M.; Paijmans, A.; Schimani, K.; Wallberg, A.; Wunder, L. C.; Mock, T.</t>
  </si>
  <si>
    <t>Multi-omics for studying and understanding polar life</t>
  </si>
  <si>
    <t>CLIMATE-CHANGE; BENTHIC FAUNA; BIODIVERSITY; ADAPTATIONS; ANTARCTICA; RESPONSES; KRILL; TEMPERATURE</t>
  </si>
  <si>
    <t>Polar ecosystems are experiencing amongst the most rapid rates of regional warming on Earth. Here, we discuss 'omics' approaches to investigate polar biodiversity, including the current state of the art, future perspectives and recommendations. We propose a community road map to generate and more fully exploit multi-omics data from polar organisms. These data are needed for the comprehensive evaluation of polar biodiversity and to reveal how life evolved and adapted to permanently cold environments with extreme seasonality. We argue that concerted action is required to mitigate the impact of warming on polar ecosystems via conservation efforts, to sustainably manage these unique habitats and their ecosystem services, and for the sustainable bioprospecting of novel genes and compounds for societal gain. Endangered polar ecosystems play critical roles in the Earth's climate system and comprise many different habitats with unique organisms. Here, the authors propose a community road map to use multi-omics data from polar organisms for conservation, ecosystem services and societal gain.</t>
  </si>
  <si>
    <t>[Clark, M. S.; Hoffman, J. I.; Peck, L. S.; Phillips, T.] UKRI NERC, British Antarctic Survey, Madingley Rd, Cambridge CB3 0ET, England; [Hoffman, J. I.; Vendrami, D. L. J.; Masello, J. F.; Nagel, R.; Paijmans, A.] Univ Bielefeld, VHF, Konsequenz 45, D-33615 Bielefeld, Germany; [Bargelloni, L.; Patarnello, T.] Univ Padua, Dept Comparat Biomed &amp; Food Sci, Viale Univ 16, I-35020 Legnaro, Italy; [Gande, D.; Friedrich, M. W.; Wunder, L. C.] Univ Bremen, Fac Biol Chem, Microbial Ecophysiol Grp, Leobener Str 3, D-28359 Bremen, Germany; [Gande, D.; Friedrich, M. W.; Wunder, L. C.] Univ Bremen, MARUM, Leobener Str 3, D-28359 Bremen, Germany; [Havermans, C.; Meyer, B.; Ruiz, M. B.; Wohlrab, S.; Held, C.; John, U.; Kempf, S.; Lucassen, M.] Helmholtz Zentrum Polar &amp; Meeresforsch, Alfred Wegener Inst, Handelshafen 12, D-27570 Bremerhaven, Germany; [Meyer, B.] Carl von Ossietzky Univ Oldenburg, Inst Chem &amp; Biol Marine Environm, Oldenburg, Germany; [Meyer, B.; Wohlrab, S.] Univ Oldenburg HIFMB, Helmholtz Inst Funct Marine Biodivers, D-23129 Oldenburg, Germany; [Stoof-Leichsenring, K. R.] Alfred Wegener Inst, Helmholtz Ctr Polar &amp; Marine Res, D-14473 Potsdam, Germany; [Beck, A.] Bot Staatssammlung Munchen SNSB BSM, Staatliche Nat Wissensch Sammlungen Bayerns, Menzinger Str 67, D-80638 Munich, Germany; [Collins, G.; Printzen, C.] Senckenberg Biodivers &amp; Climate Res Ctr, Senckenberganlage 25, D-60325 Frankfurt, Germany; [Collins, G.; Printzen, C.] Loewe Ctr Translat Biodivers Genom, Senckenberganlage 25, D-60325 Frankfurt, Germany; [Halanych, K. M.] Univ N Carolina, Ctr Marine Sci, 5600 Marvin K Moss Lane, Wilmington, NC 28409 USA; [Masello, J. F.] Justus Liebig Univ Giessen, Giessen, Germany; [Noren, K.] Stockholm Univ, Dept Zool, S-10691 Stockholm, Sweden; [Printzen, C.] Nat Hist Museum Frankfurt, Senckenberganlage 25, D-60325 Frankfurt, Germany; [Ruiz, M. B.] Univ Duisburg Essen, Univ Str 5, D-45151 Essen, Germany; [Becker, B.] Univ Cologne, Inst Pflanzenwissensch, Zulpicher Str 47b, D-60674 Cologne, Germany; [Dumack, K.] Univ Cologne, Terr Okol, Zulpicher Str 47b, D-60674 Cologne, Germany; [Ghaderiardakani, F.] Friedrich Schiller Univ Jena, Inst Inorgan &amp; Analyt Chem, Lessingstr 8, D-07743 Jena, Germany; [Glaser, K.; Heesch, S.; Karsten, U.] Univ Rostock, Inst Biol Sci Appl Ecol &amp; Phycol, Albert Einstein Str 3, D-18059 Rostock, Germany; [Schimani, K.] Free Univ Berlin, Bot Garten, Konigin Luise Str 6-8, D-14195 Berlin, Germany; [Schimani, K.] Free Univ Berlin, Bot Museum Berlin, Konigin Luise Str 6-8, D-14195 Berlin, Germany; [Wallberg, A.] Uppsala Univ, Dept Med Biochem &amp; Microbiol, Husargatan 3, S-75123 Uppsala, Sweden; [Mock, T.] Univ East Anglia, Sch Environm Sci, Norwich Res Pk, Norwich NR4 7TJ, England; [Collins, G.] Manaaki Whenua Landcare Res, 231 Morrin Rd St Johns, Auckland 1072, New Zealand; [Nagel, R.] Univ St Andrews, Sch Biol, St Andrews KY16 9TH, Fife, Scotland</t>
  </si>
  <si>
    <t>UK Research &amp; Innovation (UKRI); Natural Environment Research Council (NERC); NERC British Antarctic Survey; University of Bielefeld; University of Padua; University of Bremen; University of Bremen; Helmholtz Association; Alfred Wegener Institute, Helmholtz Centre for Polar &amp; Marine Research; Carl von Ossietzky Universitat Oldenburg; Helmholtz Association; Alfred Wegener Institute, Helmholtz Centre for Polar &amp; Marine Research; Senckenberg Gesellschaft fur Naturforschung (SGN); Senckenberg Biodiversitat &amp; Klima- Forschungszentrum (BiK-F); University of North Carolina; University of North Carolina Wilmington; Justus Liebig University Giessen; Stockholm University; University of Duisburg Essen; University of Cologne; University of Cologne; Friedrich Schiller University of Jena; University of Rostock; Free University of Berlin; Free University of Berlin; Uppsala University; University of East Anglia; Landcare Research - New Zealand; University of St Andrews</t>
  </si>
  <si>
    <t>Clark, MS; Hoffman, JI; Peck, LS (corresponding author), UKRI NERC, British Antarctic Survey, Madingley Rd, Cambridge CB3 0ET, England.;Hoffman, JI (corresponding author), Univ Bielefeld, VHF, Konsequenz 45, D-33615 Bielefeld, Germany.;Mock, T (corresponding author), Univ East Anglia, Sch Environm Sci, Norwich Res Pk, Norwich NR4 7TJ, England.</t>
  </si>
  <si>
    <t>mscl@bas.ac.uk; joseph.hoffman@uni-bielefeld.de; lspe@bas.ac.uk; t.mock@uea.ac.uk</t>
  </si>
  <si>
    <t>Mock, Thomas/A-3127-2008; Wohlrab, Sylke/R-7435-2016; Clark, Melody/D-7371-2014; Hoffman, Joseph/K-7725-2012; Masello, Juan Francisco/C-7133-2009; Friedrich, Michael W./B-3151-2013</t>
  </si>
  <si>
    <t>Mock, Thomas/0000-0001-9604-0362; Clark, Melody/0000-0002-3442-3824; Hoffman, Joseph/0000-0001-5895-8949; Ghaderiardakani, Fatemeh/0000-0003-3497-8421; Meyer, Bettina/0000-0001-6804-9896; Wohlrab, Sylke/0000-0003-3190-0880; Havermans, Charlotte/0000-0002-1126-4074; BARGELLONI, Luca/0000-0003-4351-2826; Masello, Juan Francisco/0000-0002-6826-4016; Nagel, Rebecca/0000-0002-2925-1028; Friedrich, Michael W./0000-0002-8055-3232; Gande, Darjan/0009-0004-5895-2976; Stoof-Leichsenring, Kathleen R./0000-0002-6609-3217</t>
  </si>
  <si>
    <t>German Research Foundation (DFG) [SPP 1158]; Ralph Design Ltd</t>
  </si>
  <si>
    <t>German Research Foundation (DFG)(German Research Foundation (DFG)); Ralph Design Ltd</t>
  </si>
  <si>
    <t>This manuscript arose from the Polar Genomics Workshop, which was held on 16-18 May 2022 in Bielefeld, Germany. The workshop was funded by the German Research Foundation (DFG) as part of the priority program Antarctic Research with Comparative Investigations in Arctic Ice Areas SPP 1158 awarded to J.I.H. We would like to thank Ralph Design Ltd (www.ralphdesign.co.uk) for designing Fig. 3.</t>
  </si>
  <si>
    <t>10.1038/s41467-023-43209-y</t>
  </si>
  <si>
    <t>Z1EH0</t>
  </si>
  <si>
    <t>WOS:001109577000020</t>
  </si>
  <si>
    <t>Shi, S; Shi, ZX; Sun, ZQ; Gong, W; Xu, L; Chen, BW; Qu, FF; Tang, XT</t>
  </si>
  <si>
    <t>Shi, Shuo; Shi, Zixi; Sun, Zhongqiu; Gong, Wei; Xu, Lu; Chen, Bowen; Qu, Fangfang; Tang, Xingtao</t>
  </si>
  <si>
    <t>Potentiality of ultraspectral sensor in biophysical and biochemical vegetation parameter inversion</t>
  </si>
  <si>
    <t>INTERNATIONAL JOURNAL OF REMOTE SENSING</t>
  </si>
  <si>
    <t>Ultraspectral data; vegetation; leaf area index; biophysical and biochemical vegetation parameters; canopy model inversion; hyperspectral data</t>
  </si>
  <si>
    <t>LEAF-AREA INDEX; GAUSSIAN-PROCESSES; HYPERSPECTRAL DATA; RETRIEVAL; MODEL; MACHINE; FOREST; LAI; DIMENSIONALITY; CHLOROPHYLL</t>
  </si>
  <si>
    <t>Biophysical and biochemical vegetation parameters are important indicators for quantitatively monitoring vegetation growth status and ecosystem. Compared to hyperspectral data, the emergence of ultraspectral remote sensing technology supports the acquisition of thousands of more narrow bands in near-infrared spectrum. It is helpful to capture more detailed vegetation spectral features, thereby providing more accurate quantitative inversion. However, there are still many unknowns in utilizing ultraspectral sensors for vegetation biochemical and biophysical parameters inversion, particularly in extracting meaningful inversion information from thousands of spectral bands. Here, we discuss the potentiality, efficiency and accuracy of the ultraspectral sensor AisaIBIS in this field. Firstly, we conducted sensitivity analysis based on simulated sensor dataset and the PROSAIL model to determine the vegetation parameters suitable for inversion. Secondly, in order to enhance the inversion efficiency and reduce the effects of multicollinearity in ultraspectral data, we proposed the stepped asymptotic optimization strategy that combined random forest (RF) and Gaussian process regression (GPR-BAT) methods for dimensionality reduction. Lastly, using experimental data, we compared the inversion accuracy between traditional band selection methods and our proposed method, thereby validating the application potential of ultraspectral sensors. The experimental results indicate that leaf area index (LAI), chlorophyll content, and brown pigment are the most sensitive parameters to the spectral information and are suitable for inversion. Based on the stepped asymptotic optimization strategy, we effectively avoid incomplete information extraction caused by high correlation and spectral redundancy, achieving optimal bands covering the entire spectrum of the sensor. The LAI inversion shows a correlation of 0.691 and an RMSE of 1.955 with the original data, outperforming the accuracy of the traditional band selection methods RF and principal component analysis (PCA). Moreover, the inversion time has decreased by approximately 66% after the dimensionality reduction. This study illustrates the application value of monitoring vegetation parameters by ultraspectral sensor.</t>
  </si>
  <si>
    <t>[Shi, Shuo; Shi, Zixi; Gong, Wei; Xu, Lu; Chen, Bowen; Qu, Fangfang; Tang, Xingtao] Wuhan Univ, State Key Lab Informat Engn Surveying Mapping &amp; Re, Wuhan, Hubei, Peoples R China; [Shi, Shuo] State Key Lab Geoinformat Engn, Xian, Shaanxi, Peoples R China; [Shi, Shuo; Gong, Wei] Minist Educ, Percept &amp; Effectiveness Assessment Carbon Neutral, Engn Res Ctr, Wuhan, Hubei, Peoples R China; [Sun, Zhongqiu] Natl Forestry &amp; Grassland Adm, Acad Inventory &amp; Planning, Beijing, Peoples R China; [Gong, Wei] Wuhan Inst Quantum Technol, Wuhan 430010, Hubei, Peoples R China; [Chen, Bowen] Wuhan Univ, Chinese Antarctic Ctr Surveying &amp; Mapping, Wuhan, Hubei, Peoples R China; [Shi, Zixi] State Key Lab Informat Engn Surveying Mapping &amp; Re, Wuhan 430079, Hubei, Peoples R China</t>
  </si>
  <si>
    <t>Wuhan University; Wuhan University</t>
  </si>
  <si>
    <t>Shi, ZX (corresponding author), State Key Lab Informat Engn Surveying Mapping &amp; Re, Wuhan 430079, Hubei, Peoples R China.</t>
  </si>
  <si>
    <t>shizixi@whu.edu.cn</t>
  </si>
  <si>
    <t>zhou, yuwei/KHD-4127-2024; Chen, Bowen/KFB-3986-2024; liu, zhao/KGM-5884-2024</t>
  </si>
  <si>
    <t>National Natural Science Foundation of China; Academy of Inventory and Planning, National Forestry and Grassland Administration</t>
  </si>
  <si>
    <t>National Natural Science Foundation of China(National Natural Science Foundation of China (NSFC)); Academy of Inventory and Planning, National Forestry and Grassland Administration</t>
  </si>
  <si>
    <t>We gratefully acknowledge the Academy of Inventory and Planning, National Forestry and Grassland Administration for their help in data acquisition and the open access to the PROSAIL, ARTMO, python, as well as to the MATLAB.</t>
  </si>
  <si>
    <t>0143-1161</t>
  </si>
  <si>
    <t>1366-5901</t>
  </si>
  <si>
    <t>INT J REMOTE SENS</t>
  </si>
  <si>
    <t>Int. J. Remote Sens.</t>
  </si>
  <si>
    <t>10.1080/01431161.2023.2283903</t>
  </si>
  <si>
    <t>Remote Sensing; Imaging Science &amp; Photographic Technology</t>
  </si>
  <si>
    <t>Z1TI8</t>
  </si>
  <si>
    <t>WOS:001109972200001</t>
  </si>
  <si>
    <t>Yamashita, Y; Akiyoshi, H; Inoue, M</t>
  </si>
  <si>
    <t>Yamashita, Yousuke; Akiyoshi, Hideharu; Inoue, Makoto</t>
  </si>
  <si>
    <t>The Role of Sea-Surface Conditions in Southern-Hemisphere Polar Vortex Strength and Associated Wave Forcing Revealed by a Multi-member Ensemble Simulation with the Chemistry-Climate Model</t>
  </si>
  <si>
    <t>SOLA</t>
  </si>
  <si>
    <t>INTERANNUAL VARIABILITY; STRATOSPHERE; NORTHERN; WARMINGS; WINTER</t>
  </si>
  <si>
    <t>The dynamical response of the southern hemisphere stratosphere to the ocean-surface conditions in 2002 and 2019, when exceptional sudden stratospheric warming (SSW) events occurred, was examined through the chemistry- climate model and experiments with 1,000 ensemble members using the sea-surface temperature (SST) and sea-ice conditions. Planetary waves propagating from the troposphere to the stratosphere in experiments using the ocean-surface conditions in 2002 and 2019 were markedly enhanced compared to those in experiments using climatological ocean conditions, owing to the enhancement of the zonal wavenumber-2 component in August 2002 and the wavenumber-1 component from August to November 2019. The distribution function from the ensemble members of the Antarctic polar-vortex intensity shifted to a weaker side in the 2002 and 2019 experiments relative to that of the climatological ocean conditions. The planetary wave propagation to the stratosphere was more enhanced in 2019 than in 2002 from austral winter to spring. This result is consistent with the weakening of the Antarctic polar-vortex intensity in the 2019 experiment relative to the 2002 experiment. These results suggest that the SSWs in 2002 and 2019 are closely related to the ocean surface conditions in these years through wave propagation in the troposphere and stratosphere.</t>
  </si>
  <si>
    <t>[Yamashita, Yousuke; Akiyoshi, Hideharu] Natl Inst Environm Studies, Tsukuba, Japan; [Inoue, Makoto] Akita Prefectural Univ, Dept Biol Environm, Akita, Japan; [Yamashita, Yousuke] Natl Inst Environm Studies, Ctr Global Environm Res, Earth Syst Div, Off Global Environm Data Integrat &amp; Analyt, 16-2 Onogawa, Tsukuba, Ibaraki 3058506, Japan</t>
  </si>
  <si>
    <t>National Institute for Environmental Studies - Japan; Akita Prefectural University; National Institute for Environmental Studies - Japan</t>
  </si>
  <si>
    <t>Yamashita, Y (corresponding author), Natl Inst Environm Studies, Ctr Global Environm Res, Earth Syst Div, Off Global Environm Data Integrat &amp; Analyt, 16-2 Onogawa, Tsukuba, Ibaraki 3058506, Japan.</t>
  </si>
  <si>
    <t>yamashita.yosuke@nies.go.jp</t>
  </si>
  <si>
    <t>Yamashita, Yousuke/AAB-4754-2019</t>
  </si>
  <si>
    <t>Yamashita, Yousuke/0000-0002-6813-4668</t>
  </si>
  <si>
    <t>Japan Society for the Promotion of Science (JSPS) KAKENHI [JP18KK0289, JP20K12155, JP20H01977]</t>
  </si>
  <si>
    <t>Japan Society for the Promotion of Science (JSPS) KAKENHI(Ministry of Education, Culture, Sports, Science and Technology, Japan (MEXT)Japan Society for the Promotion of ScienceGrants-in-Aid for Scientific Research (KAKENHI))</t>
  </si>
  <si>
    <t>Acknowledgements This study was supported by the Japan Society for the Promotion of Science (JSPS) KAKENHI (Grant Numbers JP18KK0289, JP20K12155 and JP20H01977) . The SX-AURORA TSUBASA at the NIES was used to perform the model simulations. The model data used in this study are available at https://doi.org/10.17595/20221215.001 (Yamashita et al. 2022) . Matplotlib was used to draw figures, and gtool3.5 was used for data processing. The OI SST V2 data are available at https://psl.noaa.gov/data/gridded/data.noaa.oisst.v2.html. The JRA-55 data are available at https://jra.kishou. go.jp/JRA-55/index_en.html.</t>
  </si>
  <si>
    <t>METEOROLOGICAL SOC JAPAN</t>
  </si>
  <si>
    <t>TOKYO</t>
  </si>
  <si>
    <t>C/O JAPAN METEOROLOGICAL AGENCY 1-3-4 OTE-MACHI, CHIYODA-KU, TOKYO, 100-0004, JAPAN</t>
  </si>
  <si>
    <t>1349-6476</t>
  </si>
  <si>
    <t>19B</t>
  </si>
  <si>
    <t>10.2151/sola.19B-002</t>
  </si>
  <si>
    <t>Y5FL6</t>
  </si>
  <si>
    <t>WOS:001105512800001</t>
  </si>
  <si>
    <t>Le, TNP; Vu, SV; Ugalde, SC; Subramanian, S; Gilmour, A; Dove, M; Vu, IV; Geist, J; Tran, TNT; Gondro, C; Cao, GT; Le, TT; Nguyen, TM; Ngo, TKN; Vu, TTH; Premachandra, HKA; Knibb, W; O'Connor, W</t>
  </si>
  <si>
    <t>Le, Thi Nhu Phuong; Vu, Sang Van; Ugalde, Sarah C.; Subramanian, Sankar; Gilmour, Arthur; Dove, Michael; Vu, In Van; Geist, Juergen; Tran, Thi Nang Thu; Gondro, Cedric; Cao, Giang Truong; Le, Tat Thanh; Nguyen, Thi Mai; Ngo, Thi Khanh Ngoc; Vu, Thi Thanh Huong; Premachandra, H. K. A.; Knibb, Wayne; O'Connor, Wayne</t>
  </si>
  <si>
    <t>The genetics and breeding of the Portuguese oyster, Crassostrea angulata: lessons, experiences, and challenges in Vietnam</t>
  </si>
  <si>
    <t>genomics; molluscs; selective breeding; Portuguese oyster; Crassostrea angulata</t>
  </si>
  <si>
    <t>SYDNEY ROCK OYSTER; SACCOSTREA-GLOMERATA GOULD; CARCASS QUALITY TRAITS; MASS SELECTION LINES; PACIFIC OYSTER; GIGAS THUNBERG; OSTREA-EDULIS; WEST-COAST; ENVIRONMENT INTERACTIONS; REPRODUCTIVE SUCCESS</t>
  </si>
  <si>
    <t>Aquaculture mollusc production is predominantly from Asia, with more than 80% of the total biomass produced in China. Vietnam's annual mollusc production is growing rapidly but is comparatively small given its coastal resources. A significant challenge for future mollusc production, and oysters in particular, is the supply of high-quality spat. Most mollusc spat in Vietnam comes from local wild sources or is imported from China. Particularly in the case of oysters, where wild collection is low and importation of oyster spat into Vietnam from other jurisdictions is not controlled, supply is unreliable and presents a biosecurity risk to the industry. Controlling the life cycle in hatcheries can increase the sustainability and reliability of spat supply with the advantages of genetic enhancement in the long term. Beyond well-established selection methods based on phenotypic data for pedigreed families, the rapid development of genomic technology has enabled innovation in hatchery production based on genetic programs. This technology allows greater insight into oyster genetics in intensive aquaculture production systems. Recent reviews of selection programs demonstrate that inbreeding control via mate selection is an effective strategy for oyster species. Genetic response through combinations of individual and family-based selection can enhance morphometric traits by 10% per generation and disease resistance by 15% per generation in many aquaculture species. Genomic techniques provide information for selecting candidates at an earlier stage and improve prediction accuracy. In this paper, we review the literature on popular genomic tools and breeding techniques used for molluscs, focusing on the Portuguese oyster, Crassostrea angulata. This is to better comprehend how modern quantitative and molecular genetic technologies are being applied in mollusc breeding programs. It considers opportunities for and the feasibility of using genomic-based selection as well as the challenges that are faced in breeding programs transitioning to these new methods.</t>
  </si>
  <si>
    <t>[Le, Thi Nhu Phuong; Vu, Thi Thanh Huong] Ha Long Univ, Fac Fisheries, Uong Bi, Quang Ninh, Vietnam; [Vu, Sang Van] VNU Univ Sci, Fac Biol, Hanoi, Vietnam; [Vu, Sang Van; Vu, In Van; Cao, Giang Truong] Res Inst Aquaculture 1, Tu Son, Bac Ninh, Vietnam; [Ugalde, Sarah C.] Univ Tasmania, Inst Marine &amp; Antarctic Studies, Coll Sci &amp; Engn, Hobart, Tas, Australia; [Ugalde, Sarah C.] Univ Tasmania, Ctr Marine Socioecol, Hobart, Tas, Australia; [Subramanian, Sankar; Premachandra, H. K. A.; Knibb, Wayne] Univ Sunshine Coast, Bioinnovat Ctr, Maroochydore, Qld, Australia; [Gilmour, Arthur] Stat &amp; ASReml Consultant, Orange, NSW, Australia; [Dove, Michael; O'Connor, Wayne] Port Stephens Fisheries Inst, NSW Dept Primary Ind, Taylors Beach, NSW, Australia; [Vu, In Van] Viet Uc Seafood Corp, Biosecur Unit, Ho Chi Minh City, Vietnam; [Geist, Juergen] Tech Univ Munich, TUM Sch Life Sci, Aquat Syst Biol Unit, Freising Weihenstephan, Germany; [Tran, Thi Nang Thu; Nguyen, Thi Mai] Vietnam Natl Univ Agr, Fac Fisheries, Gia Lam, Hanoi, Vietnam; [Gondro, Cedric] Michigan State Univ, Coll Agr &amp; Nat Resources, Dept Anim Sci, E Lansing, MI USA; [Le, Tat Thanh] Vietnam Acad Sci &amp; Technol, Inst Genome Res, Hanoi, Vietnam; [Ngo, Thi Khanh Ngoc] Vietnam Natl Univ, Univ Languages &amp; Int Studies, English Dept, Hanoi, Vietnam</t>
  </si>
  <si>
    <t>Vietnam National University Hanoi; University of Tasmania; University of Tasmania; University of the Sunshine Coast; NSW Department of Primary Industries; Technical University of Munich; Vietnam National University of Agriculture (VNUA); Michigan State University; Vietnam Academy of Science &amp; Technology (VAST); Vietnam National University Hanoi</t>
  </si>
  <si>
    <t>Vu, SV (corresponding author), VNU Univ Sci, Fac Biol, Hanoi, Vietnam.;Vu, SV (corresponding author), Res Inst Aquaculture 1, Tu Son, Bac Ninh, Vietnam.</t>
  </si>
  <si>
    <t>sangvv@vnu.edu.vn</t>
  </si>
  <si>
    <t>Premachandra, Ajith/0000-0001-6469-2083</t>
  </si>
  <si>
    <t>Australian Centre for International Agricultural Research (ACIAR) [FIS/2020/175]; Ha Long University, Quang Ninh, Vietnam; Michigan State University, USA</t>
  </si>
  <si>
    <t>Australian Centre for International Agricultural Research (ACIAR)(Australian Ctr Intl Agr Res); Ha Long University, Quang Ninh, Vietnam; Michigan State University, USA</t>
  </si>
  <si>
    <t>The publication fee for this paper was funded by 1) Australian Centre for International Agricultural Research (ACIAR) via the project: Blue economy: Valuing the carbon sequestration potential in oyster aquaculture (FIS/2020/175) 2) Ha Long University, Quang Ninh, Vietnam 3) Professor Cedric Gondro, Michigan State University, USA.</t>
  </si>
  <si>
    <t>10.3389/fmars.2023.1161009</t>
  </si>
  <si>
    <t>Z6BL6</t>
  </si>
  <si>
    <t>WOS:001112904800001</t>
  </si>
  <si>
    <t>Persoiu, A; Badaluta, CA; Lee, J</t>
  </si>
  <si>
    <t>Persoiu, Aurel; Badaluta, Carmen-Andreea; Lee, Jeonghoon</t>
  </si>
  <si>
    <t>Stable isotope hydrology of surface and ground waters in King George Island, Antarctica</t>
  </si>
  <si>
    <t>ISOTOPES IN ENVIRONMENTAL AND HEALTH STUDIES</t>
  </si>
  <si>
    <t>Antarctica; hydrogen-2; groundwater; King Georg Island; lakes; oxygen-18; permafrost; surface water</t>
  </si>
  <si>
    <t>MASS-BALANCE; ICE CAP; SIGNY ISLAND; CLIMATE; GLACIER; LAKES; PRECIPITATION; PERMAFROST; EVOLUTION; PENINSULA</t>
  </si>
  <si>
    <t>The region around the tip of the Antarctic Peninsula is warming fast, a situation that will lead to widespread changes in local hydrological cycles. King George Island (KGI) hosts a complex network of lakes and rivers, fed by glaciers, snow and rain, and underlain by thick permafrost. We present here the first study of the stable isotope composition of the surface waters in the ice-free southern peninsulas of KGI. Permafrost samples had the highest delta 18O and delta 2H values (-6.7 and -50 parts per thousand, respectively), and river waters the lowest (-9.1 and -70 parts per thousand, respectively), with groundwater (-8.2 and -62.7 parts per thousand, respectively), lakes (-8.6 and -66.8 parts per thousand, respectively) and (summer) meltwater (-9 and -69.5 parts per thousand, respectively) having intermediary values. Our results suggest that a clear separation of the various water bodies (permafrost, snow, meltwater, lakes) based on the delta 18Owater and delta 2Hwater is possible. Further, water in lakes on a W-E transect (i.e. with increased distance from the Bellingshausen Sea) have a general tendency towards lower delta 18O (and delta 2H) values. The results allow for the establishment of a baseline against which ongoing and future changes of the hydrological cycle could be analysed, and past climate changes be reconstructed.</t>
  </si>
  <si>
    <t>[Persoiu, Aurel] Romanian Acad, Emil Racovita Inst Speleol, Cluj Napoca, Romania; [Persoiu, Aurel; Badaluta, Carmen-Andreea] Stefan Cel Mare Univ, Stable Isotope Lab, Suceava, Romania; [Lee, Jeonghoon] Ewha Womans Univ, Dept Sci Educ, Seoul, South Korea; [Persoiu, Aurel] Romanian Acad, Emil Racovita Inst Speleol, Clinicilor 5, Cluj Napoca 400006, Romania</t>
  </si>
  <si>
    <t>Romanian Academy of Sciences; Emil Racovita Institute of Speleology; Stefan cel Mare University of Suceava; Ewha Womans University; Emil Racovita Institute of Speleology; Romanian Academy of Sciences</t>
  </si>
  <si>
    <t>Persoiu, A (corresponding author), Romanian Acad, Emil Racovita Inst Speleol, Clinicilor 5, Cluj Napoca 400006, Romania.</t>
  </si>
  <si>
    <t>aurel.persoiu@gmail.com</t>
  </si>
  <si>
    <t>Persoiu, Aurel/F-2029-2010</t>
  </si>
  <si>
    <t>Francisco Fernandoy provided stable isotope data for precipitation collected at Frey and O'Higgins stations. We thank the personnel at King Sejong (South Korea), Belingshaussen (Russia, especially Bulat Mavlyudov) and Carlini (Argentina) stations in King G</t>
  </si>
  <si>
    <t>Francisco Fernandoy provided stable isotope data for precipitation collected at Frey and O'Higgins stations. We thank the personnel at King Sejong (South Korea), Belingshaussen (Russia, especially Bulat Mavlyudov) and Carlini (Argentina) stations in King George Island for logistic supports, discussions and hot herba mate when most needed. We thank the editor and the reviewers for their comments.</t>
  </si>
  <si>
    <t>1025-6016</t>
  </si>
  <si>
    <t>1477-2639</t>
  </si>
  <si>
    <t>ISOT ENVIRON HEALT S</t>
  </si>
  <si>
    <t>Isot. Environ. Health Stud.</t>
  </si>
  <si>
    <t>NOV 2</t>
  </si>
  <si>
    <t>4-6</t>
  </si>
  <si>
    <t>10.1080/10256016.2023.2281932</t>
  </si>
  <si>
    <t>Chemistry, Inorganic &amp; Nuclear; Environmental Sciences</t>
  </si>
  <si>
    <t>Chemistry; Environmental Sciences &amp; Ecology</t>
  </si>
  <si>
    <t>AZ1H6</t>
  </si>
  <si>
    <t>WOS:001104037800001</t>
  </si>
  <si>
    <t>Hawkins, F; Beatty, CR; Brooks, TM; Church, R; Elliott, W; Kiss, E; Macfarlane, NBW; Pugliesi, J; Schipper, AM; Walsh, M</t>
  </si>
  <si>
    <t>Hawkins, Frank; Beatty, Craig R.; Brooks, Thomas M.; Church, Rebekah; Elliott, Wendy; Kiss, Edit; Macfarlane, Nicholas B. W.; Pugliesi, Juliette; Schipper, Aafke M.; Walsh, Maria</t>
  </si>
  <si>
    <t>Bottom-up global biodiversity metrics needed for businesses to assess and manage their impact</t>
  </si>
  <si>
    <t>CONSERVATION BIOLOGY</t>
  </si>
  <si>
    <t>accountability; biodiversity footprinting; biodiversity metrics; corporate sustainability; disclosure; risk and opportunity; divulgacion; huella de la biodiversidad; medidas de la biodiversidad; responsabilidad; riesgo y oportunidad; sustentabilidad corporativa</t>
  </si>
  <si>
    <t>Ensuring that companies can assess and manage their impacts on biodiversity will be crucial to solving the current biodiversity crisis, and regulatory and public pressure to disclose these impacts is increasing. Top-down intactness metrics (e.g., Mean Species Abundance) can be valuable for generating high-level or first-tier assessments of impact risk but do not provide sufficient precision or guidance for companies, regulators, or third-party assessors. New metrics based on bottom-up assessments of biodiversity (e.g., the Species Threat Abatement and Restoration metric) can accommodate spatial variation of biodiversity and provide more specific guidance for actions to avoid, reduce, remediate, and compensate for impacts and to identify positive opportunities. Cuantificacion vertical de la biodiversidad mundial necesarias para que las empresas evaluen y gestionen su impactoPara resolver la actual crisis de biodiversidad, es importante asegurar que las empresas puedan evaluar y gestionar su impacto sobre la biodiversidad. Ademas, cada vez es mayor la presion publica y legislativa para divulgar este impacto. La cuantificacion vertical de la integridad (p. ej.: Abundancia Media de Especies) puede ser valiosa para producir evaluaciones de alto nivel o primera categoria del riesgo de impacto, pero no proporcionan suficiente precision o guia para las empresas, los reguladores o los asesores de terceros. Las nuevas medidas basadas en evaluaciones verticales (p. ej.: la medida de Abatimiento y Restauracion de Amenazas de Especies) pueden acomodar la variacion espacial de la biodiversidad y proporcionar una guia mas especifica para las acciones necesarias para evitar, reducir, remediar y compensar los impactos e identificar las oportunidades positivas.ResumenCuantificacion vertical de la biodiversidad mundial necesarias para que las empresas evaluen y gestionen su impactoPara resolver la actual crisis de biodiversidad, es importante asegurar que las empresas puedan evaluar y gestionar su impacto sobre la biodiversidad. Ademas, cada vez es mayor la presion publica y legislativa para divulgar este impacto. La cuantificacion vertical de la integridad (p. ej.: Abundancia Media de Especies) puede ser valiosa para producir evaluaciones de alto nivel o primera categoria del riesgo de impacto, pero no proporcionan suficiente precision o guia para las empresas, los reguladores o los asesores de terceros. Las nuevas medidas basadas en evaluaciones verticales (p. ej.: la medida de Abatimiento y Restauracion de Amenazas de Especies) pueden acomodar la variacion espacial de la biodiversidad y proporcionar una guia mas especifica para las acciones necesarias para evitar, reducir, remediar y compensar los impactos e identificar las oportunidades positivas.Resumen</t>
  </si>
  <si>
    <t>[Hawkins, Frank; Brooks, Thomas M.] IUCN, Rue Mauverney 28, CH-1196 Gland, Switzerland; [Beatty, Craig R.] World Wildlife Fund US, Washington, DC USA; [Brooks, Thomas M.] Univ Philippines, World Agroforestry Ctr ICRAF, Banos, Philippines; [Brooks, Thomas M.] Univ Tasmania, Inst Marine &amp; Antarctic Studies, Hobart, Tas, Australia; [Church, Rebekah; Walsh, Maria] WWF Germany, Berlin, Germany; [Elliott, Wendy] WWF Int, Nairobi, Kenya; [Kiss, Edit] Integr Global Partners, London, England; [Macfarlane, Nicholas B. W.] IUCN, Washington, DC USA; [Pugliesi, Juliette] BSR, Paris, France; [Schipper, Aafke M.] Radboud Univ Nijmegen, Radboud Inst Biol &amp; Environm Sci, Nijmegen, Netherlands; [Schipper, Aafke M.] PBL Netherlands Environm Assessment Agcy, The Hague, Netherlands</t>
  </si>
  <si>
    <t>CGIAR; World Agroforestry (ICRAF); University of Tasmania; Radboud University Nijmegen</t>
  </si>
  <si>
    <t>Hawkins, F (corresponding author), IUCN, Rue Mauverney 28, CH-1196 Gland, Switzerland.</t>
  </si>
  <si>
    <t>frank.hawkins@iucn.org</t>
  </si>
  <si>
    <t>Schipper, Aafke M/C-2758-2011</t>
  </si>
  <si>
    <t>Hawkins, Frank/0000-0001-5769-8508</t>
  </si>
  <si>
    <t>F.H., T.B., and N.B.W.M. were partially supported by the Global Environment Facility project Knowledge-4-Nature through IUCN. We are grateful for support from the Conservation International GEF Project Agency.; Global Environment Facility project Knowledge-4-Nature through IUCN; Conservation International GEF Project Agency</t>
  </si>
  <si>
    <t>F.H., T.B., and N.B.W.M. were partially supported by the Global Environment Facility project Knowledge-4-Nature through IUCN. We are grateful for support from the Conservation International GEF Project Agency.</t>
  </si>
  <si>
    <t>0888-8892</t>
  </si>
  <si>
    <t>1523-1739</t>
  </si>
  <si>
    <t>CONSERV BIOL</t>
  </si>
  <si>
    <t>Conserv. Biol.</t>
  </si>
  <si>
    <t>10.1111/cobi.14183</t>
  </si>
  <si>
    <t>Biodiversity Conservation; Ecology; Environmental Sciences</t>
  </si>
  <si>
    <t>MA6G8</t>
  </si>
  <si>
    <t>WOS:001103456000001</t>
  </si>
  <si>
    <t>Wang, ZX; Mao, YD; Zhang, R; Kemp, DB; Huang, CJ</t>
  </si>
  <si>
    <t>Wang, Zhixiang; Mao, Yongdong; Zhang, Rui; Kemp, David B.; Huang, Chunju</t>
  </si>
  <si>
    <t>Links Between Orbital Forcing, Antarctic Ice Volume, and the East Asian Hydrological Cycle Over the Pliocene</t>
  </si>
  <si>
    <t>orbital forcing; Antarctic ice volume; East Asian summer monsoon</t>
  </si>
  <si>
    <t>MONSOON INTENSIFICATION; CIRCULATION; SHEET; ONSET; MIGRATION; RECORDS; CHINA; BASIN</t>
  </si>
  <si>
    <t>Revealing the evolution of monsoonal intensity through the Pliocene on orbital timescales is of potential utility for providing insights into the response of Asian monsoons to future high pCO(2) scenarios. Here, we report a continuous Pliocene cyclostratigraphic record from lake deposits of the Xinding Basin, Shanxi Graben, North China, and reconstruct the regional hydrological cycle from this location during similar to 5.2 to 2.56 Ma. Our results show that regional hydrological cycling was consistently dominated by long-and short-eccentricity (405-and 100-kyr) forcing over the Pliocene. Gamma-ray (GR) data (reflecting hydrodynamic changes) show strengthened 100-kyr eccentricity power after similar to 3.5 Ma, whereas 100-kyr eccentricity power preserved in magnetic susceptibility (MS; interpreted as a proxy of pedogenesis and magnetic mineral dissolution) slightly weakened after similar to 3.5 Ma. This orbital power transition at the 100-kyr eccentricity scale may link to expansion of Antarctic ice volume after similar to 3.5 Ma, which enhanced East Asian summer monsoon intensity and thus increased summer rainfall in North China, resulting in changes to hydrological cycling and the expression of eccentricity climate forcing in East Asian basins. In addition, our results demonstrate that the orbital configuration at similar to 4.2-4.4 Ma could have been a contributory factor in strengthening the intensity of the East Asian summer monsoon at this time. Plain Language Summary Atmospheric CO2 concentration and global tectonic environment during the Pliocene Warm Period (mPWP; 3.3-3 Ma) are very similar to those of today. Therefore, climate change during the Pliocene Warm Period has become a key point for us to predict future climate change. Herein, we have carried out high resolution, continuous Pliocene cyclostratigraphic records in Xinding Basin, Northern China. Our results show that the hydrologic cycles of the East Asian continental basins were mainly controlled by the long-and short orbital eccentricity. Expansion of the Antarctic ice sheet after similar to 3.5 Ma would strengthen significantly East Asian summer monsoon intensity and thus increase summer rainfall in North China through influencing the atmospheric and oceanic circulation, resulting in changes of the hydrological cycles in East Asian basins.</t>
  </si>
  <si>
    <t>[Wang, Zhixiang] Chinese Acad Sci, Qinghai Inst Salt Lakes, Qinghai Prov Key Lab Geol &amp; Environm Salt Lakes, Xining, Peoples R China; [Mao, Yongdong] Shanxi Inst Geol Survey, Taiyuan, Peoples R China; [Zhang, Rui] Hubei Normal Univ, Coll Urban &amp; Environm Sci, Huangshi, Peoples R China; [Kemp, David B.; Huang, Chunju] China Univ Geosci, Sch Earth Sci, State Key Lab Biogeol &amp; Environm Geol, Wuhan, Peoples R China; [Kemp, David B.; Huang, Chunju] China Univ Geosci, Sch Earth Sci, Hubei Key Lab Crit Zone Evolut, Wuhan, Peoples R China</t>
  </si>
  <si>
    <t>Chinese Academy of Sciences; Qinghai Institute of Salt Lakes, CAS; Hubei Normal University; China University of Geosciences; China University of Geosciences</t>
  </si>
  <si>
    <t>Wang, ZX (corresponding author), Chinese Acad Sci, Qinghai Inst Salt Lakes, Qinghai Prov Key Lab Geol &amp; Environm Salt Lakes, Xining, Peoples R China.</t>
  </si>
  <si>
    <t>wangzhi8905@126.com</t>
  </si>
  <si>
    <t>We thank Mengmeng Cao, Mengyang Hou, Yu Sui and Anguo Xiao for help in the field. This work was supported by the China Postdoctoral Science Foundation (2020M682517, 2021T140627), China Geological Survey (DD20160042) and the Taishan Scholars Program of Shan [2020M682517, 2021T140627]; China Postdoctoral Science Foundation [DD20160042]; China Geological Survey [tsqn201812102]; Taishan Scholars Program of Shandong</t>
  </si>
  <si>
    <t>We thank Mengmeng Cao, Mengyang Hou, Yu Sui and Anguo Xiao for help in the field. This work was supported by the China Postdoctoral Science Foundation (2020M682517, 2021T140627), China Geological Survey (DD20160042) and the Taishan Scholars Program of Shan; China Postdoctoral Science Foundation(China Postdoctoral Science Foundation); China Geological Survey(China Geological Survey); Taishan Scholars Program of Shandong</t>
  </si>
  <si>
    <t>We thank Mengmeng Cao, Mengyang Hou, Yu Sui and Anguo Xiao for help in the field. This work was supported by the China Postdoctoral Science Foundation (2020M682517, 2021T140627), China Geological Survey (DD20160042) and the Taishan Scholars Program of Shandong (tsqn201812102).</t>
  </si>
  <si>
    <t>NOV 16</t>
  </si>
  <si>
    <t>e2023JD039519</t>
  </si>
  <si>
    <t>10.1029/2023JD039519</t>
  </si>
  <si>
    <t>X0NF0</t>
  </si>
  <si>
    <t>WOS:001095498200001</t>
  </si>
  <si>
    <t>Ji, LR; Chen, M; Zhang, W; Nian, BB; Hu, Y</t>
  </si>
  <si>
    <t>Ji, Liran; Chen, Mei; Zhang, Wei; Nian, Binbin; Hu, Yi</t>
  </si>
  <si>
    <t>Comprehensive applications of ionic liquids in enzyme immobilization: Current status and prospects</t>
  </si>
  <si>
    <t>MOLECULAR CATALYSIS</t>
  </si>
  <si>
    <t>Ionic liquids; Enzyme immobilization; Carrier materials; Potential applications; Activity and stability</t>
  </si>
  <si>
    <t>MESOPOROUS SILICA SBA-15; ANTARCTIC LIPASE B; CATALYTIC PERFORMANCE; COVALENT IMMOBILIZATION; POLY(IONIC LIQUID)S; PARTICLES; GREEN; NANOPARTICLES; ENHANCEMENT; BIOCATALYST</t>
  </si>
  <si>
    <t>Improving enzymes activity and stability is the crucial issue to solve the present problem in enzyme immobilization. Changes by the anions and cations of ILs have a prominent effect on enzyme activity, stability and structure. In recent years, some reviews have lacked a systematic discussion of the role of ILs as additives, linkers or modifiers in enzyme immobilization. Thus, in this comprehensive review, the vital roles of ILs in enzyme immobilization were discussed. The interactions between immobilization materials and enzymes can be regulated via various ILs, thus enhancing the efficiency of immobilized enzymes, improving the activity and stability of immobilized enzymes simultaneously. Furthermore, the roles of Poly ionic liquids, which have some special properties such as temperature, pH, and pressure responsiveness, in enzyme immobilization are also reviewed in this paper. Finally, the utilization of molecular dynamics (MD) in the screening and designing of suitable ILs is proposed as an opportunity and challenge for ILs in the application of immobilized enzymes. The systematic review provides valuable guidelines for the design and applications of ILs in the enzyme immobilization.</t>
  </si>
  <si>
    <t>[Ji, Liran; Chen, Mei; Zhang, Wei; Nian, Binbin; Hu, Yi] Nanjing Tech Univ, Sch Pharmaceut Sci, State Key Lab Mat Oriented Chem Engn, Nanjing 210009, Peoples R China</t>
  </si>
  <si>
    <t>Nanjing Tech University</t>
  </si>
  <si>
    <t>Hu, Y (corresponding author), Nanjing Tech Univ, Sch Pharmaceut Sci, State Key Lab Mat Oriented Chem Engn, Nanjing 210009, Peoples R China.</t>
  </si>
  <si>
    <t>huyi@njtech.edu.cn</t>
  </si>
  <si>
    <t>Nian, Binbin/0000-0001-7736-0889</t>
  </si>
  <si>
    <t>National Natural Science Foundation of China [22178174]; National key R &amp; D program of China [2021YFC2103802]; Jiangsu Synergetic Innovation Center for Advanced Bio-Manufacture [XTC2206]</t>
  </si>
  <si>
    <t>National Natural Science Foundation of China(National Natural Science Foundation of China (NSFC)); National key R &amp; D program of China; Jiangsu Synergetic Innovation Center for Advanced Bio-Manufacture</t>
  </si>
  <si>
    <t>This research was financially supported by National Natural Science Foundation of China (No. 22178174) , National key R &amp; D program of China (No.2021YFC2103802) , Jiangsu Synergetic Innovation Center for Advanced Bio-Manufacture (XTC2206) .</t>
  </si>
  <si>
    <t>2468-8231</t>
  </si>
  <si>
    <t>MOL CATAL</t>
  </si>
  <si>
    <t>Mol. Catal.</t>
  </si>
  <si>
    <t>10.1016/j.mcat.2023.113675</t>
  </si>
  <si>
    <t>Chemistry, Physical</t>
  </si>
  <si>
    <t>Chemistry</t>
  </si>
  <si>
    <t>IG3D7</t>
  </si>
  <si>
    <t>WOS:001165128400001</t>
  </si>
  <si>
    <t>Luarte, T; Hirmas-Olivares, A; Höfer, J; Giesecke, R; Mestre, M; Guajardo-Leiva, S; Castro-Nallar, E; Pérez-Paradal, A; Chiang, G; Lohmann, R; Dachs, J; Nash, SB; Pulgar, J; Pozo, K; Pribylová, PP; Martiník, J; Galbán-Malagón, C</t>
  </si>
  <si>
    <t>Luarte, Thais; Hirmas-Olivares, Andrea; Hofer, Juan; Giesecke, Ricardo; Mestre, Mireia; Guajardo-Leiva, Sergio; Castro-Nallar, Eduardo; Perez-Paradal, Andres; Chiang, Gustavo; Lohmann, Rainer; Dachs, Jordi; Nash, Susan Bengtson; Pulgar, Jose; Pozo, Karla; Pribylova, Petra P.; Martinik, Jakub; Galban-Malagon, Cristobal</t>
  </si>
  <si>
    <t>Occurrence and diffusive air-seawater exchanges of organochlorine pesticides (OCPs) and polychlorinated biphenyls (PCBs) in Fildes Bay, King George Island, Antarctica</t>
  </si>
  <si>
    <t>Antarctica; POPs; Legacy; Snow amplification; Biodegradation; Human impacts</t>
  </si>
  <si>
    <t>PERSISTENT ORGANIC POLLUTANTS; POLYCYCLIC AROMATIC-HYDROCARBONS; SEA-SURFACE MICROLAYER; LONG-RANGE TRANSPORT; WATER EXCHANGE; SOUTHERN-OCEAN; GAMMA-HEXACHLOROCYCLOHEXANE; ALPHA-HEXACHLOROCYCLOHEXANE; ATLANTIC-OCEAN; ATMOSPHERIC CONCENTRATIONS</t>
  </si>
  <si>
    <t>We report the levels of organochlorine pesticides (OCPs) and polychlorinated biphenyls (PCBs) in seawater and air, and the air-sea dynamics through diffusive exchange analysis in Fildes Bay, King George Island, Antarctica, between November 2019 and January 30, 2020. Hexachlorobenzene (HCB) was the most abundant compound in both air and seawater with concentrations around 39 +/- 2.1 pg m- 3 and 3.2 +/- 2.4 pg L-1 respectively. The most abundant PCB congener was PCB 11, with a mean of 3.16 +/- 3.7 pg m- 3 in air and 2.0 +/- 1.1 pg L-1 in seawater. The fugacity gradient estimated for the OCP compounds indicate a predominance of net atmospheric deposition for HCB, alpha-HCH, gamma-HCH, 4,4 '-DDT, 4,4 '-DDE and close to equilibrium for the PeCB compound. The observed deposition of some OCs may be driven by high biodegradation rates and/or settling fluxes decreasing the concentration of these compounds in surface waters, which is supported by the capacity of microbial consortium to degrade some of these compounds. The estimated fugacity gradients for PCBs showed differences between congeners, with net volatilization predominating for PCB -9, a trend close to equilibrium for PCB congeners 11, 28, 52, 101, 118, 138, and 153, and deposition for PCB 180. Snow amplification may play an important role for less hydrophobic PCBs, with volatilization predominating after snow/glacier melting. As hydrophobicity increases, the biological pump decreases the concentration of PCBs in seawater, reversing the fugacity gradient to atmospheric deposition. This study highlights the potential impacts of climate change, through glacier retreat, on the biogeochemistry of POPs, remobilizing those compounds previously trapped within the cryosphere which in turn will transform the Antarctic cryosphere into a secondary source of the more volatile POPs in coastal areas, influenced by snow and ice melting.</t>
  </si>
  <si>
    <t>[Luarte, Thais] Univ Andres Bello, Fac Ciencias Vida, Programa Doctorado Med Conservac, Santiago 8370251, Chile; [Luarte, Thais; Hirmas-Olivares, Andrea; Galban-Malagon, Cristobal] Univ Mayor, Ctr Genom Ecol &amp; Environm, GEMA, Camino La Piramide 5750, Santiago 8580745, Chile; [Luarte, Thais; Hirmas-Olivares, Andrea; Guajardo-Leiva, Sergio; Castro-Nallar, Eduardo; Galban-Malagon, Cristobal] Anillo Ciencia &amp; Tecnol Antart POLARIX, Santiago, Chile; [Hirmas-Olivares, Andrea; Chiang, Gustavo; Pulgar, Jose] Univ Andres Bello, Fac Ciencias Vida, Dept Ecol &amp; Biodivers, Santiago 8370251, Chile; [Hofer, Juan] Pontificia Univ Catolica Valparaiso, Escuela Ciencias Mar, Valparaiso, Chile; [Hofer, Juan; Giesecke, Ricardo; Mestre, Mireia] Ctr FONDAP Invest Dinam Ecosistemas Marinos Altas, Valdivia, Chile; [Giesecke, Ricardo] Univ Austral Chile, Inst Ciencias Marinas &amp; Limnol, Independencia 631, Valdivia, Chile; [Mestre, Mireia] CSIC, Museo Nacl Ciencias Nat MNCN, Madrid, Spain; [Mestre, Mireia] Univ Concepcion, Ctr Invest Oceanog COPAS COASTAL, Concepcion, Chile; [Guajardo-Leiva, Sergio; Castro-Nallar, Eduardo] Univ Talca, Fac Ciencias Salud, Dept Microbiol, Talca, Chile; [Guajardo-Leiva, Sergio; Castro-Nallar, Eduardo] Univ Talca, Ctr Ecol Integrat, Campus Lircay, Talca, Chile; [Perez-Paradal, Andres] Univ Republ, Ctr Univ Reg Este CURE, Dept Desarrollo Tecnol, Ruta 9 &amp; Ruta 15, Rocha 27000, Uruguay; [Chiang, Gustavo] Univ Andres Bello, Fac Ciencias Vida, Ctr Invest Sustentabil, Santiago, Chile; [Lohmann, Rainer] Univ Rhode Isl, Grad Sch Oceanog, Narragansett, RI 02882 USA; [Dachs, Jordi] CSIC, Dept Environm Chem, IDAEA, c-Jordi Girona 18-26, Barcelona 08034, Spain; [Nash, Susan Bengtson] Griffith Univ, Ctr Planetary Hlth &amp; Food Secur, Sch Environm &amp; Sci, Southern Ocean Persistent Organ Pollutants Program, Nathan, Australia; [Pozo, Karla] Univ San Sebastian, Fac Ingn &amp; Tecnol, Lientur 1457, Concepcion, Chile; [Pozo, Karla; Pribylova, Petra P.; Martinik, Jakub] Masaryk Univ, Fac Sci, RECETOX, Kotlarska 2, Brno 61137, Czech Republic; [Galban-Malagon, Cristobal] Florida Int Univ, Inst Environm, Univ Pk, Miami, FL 33199 USA</t>
  </si>
  <si>
    <t>Universidad Andres Bello; Universidad Mayor; Universidad Andres Bello; Pontificia Universidad Catolica de Valparaiso; Universidad Austral de Chile; Consejo Superior de Investigaciones Cientificas (CSIC); CSIC - Museo Nacional de Ciencias Naturales (MNCN); Universidad de Concepcion; Universidad de Talca; Universidad de Talca; Universidad de la Republica, Uruguay; Universidad Andres Bello; University of Rhode Island; Consejo Superior de Investigaciones Cientificas (CSIC); CSIC - Centro de Investigacion y Desarrollo Pascual Vila (CID-CSIC); CSIC - Instituto de Diagnostico Ambiental y Estudios del Agua (IDAEA); Griffith University; Universidad San Sebastian; Masaryk University Brno; State University System of Florida; Florida International University</t>
  </si>
  <si>
    <t>Luarte, T (corresponding author), Univ Andres Bello, Fac Ciencias Vida, Programa Doctorado Med Conservac, Santiago 8370251, Chile.;Luarte, T; Galbán-Malagón, C (corresponding author), Univ Mayor, Ctr Genom Ecol &amp; Environm, GEMA, Camino La Piramide 5750, Santiago 8580745, Chile.</t>
  </si>
  <si>
    <t>thaisluarte@gmail.com</t>
  </si>
  <si>
    <t>; Galban Malagon, Cristobal/J-2384-2015</t>
  </si>
  <si>
    <t>Pulgar, Jose/0000-0002-8816-7790; Martinik, Jakub/0000-0001-5029-6776; Hofer, Juan/0000-0002-5887-4929; Chiang, Gustavo/0000-0003-4504-355X; Galban Malagon, Cristobal/0000-0001-8397-5804</t>
  </si>
  <si>
    <t>European Union &lt;&lt; NextGenerationEU &gt;&gt; /PRTR; Research Infrastructures RECETOX RI [LM2018121, LM2023069]; project CETOCOEN EXCEL-LENCE [CZ.02.1.01/0.0/0.0/17_043/0009632]; Min-istry of Education, Youth and Sports of the Czech Republic; European Union [857560]</t>
  </si>
  <si>
    <t>European Union &lt;&lt; NextGenerationEU &gt;&gt; /PRTR; Research Infrastructures RECETOX RI; project CETOCOEN EXCEL-LENCE; Min-istry of Education, Youth and Sports of the Czech Republic(Ministry of Education, Youth &amp; Sports - Czech Republic); European Union(European Union (EU))</t>
  </si>
  <si>
    <t>This study was funded by ANID/FONDECYT/Regular 1161504 (KP), ANID/FONDECYT/Regular 1210946 (CGM), ANID-PIA-INACH-ACT192057 (CGM, ECN), INACH REGULAR RT_12_17 (CGM), INACH DG_02_21 (TL), INACH MG_09_22 (AH), INACH RT_32_22 (GC), INACH RG_49_19 (MM), ANID/FONDECYT/REGULAR 12111338 (JH) and 1200834 (ECN), ANID FONDECYT POSTDOC 3210547 (SG), COPAS COASTAL ANID FB210021 (MM), FONDAP IDEAL 1515003 (JH, RG, MM), Spanish Ministry of Science and Innovation MCIN/AEI/10.13039/ 501100011033 (MM) Ramon y Cajal Fellowship (RYC2021-031946-I), European Union NextGenerationEU/PRTR (MM) . The authors acknowledge the support of the Research Infrastructures RECETOX RI (No LM2018121, LM2023069) and the project CETOCOEN EXCELLENCE (No. CZ.02.1.01/0.0/0.0/17_043/0009632) funded by the Ministry of Education, Youth and Sports of the Czech Republic. This work was supported from the European Union's Horizon 2020-Research and Innovation Framework Programme under grant agreement No 857560 (PP, JM, KP) .r European Union &lt;&lt; NextGenerationEU &gt;&gt; /PRTR (MM) . The authors acknowledge the support of the Research Infrastructures RECETOX RI (No LM2018121, LM2023069) and the project CETOCOEN EXCEL-LENCE (No. CZ.02.1.01/0.0/0.0/17_043/0009632) funded by the Min-istry of Education, Youth and Sports of the Czech Republic. This work was supported from the European Union's Horizon 2020-Research and Innovation Framework Programme under grant agreement No 857560 (PP, JM, KP) .</t>
  </si>
  <si>
    <t>10.1016/j.scitotenv.2023.168323</t>
  </si>
  <si>
    <t>HW1Q3</t>
  </si>
  <si>
    <t>WOS:001162457400001</t>
  </si>
  <si>
    <t>Liu, ZQ; Zhou, C; Wan, R; Xu, LX</t>
  </si>
  <si>
    <t>Liu, Zhiqiang; Zhou, Cheng; Wan, Rong; Xu, Liuxiong</t>
  </si>
  <si>
    <t>Applying artificial intelligence to optimize the trawling path and operational parameters for Antarctic krill</t>
  </si>
  <si>
    <t>OCEAN ENGINEERING</t>
  </si>
  <si>
    <t>Antarctic krill; Trawl; Operational parameters; Reinforcement learning; Optimization path; Artificial neural network</t>
  </si>
  <si>
    <t>DISTRIBUTIONS; ABUNDANCE; DYNAMICS; SYSTEM; FISH</t>
  </si>
  <si>
    <t>Antarctic krill (Euphausia superba) is a vital species in the Southern Ocean ecosystem and have high commercial value. Effective control of trawling activities targeting Antarctic krill is crucial for enhancing fishing efficiency and minimizing energy consumption resulting from inadequate operations. This study involves a reinforcement learning method that enables interaction between the trawl and krill distribution environment, ultimately learning the optimal trawling path for maximizing fishing efficiency. The neural network was utilized to predict operational parameters within the optimal trawling path. The results demonstrate that the optimized path for capturing a greater quantity of krill required more adjustments of the trawl compared to the actual trawl path, which experienced minimal changes. The density of the krill area passed by the trawl mouth was 8.4% higher when following an optimal path compared to the actual path. The neural network, consisting of three layers with 5 neurons in the hidden layer, accurately predicted the warp length and towing speed for the optimal path. The analysis of generalized additive models confirms a high level of agreement (P = 0.69) between the path based on predicted operational parameters using the neural network and the optimized path. Furthermore, this study demonstrates that adhering to an optimal trawling path for Antarctic krill enhances fishing efficiency and pro-motes the automation of Antarctic krill trawling operations.</t>
  </si>
  <si>
    <t>[Liu, Zhiqiang; Zhou, Cheng; Wan, Rong; Xu, Liuxiong] Shanghai Ocean Univ, Coll Marine Sci, Shanghai 201306, Peoples R China; [Zhou, Cheng; Wan, Rong; Xu, Liuxiong] Natl Engn Res Ctr Ocean Fisheries, Shanghai 201306, Peoples R China; [Zhou, Cheng; Wan, Rong; Xu, Liuxiong] Shanghai Ocean Univ, Key Lab Sustainable Exploitat Ocean Fisheries Reso, Minist Educ, Shanghai 201306, Peoples R China; [Zhou, Cheng; Wan, Rong; Xu, Liuxiong] Shanghai Ocean Univ, Key Lab Exploitat Ocean Fisheries Resources, Minist Agr &amp; Rural Affairs, Shanghai 201306, Peoples R China; [Zhou, Cheng] Shanghai Ocean Univ, Coll Marine Sci, 999 Huchenghuan Rd, Shanghai 201306, Peoples R China</t>
  </si>
  <si>
    <t>Shanghai Ocean University; National Engineering Research Center for Oceanic Fisheries; Shanghai Ocean University; Shanghai Ocean University; Ministry of Agriculture &amp; Rural Affairs; Shanghai Ocean University</t>
  </si>
  <si>
    <t>Zhou, C (corresponding author), Shanghai Ocean Univ, Coll Marine Sci, 999 Huchenghuan Rd, Shanghai 201306, Peoples R China.</t>
  </si>
  <si>
    <t>lzhiqiang716@126.com; c-zhou@shou.edu.cn; rwan@shou.edu.cn; lxxu@shou.edu.cn</t>
  </si>
  <si>
    <t>liu, zhiqiang/H-5863-2013; xu, liu/KCL-1154-2024; Liu, Zhiyuan/KDP-2606-2024; liu, qi/KHC-7509-2024</t>
  </si>
  <si>
    <t>National Natural Science Foundation of China [41806110]; National Key R &amp; D Pro-gram of China [2019YFD0901502]; Shandong Province's project [2023TSGC0688]</t>
  </si>
  <si>
    <t>National Natural Science Foundation of China(National Natural Science Foundation of China (NSFC)); National Key R &amp; D Pro-gram of China; Shandong Province's project</t>
  </si>
  <si>
    <t>This study was financially sponsored by the National Natural Science Foundation of China (Grant No. 41806110) , National Key R &amp; D Pro-gram of China (2019YFD0901502) , Shandong Province's project to enhance the innovation capacity of technology-oriented small and medium-sized enterprises (2023TSGC0688) .</t>
  </si>
  <si>
    <t>0029-8018</t>
  </si>
  <si>
    <t>1873-5258</t>
  </si>
  <si>
    <t>OCEAN ENG</t>
  </si>
  <si>
    <t>Ocean Eng.</t>
  </si>
  <si>
    <t>10.1016/j.oceaneng.2023.116231</t>
  </si>
  <si>
    <t>Engineering, Marine; Engineering, Civil; Engineering, Ocean; Oceanography</t>
  </si>
  <si>
    <t>GA7N3</t>
  </si>
  <si>
    <t>WOS:001150003500001</t>
  </si>
  <si>
    <t>Bilal, M; Singh, AK; Iqbal, HMN; Zdarta, J; Chrobok, A; Jesionowski, T</t>
  </si>
  <si>
    <t>Bilal, Muhammad; Singh, Anil Kumar; Iqbal, Hafiz M. N.; Zdarta, Jakub; Chrobok, Anna; Jesionowski, Teofil</t>
  </si>
  <si>
    <t>Enzyme-linked carbon nanotubes as biocatalytic tools to degrade and mitigate environmental pollutants</t>
  </si>
  <si>
    <t>Environmental protection; Pollutants removal; Carbon nanotubes; Biocatalysis; Enzyme immobilization</t>
  </si>
  <si>
    <t>PSEUDOMONAS-PSEUDOALCALIGENES CECT5344; ANTARCTIC LIPASE B; IMMOBILIZED LACCASE; COVALENT IMMOBILIZATION; HORSERADISH-PEROXIDASE; FUNCTIONAL-PROPERTIES; CANDIDA-ANTARCTICA; PHENOLIC-COMPOUNDS; CATALYTIC-ACTIVITY; REMOVAL</t>
  </si>
  <si>
    <t>A wide array of organic compounds have been recognized as pollutants of high concern due to their controlled or uncontrolled presence in environmental matrices. The persistent prevalence of diverse organic pollutants, including pharmaceutical compounds, phenolic compounds, synthetic dyes, and other hazardous substances, necessitates robust measures for their practical and sustainable removal from water bodies. Several bioremediation and biodegradation methods have been invented and deployed, with a wide range of materials well suited for diverse environments. Enzyme-linked carbon-based materials have been considered efficient biocatalytic platforms for the remediation of complex organic pollutants, mostly showing over 80% removal efficiency of micropollutants. The advantages of enzyme-linked carbon nanotubes (CNTs) in enzyme immobilization and improved catalytic potential may thus be advantageous for environmental research considering the current need for pollutant removal. This review outlines the perspective of current remediation approaches and highlights the advantageous features of enzyme-linked CNTs in the removal of pollutants, emphasizing their reusability and stability aspects. Furthermore, different applications of enzyme-linked CNTs in environmental research with concluding remarks and future outlooks have been highlighted. Enzyme-linked CNTs serve as a robust biocatalytic platform for the sustainability agenda with the aim of keeping the environment clean and safe from a variety of organic pollutants.</t>
  </si>
  <si>
    <t>[Bilal, Muhammad; Zdarta, Jakub; Jesionowski, Teofil] Poznan Univ Tech, Inst Chem Technol &amp; Engn, Fac Chem Technol, Berdychowo 4, PL-60965 Poznan, Poland; [Bilal, Muhammad] Gdansk Univ Technol, Fac Civil &amp; Environm Engn, Dept Sanit Engn, G Narutowicza 11-12 Str, PL-80233 Gdansk, Poland; [Bilal, Muhammad] Gdansk Univ Technol, Adv Mat Ctr, 11-12 Narutowicza St, PL-80233 Gdansk, Poland; [Singh, Anil Kumar] CSIR Indian Inst Toxicol Res CSIR IITR, Environm Toxicol Grp, Vishvigyan Bhawan 31,Mahatma Gandhi Marg, Lucknow 226001, Uttar Pradesh, India; [Singh, Anil Kumar] Acad Sci &amp; Innovat Res AcSIR, Ghaziabad 201002, India; [Iqbal, Hafiz M. N.] Tecnol Monterrey, Sch Engn &amp; Sci, Monterrey 64849, Mexico; [Iqbal, Hafiz M. N.] Tecnol Monterrey, Inst Adv Mat Sustainable Mfg, Monterrey 64849, Mexico; [Chrobok, Anna] Silesian Tech Univ, Fac Chem, Dept Chem Organ Technol &amp; Petrochem, Krzywoustego 4, PL-44100 Gliwice, Poland</t>
  </si>
  <si>
    <t>Poznan University of Technology; Fahrenheit Universities; Gdansk University of Technology; Fahrenheit Universities; Gdansk University of Technology; Council of Scientific &amp; Industrial Research (CSIR) - India; CSIR - Indian Institute of Toxicology Research (IITR); Academy of Scientific &amp; Innovative Research (AcSIR); Tecnologico de Monterrey; Tecnologico de Monterrey; Silesian University of Technology</t>
  </si>
  <si>
    <t>Bilal, M; Jesionowski, T (corresponding author), Poznan Univ Tech, Inst Chem Technol &amp; Engn, Fac Chem Technol, Berdychowo 4, PL-60965 Poznan, Poland.</t>
  </si>
  <si>
    <t>muhammad.bilal@pg.edu.pl; teofil.jesionowski@put.poznan.pl</t>
  </si>
  <si>
    <t>Zdarta, J./AFR-4634-2022; Bilal, Muhammad/AAH-6461-2020; Singh, Anil Kumar/HPE-8079-2023</t>
  </si>
  <si>
    <t>Zdarta, J./0000-0003-0268-2116; Bilal, Muhammad/0000-0001-5388-3183; Singh, Anil Kumar/0000-0002-5721-6502; JESIONOWSKI, TEOFIL/0000-0002-7808-8060</t>
  </si>
  <si>
    <t>Norwegian Financial Mechanism [2021/43/B/ST8/01854]; National Science Center Poland-grant [44/2023/IDUB/I.1]; [2020/37/K/ST8/03805]</t>
  </si>
  <si>
    <t>Norwegian Financial Mechanism; National Science Center Poland-grant;</t>
  </si>
  <si>
    <t>The research leading to these results has received funding from the Norwegian Financial Mechanism 2014-2021 under the project number 2020/37/K/ST8/03805 (M.B.) and additionally, the work is supported by National Science Center Poland-grant no. 2021/43/B/ST8/01854 (T.J.) . The NOBELIUM JOINING GDANSK TECH RESEARCH COMMU-NITY program is graciously acknowledged for supporting this work under the international collaboration project awarded to Muhammad Bilal (Grant number 44/2023/IDUB/I.1) .</t>
  </si>
  <si>
    <t>10.1016/j.envres.2023.117579</t>
  </si>
  <si>
    <t>AR2I4</t>
  </si>
  <si>
    <t>WOS:001120118000001</t>
  </si>
  <si>
    <t>Shi, Y; Evtushevsky, O; Milinevsky, G; Wang, XL; Klekociuk, A; Han, W; Grytsai, A; Wang, YK; Wang, LD; Novosyadlyj, B; Andrienko, Y</t>
  </si>
  <si>
    <t>Shi, Yu; Evtushevsky, Oleksandr; Milinevsky, Gennadi; Wang, Xiaolong; Klekociuk, Andrew; Han, Wei; Grytsai, Asen; Wang, Yuke; Wang, Lidong; Novosyadlyj, Bohdan; Andrienko, Yulia</t>
  </si>
  <si>
    <t>Impact of the 2018 major sudden stratospheric warming on weather over the midlatitude regions of Eastern Europe and East Asia</t>
  </si>
  <si>
    <t>Sudden stratospheric warming; Air temperature; Tropopause descent; Vertical velocity; Cooling; Weather anomaly</t>
  </si>
  <si>
    <t>POLAR VORTEX; TROPOPAUSE; INTRUSION; CIRCULATION; NORTHERN; TEMPERATURE; PROPAGATION; EVENTS; WAVE</t>
  </si>
  <si>
    <t>The impact of the Arctic major sudden stratospheric warming (SSW) in 2018 on regional cold weather in the northern midlatitudes is analyzed. Data from temperature observations in East Asia (Changchun, Northern China) and Eastern Europe (Kharkiv, Northern Ukraine) and NCEP-NCAR and ERA5 reanalyses are used. The variability of the vertical meridional profiles of temperature, temperature anomalies, vertical velocities and geopotential height during two strong surface cooling events is compared. Weather anomalies in Changchun and Kharkiv appeared under strong vortex conditions with wave 1 dominance (the pre-SSW period in January) and during vortex perturbation and split due to intensification of wave 2 (major SSW in February), respectively. The results show that the positive stratospheric temperature anomaly migrated both downward to the lowermost stratosphere at 200-300 hPa, and equatorward, reaching midlatitudes. In both events, the change in the lowermost stratosphere heating was associated with a lowering of the tropopause by 2-3 km in 5-8 days. The descent of the tropopause over Changchun (Kharkiv) was accompanied by a downward air motion so that the midtropospheric layer at altitudes 4-5 km (3-4 km) and temperature - 20 degrees C to -30 degrees C (-10 degrees C to -20 degrees C) was pushed down to the surface. Observations showed that the surface temperatures during these events dropped by 18 degrees C in Changchun and by 14 degrees C in Kharkiv. Besides the altitudinal (3-5 km), the results indicate latitudinal (near the climatological mean edge of the stratospheric polar vortex at similar to 60 degrees N) location of the cold air source for the occurrence of extreme low temperatures in East Asia and Eastern Europe. Preliminary analysis of cooling events suggests a relatively smaller contribution of meridional surface transport of cold air to the midlatitudes compared to its downwelling from the midtropospheric level. Possible mechanisms of strong surface cooling in midlatitudes are discussed.</t>
  </si>
  <si>
    <t>[Shi, Yu; Milinevsky, Gennadi; Han, Wei; Novosyadlyj, Bohdan] Jilin Univ, Coll Phys, Int Ctr Future Sci, 2699 Qianjin Str, Changchun 130012, Peoples R China; [Evtushevsky, Oleksandr; Grytsai, Asen; Andrienko, Yulia] Taras Shevchenko Natl Univ Kyiv, 60 Volodymyrska Str, UA-01601 Kiev, Ukraine; [Milinevsky, Gennadi] State Inst Natl Antarctic Sci Ctr, 16 Taras Shevchenko Blvd, UA-01601 Kiev, Ukraine; [Wang, Xiaolong; Wang, Lidong] Jilin Univ, Coll Elect Sci &amp; Engn, Int Ctr Future Sci, State Key Lab Integrated Optoelect, 2699 Qianjin Str, Changchun 130012, Peoples R China; [Klekociuk, Andrew] Univ Adelaide, Sch Phys Chem &amp; Earth Sci, 10 Pulteney Str, Adelaide 5005, Australia; [Wang, Yuke] Chang Guang Satellite Technol Co Ltd, 1299 Mingxi Rd, Changchun 130000, Peoples R China; [Novosyadlyj, Bohdan] Ivan Franko Natl Univ Lviv, 8 Kyryla &amp; Methodia Str, UA-79005 Lvov, Ukraine</t>
  </si>
  <si>
    <t>Jilin University; Ministry of Education &amp; Science of Ukraine; Taras Shevchenko National University of Kyiv; Ministry of Education &amp; Science of Ukraine; State Institution National Antarctic Scientific Center; Jilin University; University of Adelaide; Ministry of Education &amp; Science of Ukraine; Ivan Franko National University Lviv</t>
  </si>
  <si>
    <t>Milinevsky, G (corresponding author), Jilin Univ, Coll Phys, Int Ctr Future Sci, 2699 Qianjin Str, Changchun 130012, Peoples R China.;Wang, XL (corresponding author), Jilin Univ, Coll Elect Sci &amp; Engn, Int Ctr Future Sci, State Key Lab Integrated Optoelect, 2699 Qianjin Str, Changchun 130012, Peoples R China.</t>
  </si>
  <si>
    <t>milinevskyi@jlu.edu.cn; brucewang@jlu.edu.cn</t>
  </si>
  <si>
    <t>Milinevsky, Gennadi/AAD-8801-2019</t>
  </si>
  <si>
    <t>Milinevsky, Gennadi/0000-0002-2342-2615; Grytsai, Asen/0000-0002-2545-9833</t>
  </si>
  <si>
    <t>Jilin University, China [G2022129014L, 2020L024J00170]</t>
  </si>
  <si>
    <t>Jilin University, China(Jilin University)</t>
  </si>
  <si>
    <t>Funding This research has been supported in part by the Jilin University, China (Grant Numbers: G2022129014L, 2020L024J00170) .</t>
  </si>
  <si>
    <t>10.1016/j.atmosres.2023.107112</t>
  </si>
  <si>
    <t>Z8LJ1</t>
  </si>
  <si>
    <t>WOS:001114530800001</t>
  </si>
  <si>
    <t>Paloczy, A; Lacasce, JH</t>
  </si>
  <si>
    <t>Paloczy, A.; Lacasce, J. H.</t>
  </si>
  <si>
    <t>Prevalence of Deformation-Scale Surface Currents</t>
  </si>
  <si>
    <t>ocean jets; mesoscale ocean currents; observations; analytical models</t>
  </si>
  <si>
    <t>GULF-STREAM; VARIABILITY; EXTENSION; TRANSPORT; EXCHANGE; MODEL; JETS</t>
  </si>
  <si>
    <t>Understanding the transport of large ocean currents, like the Gulf Stream, has been of interest since the early days of oceanography. There has been less attention on the widths of the currents, although there exist several theoretical predictions. We present a census of time-averaged jet profiles, using in situ and satellite data. The jets are typically asymmetrical, being narrower on the side with weaker stratification. The half-widths Lj are correlated with the local deformation radius Ld associated with the first surface mode on either side. The dependence of Lj on Ld is predicted by simple shallow water geostrophic adjustment models, with or without outcropping layers. This implies that potential vorticity is well-mixed adjacent to the jets, due most likely to mesoscale eddies. The findings suggest that surface jet widths are determined locally, by eddy-mean flow interactions. Narrow, persistent currents a few tens of kilometers wide are found in several regions of the ocean, like fast-flowing rivers. The Gulf Stream and Kuroshio are familiar examples. We use different measurements to show that these currents have a generic shape, being asymmetric relative to their point of maximum velocity, that is, they are wider on one side and narrower on the other. The profile has a distinctive shape and results from strong eddy stirring on either side of the jet. The jet widths depend on the local density profile and on the Earth's rotation. We present a census of the widths of several surface jets across the global ocean, using in situ and satellite dataMost jets are asymmetrical, with the half-widths correlated with the first surface radius on each side of the jetThe asymmetry and deformation scale dependence are predicted by simple layered analytical models and reflect active lateral mixing</t>
  </si>
  <si>
    <t>[Paloczy, A.; Lacasce, J. H.] Univ Oslo, Oslo, Norway</t>
  </si>
  <si>
    <t>University of Oslo</t>
  </si>
  <si>
    <t>Paloczy, A (corresponding author), Univ Oslo, Oslo, Norway.</t>
  </si>
  <si>
    <t>a.p.filho@geo.uio.no</t>
  </si>
  <si>
    <t>Paloczy, Andre/0000-0001-8231-8298; LaCasce, Joseph Henry/0000-0001-7655-5596</t>
  </si>
  <si>
    <t>The Rough Ocean Project, funded by the Research Council of Norway under the Klimaforsk-programme [302743]; Research Council of Norway under the Klimaforsk-programme [OPP-9816226, ANT-0338103, ANT-0838750, PLR-1341431, PLR-1542902, ANT-2001646]; United States National Science Foundation (NSF)'s Office of Polar Programs Antarctic Division (ANT) [OCE-0223505, OCE-0752970, OCE-1437015]; NSF</t>
  </si>
  <si>
    <t>The Rough Ocean Project, funded by the Research Council of Norway under the Klimaforsk-programme; Research Council of Norway under the Klimaforsk-programme(Research Council of Norway); United States National Science Foundation (NSF)'s Office of Polar Programs Antarctic Division (ANT); NSF(National Science Foundation (NSF))</t>
  </si>
  <si>
    <t>AP and JHL acknowledge support from The Rough Ocean Project, funded by the Research Council of Norway under the Klimaforsk-programme, project #302743. This study has been conducted using E.U. Copernicus Marine Service Information; DOI . We thank the United States National Science Foundation (NSF)'s Office of Polar Programs Antarctic Division (ANT) for support of the Drake Passage time series through Grants OPP-9816226, ANT-0338103, ANT-0838750, PLR-1341431, PLR-1542902 and ANT-2001646 and the Chereskin Lab at Scripps Institution of Oceanography/UCSD (), for maintaining the collection, processing and dissemination of the ARSV Laurence M. Gould (LMG) ADCP data. We also thank Eric Firing and Jules Hummon (University of Hawaii) for their support of underway ADCP data through the UHDAS/CODAS software and the Joint Archive of Shipboard ADCP Data (JASADCP). We are grateful to the scientists and technicians onboard the LMG and R/Vs Ronald H. Brown, Atlantis and Thomas G. Thompson for ADCP data collection. Acquisition and processing of the GO-SHIP ADCP measurements has been funded by NSF Grants OCE-0223505, OCE-0752970, and OCE-1437015. The XBT data were made available by the Scripps High Resolution XBT program (). We thank the two anonymous reviewers for their input, which substantially improved the manuscript. We also thank Jonathan Lilly for creating the reformatted version of the TPJAOS data set. Early discussions with Sarah Gille and Tom Rossby were very helpful.</t>
  </si>
  <si>
    <t>e2023GL104547</t>
  </si>
  <si>
    <t>10.1029/2023GL104547</t>
  </si>
  <si>
    <t>W8GJ4</t>
  </si>
  <si>
    <t>WOS:001093953900001</t>
  </si>
  <si>
    <t>Asymmetry of the Antarctic Oscillation in Austral Autumn</t>
  </si>
  <si>
    <t>Antarctic oscillation; zonal asymmetry; self-organizing map</t>
  </si>
  <si>
    <t>SOUTHERN ANNULAR MODE; SURFACE-TEMPERATURE; VARIABILITY; CIRCULATION; PENINSULA; DYNAMICS; IMPACTS; BIASES; ENSO; FLOW</t>
  </si>
  <si>
    <t>The annular structure of Antarctic oscillation (AAO) is a research hotpot, but its asymmetry receives less attention. In this paper, the self-organizing map method is employed to cluster the AAO patterns into symmetric and asymmetric modes in austral autumn. The asymmetry is mainly reflected in the Pacific-Atlantic sector, and the AAO evolves toward asymmetric positive polarity, with the most pronounced asymmetry in May. Originating from near Australia, the asymmetry indicates a zonal wave train in the Pacific-Atlantic sector. Both modeled and observed results demonstrate that the sea surface temperature anomaly in the equatorial western Pacific stimulates a local meridional circulation anomaly and induces anomalous Rossby wave sources near Australia subsequently. An anomalous wave train propagating toward the Antarctic Peninsula is formed, and the associated geopotential anomaly enhances the asymmetry of AAO. Asymmetric AAO is conducive to the Antarctic dipole, which modulates the air temperature and sea ice anomalies around Antarctica. The zonal symmetry of the Antarctic oscillation (AAO; also named southern annular mode) is well known to researchers, while the zonal asymmetry has received less attention. We use a clustering method to cluster the AAO modes in austral autumn into symmetric modes and asymmetric modes. The asymmetry of AAO is mainly reflected in the Pacific-Atlantic sector. The results show that the AAO mode evolves to a positive asymmetric mode, and the asymmetry is most obvious in May. Both simulations and observations suggest that this asymmetry stems from sea surface temperature anomaly in the equatorial western Pacific that stimulates an anomalous local meridional circulation near Australia, and in turn triggers an anomalous wave train propagating toward the Antarctic Peninsula. The associated geopotential anomalies enhance the asymmetry of AAO. The asymmetric AAO favors the Antarctic dipole, regulating the air temperature and sea ice anomalies around Antarctica. Via a cluster method, we obtained the zonal asymmetric Antarctic oscillation (AAO) mode, and analyzed its trend and preferred monthThe source of its asymmetry is from the sea surface temperature anomaly in the tropical western PacificThe asymmetric AAO mode has a vital influence on the Antarctic dipole</t>
  </si>
  <si>
    <t>Duan, AM (corresponding author), Chinese Acad Sci, Inst Atmospher Phys, State Key Lab Numer Modeling Atmospher Sci &amp; Geoph, Beijing, Peoples R China.;Duan, AM (corresponding author), Univ Chinese Acad Sci, Coll Earth Sci, Beijing, Peoples R China.</t>
  </si>
  <si>
    <t>Tang, Yuheng/JRY-0088-2023</t>
  </si>
  <si>
    <t>Tang, Yuheng/0000-0002-9639-3958</t>
  </si>
  <si>
    <t>This work was supported by the National Natural Science Foundation of China (Grant 42030602). [42030602]; National Natural Science Foundation of China</t>
  </si>
  <si>
    <t>This work was supported by the National Natural Science Foundation of China (Grant 42030602).(National Natural Science Foundation of China (NSFC)); National Natural Science Foundation of China(National Natural Science Foundation of China (NSFC))</t>
  </si>
  <si>
    <t>This work was supported by the National Natural Science Foundation of China (Grant 42030602).</t>
  </si>
  <si>
    <t>e2023GL105678</t>
  </si>
  <si>
    <t>10.1029/2023GL105678</t>
  </si>
  <si>
    <t>X1EJ4</t>
  </si>
  <si>
    <t>WOS:001095945500001</t>
  </si>
  <si>
    <t>Persch, CF; Dinezio, P; Lovenduski, NS</t>
  </si>
  <si>
    <t>Persch, Cole F.; Dinezio, Pedro; Lovenduski, Nicole S.</t>
  </si>
  <si>
    <t>The Impact of Orbital Precession on Air-Sea CO2 Exchange in the Southern Ocean</t>
  </si>
  <si>
    <t>carbon cycle; southern ocean; precession</t>
  </si>
  <si>
    <t>MERIDIONAL OVERTURNING CIRCULATION; ANTARCTIC CIRCUMPOLAR CURRENT; SENSITIVITY; CLIMATE; COMPENSATION; VARIABILITY; EFFICIENT; CARBON; MODES</t>
  </si>
  <si>
    <t>Orbital precession has been linked to glacial cycles and the atmospheric carbon dioxide (CO2) concentration, yet the direct impact of precession on the carbon cycle is not well understood. We analyze output from an Earth system model configured under different orbital parameters to isolate the impact of precession on air-sea CO2 flux in the Southern Ocean-a component of the global carbon cycle that is thought to play a key role on past atmospheric CO2 variations. Here, we demonstrate that periods of high precession are coincident with anomalous CO2 outgassing from the Southern Ocean. Under high precession, we find a poleward shift in the southern westerly winds, enhanced Southern Ocean meridional overturning, and an increase in the surface ocean partial pressure of CO2 along the core of the Antarctic Circumpolar Current. These results suggest that orbital precession may have played an important role in driving changes in atmospheric CO2.</t>
  </si>
  <si>
    <t>[Persch, Cole F.; Dinezio, Pedro; Lovenduski, Nicole S.] Univ Colorado, Dept Atmospher &amp; Ocean Sci, Boulder, CO 80309 USA; [Lovenduski, Nicole S.] Univ Colorado, Inst Arctic &amp; Alpine Res, Boulder, CO 80303 USA</t>
  </si>
  <si>
    <t>University of Colorado System; University of Colorado Boulder; University of Colorado System; University of Colorado Boulder</t>
  </si>
  <si>
    <t>Persch, CF (corresponding author), Univ Colorado, Dept Atmospher &amp; Ocean Sci, Boulder, CO 80309 USA.</t>
  </si>
  <si>
    <t>cole.persch@colorado.edu</t>
  </si>
  <si>
    <t>Lovenduski, Nicole/A-6226-2011</t>
  </si>
  <si>
    <t>Lovenduski, Nicole/0000-0001-5893-1009; Persch, Cole/0000-0003-0221-2763</t>
  </si>
  <si>
    <t>This research was supported by the National Science Foundation (OCE-2043447 to PD and CP and OCE-1752724, OCE-1948664, and FRES-2021648 to NL). NCAR is sponsored by the National Science Foundation. Computational facilities have been provided by the Climate; National Science Foundation</t>
  </si>
  <si>
    <t>This research was supported by the National Science Foundation (OCE-2043447 to PD and CP and OCE-1752724, OCE-1948664, and FRES-2021648 to NL). NCAR is sponsored by the National Science Foundation. Computational facilities have been provided by the Climate; National Science Foundation(National Science Foundation (NSF))</t>
  </si>
  <si>
    <t>This research was supported by the National Science Foundation (OCE-2043447 to PD and CP and OCE-1752724, OCE-1948664, and FRES-2021648 to NL). NCAR is sponsored by the National Science Foundation. Computational facilities have been provided by the Climate Simulation Laboratory, which is managed by CISL at NCAR.</t>
  </si>
  <si>
    <t>e2023GL103820</t>
  </si>
  <si>
    <t>10.1029/2023GL103820</t>
  </si>
  <si>
    <t>W4FT5</t>
  </si>
  <si>
    <t>WOS:001091206500001</t>
  </si>
  <si>
    <t>Zheng, Q; Bingham, R; Andrews, O</t>
  </si>
  <si>
    <t>Zheng, Qi; Bingham, Rory; Andrews, Oliver</t>
  </si>
  <si>
    <t>Using Sea Level to Determine the Strength, Structure and Variability of the Cape Horn Current</t>
  </si>
  <si>
    <t>Cape Horn Current; sea level; volume transport; altimetry</t>
  </si>
  <si>
    <t>ANTARCTIC CIRCUMPOLAR CURRENT; DRAKE PASSAGE; CIRCULATION; OCEAN; ALTIMETRY; FRONTS; SYSTEM; MODE</t>
  </si>
  <si>
    <t>The Cape Horn Current (CHC) is one of the components of the Antarctic Circumpolar Current system that enables it to fulfill its crucial role as a conduit between ocean basins. Despite this, to-date there have been very few measurements of CHC strength and none continuous in time or space. Here, we use a combination of ocean models, one free-running and one data-assimilating, and satellite altimetry (1993-2021) to estimate the time-dependent strength of the CHC at 10 transects along its length. We find the time-mean CHC transport increases from 0.4 +/- 0.5 Sv near 49 degrees S to 5.3 +/- 2.2 Sv at Cape Horn, with peak-to-peak interannual fluctuations of 0.8-3.4 Sv. Although, theoretically, increased run-off from a wasting Patagonian Ice-field would strengthen its flow, the CHC appears quite stable over the last 29 years, with little evidence of a coherent, long-term increase or decrease in the strength of the current. By connecting the Pacific, Atlantic and Indian Oceans, the Antarctic Circumpolar Current system plays a crucial role in shaping Earth's climate. One component of this current system is the Cape Horn Current (CHC) which flows south about 150 km off the coast of Chile, before entering the South Atlantic through Drake Passage. The CHC is especially important as it carries relatively freshwater, nutrients, marine larvae, and pollutants from the South Pacific and into the South Atlantic, home to globally-important fisheries and sensitive ecosystems. However, we still do not have a continuous record of the CHC strength and how it may be changing as Earth warms. In this study, we develop a method that uses numerical models of the ocean together with satellite observations of sea level to estimate the strength of the CHC over the last 29 years. We find the CHC increases in strength from 400 thousand m3 s-1 in its early stages to more than 5 million m3 s-1 as it rounds Cape Horn. From 1993 to 2021, the CHC appears quite stable, with little evidence of a long-term increase or decrease in the strength of the current. The Cape Horn Current (CHC) contributes to the overall Antarctic Circumpolar Current system's role as a conduit between ocean basinsObservationally-based timeseries of CHC strength along its length are provided for the first timeCHC strength ranges from 0.4 Sv at 49 degrees S to 5.3 Sv at Cape Horn and is stable over recent decades</t>
  </si>
  <si>
    <t>[Zheng, Qi; Bingham, Rory; Andrews, Oliver] Univ Bristol, Sch Geog Sci, Bristol, England</t>
  </si>
  <si>
    <t>University of Bristol</t>
  </si>
  <si>
    <t>Zheng, Q (corresponding author), Univ Bristol, Sch Geog Sci, Bristol, England.</t>
  </si>
  <si>
    <t>qi.zheng@bristol.ac.uk</t>
  </si>
  <si>
    <t>Andrews, Oliver/0000-0002-1921-475X; Zheng, Qi/0000-0001-5444-3294</t>
  </si>
  <si>
    <t>We would like to thank Dr. Andrew Coward of the National Oceanography Centre, UK for providing the NEMO data used in this study, and Dr. Chris Wilson and two anonymous reviewers for comments that help improve the manuscript.</t>
  </si>
  <si>
    <t>e2023GL105033</t>
  </si>
  <si>
    <t>10.1029/2023GL105033</t>
  </si>
  <si>
    <t>W2JW7</t>
  </si>
  <si>
    <t>WOS:001089955300001</t>
  </si>
  <si>
    <t>Yehudai, M; Tweed, LE; Ridge, S; Wu, YZ; Goldstein, SL</t>
  </si>
  <si>
    <t>Yehudai, Maayan; Tweed, Lucy E.; Ridge, Sean; Wu, Yingzhe; Goldstein, Steven L.</t>
  </si>
  <si>
    <t>Effects of Past Nd Seawater Concentrations on Nd-Isotope Paleocirculation Reconstructions: A Bayesian Approach</t>
  </si>
  <si>
    <t>Nd-isotopes; AMOC; paleo-circulation; Bayesian analysis</t>
  </si>
  <si>
    <t>ATLANTIC DEEP-WATER; MERIDIONAL OVERTURNING CIRCULATION; CENTRAL PACIFIC SEAWATER; NORTH-ATLANTIC; OCEAN CIRCULATION; NEODYMIUM ISOTOPES; THERMOHALINE CIRCULATION; SOUTH ATLANTIC; FORAMINIFERA; EVOLUTION</t>
  </si>
  <si>
    <t>Neodymium (Nd) isotope ratios are potentially valuable for paleo-ocean circulation reconstructions because they trace water-mass transport and mixing in the present-day oceans. Moreover, the Atlantic and Pacific global end-member Nd-isotope values can be constrained through time, and at in-between sites their proportions vary with past climate changes. However, an important source of uncertainty about Nd-isotopes' applicability for paleo-circulation studies arises from the inability to constrain past Nd-concentrations of the end-members. Here we address this paleo-[Nd] problem through a Bayesian analysis. Results show that even large variability in end-member Nd-concentrations over the Pleistocene is unlikely to significantly impact their concentration ratio, therefore end-member concentration changes likely have only small impacts on Nd-isotope ratios at in-between locations. The results support their applicability to reconstruct past Atlantic paleo-circulation. In addition, a Nd-isotope mass balance for Antarctic Bottom Water shows that its present-day Nd-isotope values are consistent with the input from its sources. Ocean circulation transfers heat around the Earth and characterizing its past variability is critical for understanding climate changes. Neodymium (Nd) isotopes are often used to trace past ocean circulation because they mimic deep ocean water mass mixing, and the North Atlantic and North Pacific global ocean mixing end-member water mass compositions can be constrained through time. Therefore, temporal changes in Nd-isotope ratios at intermediate locations like the Equatorial and South Atlantic are assumed to approximate changes in the proportions contributed by the global end-members and thus reflect ocean circulation changes. However, Nd-isotope ratios at intermediate locations are also sensitive to changes in Nd-concentrations, which cannot be constrained in the global ocean end-member water masses. This has caused the applicability of Nd-isotope ratios for tracing paleo-ocean circulation to be questioned. Our study examines the sensitivity of Nd-isotope ratios at locations in-between the global end-members to changes in their Nd-concentrations over recent interglacial-glacial cycles. Results show that even substantial changes in their Nd-concentrations likely have little impact on the Nd-isotope ratios at intermediate locations, indicating that given the right intermediate location choices, Nd-isotope ratios indeed reflect past deep ocean mixing, thus supporting their use to reconstruct past ocean circulation. Neodymium (Nd) isotopes trace modern water mass mixing, but unconstrained end-member Nd concentrations limit their paleocirculation useA Bayesian approach tests effects of Nd-concentration changes in global water mass end-members on Nd-isotopes at intermediate locationsResults predict small impacts on Nd-isotopes and constrain projected uncertainties in past ocean end-member mixing reconstructions</t>
  </si>
  <si>
    <t>[Yehudai, Maayan] Max Planck Inst Chem, Mainz, Germany; [Yehudai, Maayan; Ridge, Sean; Wu, Yingzhe; Goldstein, Steven L.] Columbia Univ, Lamont Doherty Earth Observ, Palisades, NY USA; [Tweed, Lucy E.] Univ Cambridge, Dept Earth Sci, Cambridge, England; [Goldstein, Steven L.] Columbia Univ, Dept Earth &amp; Environm Sci, New York, NY USA</t>
  </si>
  <si>
    <t>Max Planck Society; Columbia University; University of Cambridge; Columbia University</t>
  </si>
  <si>
    <t>Yehudai, M (corresponding author), Max Planck Inst Chem, Mainz, Germany.</t>
  </si>
  <si>
    <t>m.yehudai@mpic.de</t>
  </si>
  <si>
    <t>Tweed, Lucy/JZT-4951-2024</t>
  </si>
  <si>
    <t>Tweed, Lucy/0009-0009-4506-2110; Wu, Yingzhe/0000-0002-3975-1368; Yehudai, Maayan/0000-0003-3252-3458</t>
  </si>
  <si>
    <t>This manuscript benefited from discussions with Sidney Hemming, Sophia Hines, Jerry McManus and Arnold Gordon. We thank Thomas J. Williams and four additional anonymous reviewers for their thorough evaluations of the manuscript, which led to significant im [OCE-14-36019]; NSF; Storke Endowment of the Department of Earth and Environmental Sciences, Columbia University</t>
  </si>
  <si>
    <t>This manuscript benefited from discussions with Sidney Hemming, Sophia Hines, Jerry McManus and Arnold Gordon. We thank Thomas J. Williams and four additional anonymous reviewers for their thorough evaluations of the manuscript, which led to significant im; NSF(National Science Foundation (NSF)); Storke Endowment of the Department of Earth and Environmental Sciences, Columbia University</t>
  </si>
  <si>
    <t>This manuscript benefited from discussions with Sidney Hemming, Sophia Hines, Jerry McManus and Arnold Gordon. We thank Thomas J. Williams and four additional anonymous reviewers for their thorough evaluations of the manuscript, which led to significant improvements. This study was supported by NSF Grant OCE-14-36019 and by the Storke Endowment of the Department of Earth and Environmental Sciences, Columbia University. We acknowledge the AGU data policy as can be found in the Open Research section. Open Access funding enabled and organized by Projekt DEAL.</t>
  </si>
  <si>
    <t>e2023GL104489</t>
  </si>
  <si>
    <t>10.1029/2023GL104489</t>
  </si>
  <si>
    <t>W2JX5</t>
  </si>
  <si>
    <t>WOS:001089956100001</t>
  </si>
  <si>
    <t>Dalaiden, Q; Rezsöhazy, J; Goosse, H; Thomas, ER; Vladimirova, DO; Tetzner, D</t>
  </si>
  <si>
    <t>Dalaiden, Quentin; Rezsohazy, Jeanne; Goosse, Hugues; Thomas, Elizabeth R.; Vladimirova, Diana O.; Tetzner, Dieter</t>
  </si>
  <si>
    <t>An Unprecedented Sea Ice Retreat in the Weddell Sea Driving an Overall Decrease of the Antarctic Sea-Ice Extent Over the 20th Century</t>
  </si>
  <si>
    <t>SOUTHERN ANNULAR MODE; DATA ASSIMILATION; NATURAL VARIABILITY; HEMISPHERE CLIMATE; SYSTEM MODEL; TRENDS; TEMPERATURE; CORE; RECONSTRUCTION; FRAMEWORK</t>
  </si>
  <si>
    <t>Sea-ice extent is predicted to decrease in a warming climate. However, despite global warming over the past century, total Antarctic sea ice remained relatively stable from 1979 until 2015, before strongly melting. Here we explore the long-term sea ice variability by reconstructing Antarctic sea ice since 1700 CE, based on paleoclimate records and data assimilation. Our results indicate a decline in southern hemisphere sea-ice extent over the 20th century, driven by a reduction of 0.26 million km2 in the Weddell Sea that reached values at the end of the century lower than any other reconstructed period. The Ross Sea experienced an increasing sea-ice cover trend due to a low-pressure system located off the Amundsen Sea coast, offset by a decreasing trend in the Bellingshausen-Amundsen Sea. Models failed to account for the Ross Sea increase, resulting in an overly uniform estimate of Antarctic sea ice loss over the 20th century. Despite global warming, the Antarctic sea-ice extent remained relatively constant over the satellite era until 2015 before a strong reduction. Numerous studies analyzed this intriguing behavior but no consensus emerged, mainly because of the shortness of observations. Here, we reconstruct the Antarctic sea-ice over the past 300 years based on paleoclimate observations, in particular ice-core records, combined with the physics of climate models using a so-called data-assimilation technique. We show that there has been a decline in the Antarctic sea-ice extent during the 20th century. Specifically, the Atlantic sector displays a significant sea-ice extent reduction, reaching its lowest level at the end of our reconstruction compared to the past three centuries. Our results indicate sea-ice extent trends over the 20th century of variable signs in the Pacific sector, with a sea ice increase in western Pacific while a decrease is noticed in western Pacific. These heterogeneous spatial changes are mainly related to changes in the low-pressure system located off the West Antarctic coasts. According to our analysis, climate models are not able to simulate the observed sea ice expansion in the eastern Pacific, leading to a too large and too homogenous Antarctic loss during the 20th century. The Antarctic sea-ice extent experienced a reduction over the 20th centuryThe sea-ice extent in Weddell Sea reached its lowest level over the past 300 years at the end of the 20th centuryModels are unable to simulate the reconstructed sea ice increase in the Ross Sea, leading to an overestimation of the Antarctic sea ice loss</t>
  </si>
  <si>
    <t>[Dalaiden, Quentin; Rezsohazy, Jeanne; Goosse, Hugues] Catholic Univ Louvain, Earth &amp; Life Inst, Louvain La Neuve, Belgium; [Thomas, Elizabeth R.; Vladimirova, Diana O.; Tetzner, Dieter] British Antarctic Survey, Ice Dynam &amp; Paleoclimate, Cambridge, England</t>
  </si>
  <si>
    <t>Universite Catholique Louvain; UK Research &amp; Innovation (UKRI); Natural Environment Research Council (NERC); NERC British Antarctic Survey</t>
  </si>
  <si>
    <t>Dalaiden, Q (corresponding author), Catholic Univ Louvain, Earth &amp; Life Inst, Louvain La Neuve, Belgium.</t>
  </si>
  <si>
    <t>quentin.dalaiden@uclouvain.be</t>
  </si>
  <si>
    <t>Thomas, Elizabeth Ruth/ADF-3660-2022</t>
  </si>
  <si>
    <t>Thomas, Elizabeth Ruth/0000-0002-3010-6493; Dalaiden, Quentin/0000-0002-3885-3848</t>
  </si>
  <si>
    <t>F.R.S.-FNRS (Belgium) [T.0101.22]; oceanic interactions on Sea ice Changes in the SOuthern Ocean over the Past millennium (WindSCOOP) of the FRS-FNRS; Belgian Research Action through Interdisciplinary Networks (BRAIN-be) from Belgian Science Policy Office</t>
  </si>
  <si>
    <t>F.R.S.-FNRS (Belgium)(Fonds de la Recherche Scientifique - FNRS); oceanic interactions on Sea ice Changes in the SOuthern Ocean over the Past millennium (WindSCOOP) of the FRS-FNRS; Belgian Research Action through Interdisciplinary Networks (BRAIN-be) from Belgian Science Policy Office</t>
  </si>
  <si>
    <t>We would like to thank the ice core and Pages2k community for gathering all the proxy records for reconstructing the climate over the past centuries. We acknowledge the World Climate Research Programme's Working Group on Coupled Modelling, which is responsible for CMIP. For CMIP the US Department of Energy's Program for Climate Model Diagnosis and Intercomparison provides coordinating support and led development of software infrastructure in partnership with the Global Organization for Earth System Science Portals. We also would like to thank the NCAR and ECWMF for providing their isotope-enable model simulations and atmospheric reanalysis. QD is a Research Fellow within the F.R.S.-FNRS (Belgium). HG is a Research Director within the F.R.S.-FNRS (Belgium). This work was performed in the framework of the PDR project T.0101.22 Role of WINDS and oceanic interactions on Sea ice Changes in the SOuthern Ocean over the Past millennium (WindSCOOP) of the FRS-FNRS. And supported by the Belgian Research Action through Interdisciplinary Networks (BRAIN-be) from Belgian Science Policy Office in the framework of the project East Antarctic surface mass balance in the Anthropocene: observations and multiscale modelling (Mass2Ant) (Contrat n degrees BR/165/A2/Mass2Ant). Finally, we would like to thank the two anonymous reviewers for their comments on the study that undoubtedly improve the quality of the manuscript.</t>
  </si>
  <si>
    <t>e2023GL104666</t>
  </si>
  <si>
    <t>10.1029/2023GL104666</t>
  </si>
  <si>
    <t>U9YU3</t>
  </si>
  <si>
    <t>WOS:001088299200001</t>
  </si>
  <si>
    <t>Faïn, X; Etheridge, DM; Fourteau, K; Martinerie, P; Trudinger, CM; Rhodes, RH; Chellman, NJ; Langenfelds, RL; Mcconnell, JR; Curran, MAJ; Brook, EJ; Blunier, T; Teste, G; Grilli, R; Lemoine, A; Sturges, WT; Vanniere, B; Freitag, J; Chappellaz, J</t>
  </si>
  <si>
    <t>Fain, Xavier; Etheridge, David M.; Fourteau, Kevin; Martinerie, Patricia; Trudinger, Cathy M.; Rhodes, Rachael H.; Chellman, Nathan J.; Langenfelds, Ray L.; Mcconnell, Joseph R.; Curran, Mark A. J.; Brook, Edward J.; Blunier, Thomas; Teste, Gregory; Grilli, Roberto; Lemoine, Anthony; Sturges, William T.; Vanniere, Boris; Freitag, Johannes; Chappellaz, Jerome</t>
  </si>
  <si>
    <t>Southern Hemisphere atmospheric history of carbon monoxide over the late Holocene reconstructed from multiple Antarctic ice archives</t>
  </si>
  <si>
    <t>BIOMASS BURNING EMISSIONS; GLOBAL FIRE EMISSIONS; CORE RECORDS; ABSORPTION-SPECTROSCOPY; GAS CONCENTRATIONS; BERKNER ISLAND; POLAR FIRN; AIR; GREENLAND; MODEL</t>
  </si>
  <si>
    <t>Carbon monoxide (CO) is a naturally occurring atmospheric trace gas, a regulated pollutant, and one of the main components determining the oxidative capacity of the atmosphere. Evaluating climate-chemistry models under different conditions than today and constraining past CO sources requires a reliable record of atmospheric CO mixing ratios ([CO]) that includes data since preindustrial times. Here, we report the first continuous record of atmospheric [CO] for Southern Hemisphere (SH) high latitudes over the past 3 millennia. Our continuous record is a composite of three high-resolution Antarctic ice core gas records and firn air measurements from seven Antarctic locations. The ice core gas [CO] records were measured by continuous flow analysis (CFA), using an optical feedback cavity-enhanced absorption spectrometer (OF-CEAS), achieving excellent external precision (2.8-8.8 ppb; 2 sigma ) and consistently low blanks (ranging from 4.1 +/- 1.2 to 7.4 +/- 1.4 ppb), thus enabling paleo-atmospheric interpretations. Six new firn air [CO] Antarctic datasets collected between 1993 and 2016 CE at the DE08-2, DSSW19K, DSSW20K, South Pole, Aurora Basin North (ABN), and Lock-In sites (and one previously published firn CO dataset at Berkner) were used to reconstruct the atmospheric history of CO from similar to 1897 CE, using inverse modeling that incorporates the influence of gas transport in firn. Excellent consistency was observed between the youngest ice core gas [CO] and the [CO] from the base of the firn and between the recent firn [CO] and atmospheric [CO] measurements at Mawson station (eastern Antarctica), yielding a consistent and contiguous record of CO across these different archives. Our Antarctic [CO] record is relatively stable from - 835 to 1500 CE, with mixing ratios within a 30-45 ppb range (2 sigma ). There is a similar to 5 ppb decrease in [CO] to a minimum at around 1700 CE during the Little Ice Age. CO mixing ratios then increase over time to reach a maximum of similar to 54 ppb by similar to 1985 CE. Most of the industrial period [CO] growth occurred between about 1940 to 1985 CE, after which there was an overall [CO] decrease, as observed in Greenland firn air and later at atmospheric monitoring sites and attributed partly to reduced CO emissions from combustion sources. Our Antarctic ice core gas CO observations differ from previously published records in two key aspects. First, our mixing ratios are significantly lower than reported previously, suggesting that previous studies underestimated blank contributions. Second, our new CO record does not show a maximum in the late 1800s. The absence of a [CO] peak around the turn of the century argues against there being a peak in Southern Hemisphere biomass burning at this time, which is in agreement with (i) other paleofire proxies such as ethane or acetylene and (ii) conclusions reached by paleofire modeling. The combined ice core and firn air [CO] history, spanning - 835 to 1992 CE, extended to the present by the Mawson atmospheric record, provides a useful benchmark for future atmospheric chemistry modeling studies.</t>
  </si>
  <si>
    <t>[Fain, Xavier; Martinerie, Patricia; Teste, Gregory; Grilli, Roberto; Lemoine, Anthony; Chappellaz, Jerome] Univ Grenoble Alpes, CNRS, Grenoble INP, INRAE,IRD,IGE, F-38000 Grenoble, France; [Etheridge, David M.; Trudinger, Cathy M.; Langenfelds, Ray L.] CSIRO Environm, Aspendale, Vic 3195, Australia; [Etheridge, David M.; Trudinger, Cathy M.; Curran, Mark A. J.] Univ Tasmania, Inst Marine &amp; Antarctic Studies, Australian Antarctic Program Partnership, Hobart, Tas 7000, Australia; [Fourteau, Kevin] Univ Grenoble Alpes, Univ Toulouse, Ctr Etud Neige, Meteo France,CNRS,CNRM, F-38000 Grenoble, France; [Rhodes, Rachael H.] Univ Cambridge, Dept Earth Sci, Cambridge CB2 3EQ, England; [Chellman, Nathan J.; Mcconnell, Joseph R.] Desert Res Inst, Div Hydrol Sci, Reno, NV 89512 USA; [Brook, Edward J.] Oregon State Univ, Coll Earth Ocean &amp; Atmospher Sci, Corvallis, OR 97331 USA; [Blunier, Thomas] Univ Copenhagen, Niels Bohr Inst, Phys Ice Climate &amp; Earth, Copenhagen, Denmark; [Sturges, William T.] Univ East Anglia, Ctr Ocean &amp; Atmospher Sci, Sch Environm Sci, Norwich, England; [Vanniere, Boris] Univ Bern, Inst Plant Sci, Oeschger Ctr Climate Change Res, Bern, Switzerland; [Vanniere, Boris] Univ Franche Comte, MSHE, Chronoenvironm, CNRS, F-25000 Besancon, France; [Freitag, Johannes] Alfred Wegener Inst, Helmholtz Zent Polar &amp; Meeresforsch, Bremerhaven, Germany; [Curran, Mark A. J.] Australian Antarctic Div, Kingston, Tas 7050, Australia; [Chappellaz, Jerome] Ecole Polytech Fed Lausanne EPFL, Lab Adv Separat LA, CH-1951 Sion, Switzerland</t>
  </si>
  <si>
    <t>Communaute Universite Grenoble Alpes; Institut National Polytechnique de Grenoble; Centre National de la Recherche Scientifique (CNRS); Universite Grenoble Alpes (UGA); Institut de Recherche pour le Developpement (IRD); INRAE; University of Tasmania; Communaute Universite Grenoble Alpes; Universite Grenoble Alpes (UGA); Meteo France; Centre National de la Recherche Scientifique (CNRS); University of Cambridge; Nevada System of Higher Education (NSHE); Desert Research Institute NSHE; Oregon State University; University of Copenhagen; Niels Bohr Institute; University of East Anglia; University of Bern; Universite de Franche-Comte; Centre National de la Recherche Scientifique (CNRS); Helmholtz Association; Alfred Wegener Institute, Helmholtz Centre for Polar &amp; Marine Research; Australian Antarctic Division; Swiss Federal Institutes of Technology Domain; Ecole Polytechnique Federale de Lausanne</t>
  </si>
  <si>
    <t>Faïn, X (corresponding author), Univ Grenoble Alpes, CNRS, Grenoble INP, INRAE,IRD,IGE, F-38000 Grenoble, France.</t>
  </si>
  <si>
    <t>xavier.fain@univ-grenoble-alpes.fr</t>
  </si>
  <si>
    <t>Trudinger, Cathy/A-2532-2008; Blunier, Thomas/M-4609-2014; FAIN, Xavier/C-8645-2009</t>
  </si>
  <si>
    <t>McConnell, Joseph/0000-0001-9051-5240; Fourteau, Kevin/0000-0002-9905-2446; Blunier, Thomas/0000-0002-6065-7747; FAIN, Xavier/0000-0002-4119-6025; Rhodes, Rachael/0000-0001-7511-1969</t>
  </si>
  <si>
    <t>French ANR projects RPD-COCLICO [0221515]; EU FP7-IP [0909541]; EU FP7 ERC [1204176]; U.S. NSF [1406219, 0968391, LBZG/080, 1153, NEVE-CLIMAT]; Isaac Newton Trust; Australian Antarctic Science Program [291062]; Australian Antarctic Division [291062]; French Polar Institute IPEV; CNRS INSU/LEFE; [4621]; [10-RPDOC-002-01]; [ENV-2010/265148]</t>
  </si>
  <si>
    <t>French ANR projects RPD-COCLICO(Agence Nationale de la Recherche (ANR)); EU FP7-IP(European Union (EU)); EU FP7 ERC(European Union (EU)); U.S. NSF(National Science Foundation (NSF)); Isaac Newton Trust; Australian Antarctic Science Program; Australian Antarctic Division; French Polar Institute IPEV; CNRS INSU/LEFE(Centre National de la Recherche Scientifique (CNRS)); ; ;</t>
  </si>
  <si>
    <t>This work has been supported by the French ANR projects RPD-COCLICO (grant no. 10-RPDOC-002-01; Xavier Fain); by the EU FP7-IP (grant no. ENV-2010/265148; project Pegasos; Xavier Fain) and FP7 ERC (grant no. 291062; project Ice and Lasers; Jerpme Chappellaz); by the U.S. NSF (grant nos. 0221515, 0909541, 1204176, and 1406219; all Joseph R. McConnell; grant no. 0968391; Edward J. Brook). Rachael H. Rhodes has received funding from the Isaac Newton Trust (grant no. LBZG/080). The Australian Antarctic Science Program and the Australian Antarctic Division supported the drilling programs and atmospheric measurements (AAS; project no. 4621). The Australian Bureau of Meteorology supported the air sampling at Mawson. The Lock-In field and scientific program has been funded by the French Polar Institute IPEV (project no. 1153), and the CNRS INSU/LEFE (project no. NEVE-CLIMAT).</t>
  </si>
  <si>
    <t>NOV 15</t>
  </si>
  <si>
    <t>10.5194/cp-19-2287-2023</t>
  </si>
  <si>
    <t>IV2D0</t>
  </si>
  <si>
    <t>WOS:001169036900001</t>
  </si>
  <si>
    <t>Epifanio, JA; Brook, EJ; Buizert, C; Pettit, EC; Edwards, JS; Fegyveresi, JM; Sowers, TA; Severinghaus, JP; Kahle, EC</t>
  </si>
  <si>
    <t>Epifanio, Jenna A.; Brook, Edward J.; Buizert, Christo; Pettit, Erin C.; Edwards, Jon S.; Fegyveresi, John M.; Sowers, Todd A.; Severinghaus, Jeffrey P.; Kahle, Emma C.</t>
  </si>
  <si>
    <t>Millennial and orbital-scale variability in a 54 000-year record of total air content from the South Pole ice core</t>
  </si>
  <si>
    <t>TOTAL GAS CONTENT; ANTARCTIC ICE; CLIMATIC PARAMETERS; PHYSICAL-PROPERTIES; SP19 CHRONOLOGY; SURFACE; ELEVATION; TEMPERATURE; SIGNATURE</t>
  </si>
  <si>
    <t>The total air content (TAC) of polar ice cores has long been considered a potential proxy for past ice sheet elevation. Recent work, however, has shown that a variety of other factors also influence this parameter. In this paper we present a high-resolution TAC record from the South Pole ice core (SPC14) covering the last 54 000 years and discuss the implications of the data for interpreting TAC from ice cores. The SPC14 TAC record shows multiple features of interest, including (1) long-term orbital-scale variability, (2) millennial-scale variability in the Holocene and last glacial period, and (3) a period of stability from 35 to 25 ka. The longer, orbital-scale variations in TAC are highly correlated with integrated summer insolation (ISI), corroborating the potential of TAC to provide an independent dating tool via orbital tuning. Large millennial-scale variability in TAC during the last glacial period is positively correlated with past accumulation rate reconstructions as well as delta 15 N-N 2 , a firn thickness proxy. These TAC variations are too large to be controlled by direct effects of temperature and too rapid to be tied to elevation changes. We propose that grain size metamorphism near the firn surface explains these changes. We note, however, that at sites with different climate histories than the South Pole, TAC variations may be dominated by other processes. Our observations of millennial-scale variations in TAC show a different relationship with accumulation rate than observed at sites in Greenland.</t>
  </si>
  <si>
    <t>[Epifanio, Jenna A.; Brook, Edward J.; Buizert, Christo; Pettit, Erin C.; Edwards, Jon S.] Oregon State Univ, Coll Earth Ocean &amp; Atmospher Sci, Corvallis, OR 97330 USA; [Fegyveresi, John M.] No Arizona Univ, Sch Earth &amp; Sustainabil, Flagstaff, AZ USA; [Sowers, Todd A.] Penn State Univ, Earth &amp; Environm Syst Inst, University Pk, PA USA; [Severinghaus, Jeffrey P.] Univ Calif San Diego, Scripps Inst Oceanog, La Jolla, CA USA; [Kahle, Emma C.] Univ Washington, Dept Earth &amp; Space Sci, Seattle, WA USA</t>
  </si>
  <si>
    <t>Oregon State University; Northern Arizona University; Pennsylvania Commonwealth System of Higher Education (PCSHE); Pennsylvania State University; Pennsylvania State University - University Park; University of California System; University of California San Diego; Scripps Institution of Oceanography; University of Washington; University of Washington Seattle</t>
  </si>
  <si>
    <t>Epifanio, JA (corresponding author), Oregon State Univ, Coll Earth Ocean &amp; Atmospher Sci, Corvallis, OR 97330 USA.</t>
  </si>
  <si>
    <t>jenna.epifanio@gmail.com</t>
  </si>
  <si>
    <t>Severinghaus, Jeffrey/0000-0001-8883-3119</t>
  </si>
  <si>
    <t>Office of Polar Programs</t>
  </si>
  <si>
    <t>Office of Polar Programs(National Science Foundation (NSF)NSF - Directorate for Geosciences (GEO))</t>
  </si>
  <si>
    <t>We would like to thank Mark Twickler and Joe Souney for their work administering the SPICEcore project, the U.S. Ice Drilling Program for collecting the SPC14, the field team who collected the ice core, the National Ice Core Facility for ice core storage and processing, Michael Kalk for his help on lab work with the samples, and the many student researchers who produced data from the SPC14 ice core.</t>
  </si>
  <si>
    <t>10.5194/tc-17-4837-2023</t>
  </si>
  <si>
    <t>IV1L0</t>
  </si>
  <si>
    <t>WOS:001169018900001</t>
  </si>
  <si>
    <t>Zhang, ZS; Yang, J; Feng, XG; Guo, XQ; Liu, P; Wei, HT; Liu, S; Zhao, YY; Zhang, GL; Li, SZ; Zhang, Y; Li, DY</t>
  </si>
  <si>
    <t>Zhang, Zhishun; Yang, Jun; Feng, Xuguang; Guo, Xiaoqiang; Liu, Peng; Wei, Haotian; Liu, Sheng; Zhao, Yanyan; Zhang, Guanglu; Li, Sanzhong; Zhang, Yang; Li, Dongyong</t>
  </si>
  <si>
    <t>Redox evolution in the subtropical Northwest Pacific across the Middle Miocene Climate Transition</t>
  </si>
  <si>
    <t>JOURNAL OF ASIAN EARTH SCIENCES</t>
  </si>
  <si>
    <t>Redox conditions; Pacific deep water circulation; Export production; atmospheric CO2; Middle Miocene Climate Transition</t>
  </si>
  <si>
    <t>SOUTH CHINA SEA; ATMOSPHERIC CARBON-DIOXIDE; DEEP-WATER; OCEAN CIRCULATION; OVERTURNING CIRCULATION; ANTARCTIC GLACIATION; TRACE-METALS; OXYGEN; URANIUM; ISOTOPE</t>
  </si>
  <si>
    <t>The climate transition during the middle Miocene promoted a series of environmental evolutions. However, the response of deep-sea redox conditions to this climate transition remains unclear. Here, we reconstruct the redox conditions in the subtropical Northwest Pacific during the Middle Miocene Climate Transition (MMCT) using the uranium and thorium data from drill cores at different water depths. Our findings indicate that the oxygenation level in the bathypelagic site (U1505) was weak at the early MMCT (14.6-14.1 Ma), elevated at the middle MMCT (14.1-13.3 Ma), and weak again at the late MMCT (13.3-12.8 Ma). In contrast, the oxygenation level in the abyssopelagic site (U1438) was strong in the early MMCT and weak in the middle and late MMCT. Combined with the changes in local productivity and ocean circulation, we argue that the varying oxygenation evolution trends at different water depths are probably related to the change in water mass structure driven by climate cooling from the early to the middle MMCT. However, local export production may be the main controlling factor during the late MMCT. Moreover, the decrease in deep-sea oxygenation across the MMCT also reflects the deepening of the respired carbon pool in the subtropical Northwest Pacific, which possibly contributed to the decline in atmospheric CO2 at that time</t>
  </si>
  <si>
    <t>[Zhang, Zhishun; Yang, Jun; Guo, Xiaoqiang; Liu, Peng; Wei, Haotian; Liu, Sheng; Zhao, Yanyan; Zhang, Guanglu; Li, Sanzhong; Zhang, Yang; Li, Dongyong] Ocean Univ China, Coll Marine Geosci, Frontiers Sci Ctr Deep Ocean Multispheres &amp; Earth, Key Lab Submarine Geosci &amp; Prospecting Tech,MOE, Qingdao 266100, Peoples R China; [Zhang, Zhishun; Yang, Jun; Guo, Xiaoqiang; Liu, Peng; Wei, Haotian; Liu, Sheng; Zhao, Yanyan; Zhang, Guanglu; Li, Sanzhong; Zhang, Yang; Li, Dongyong] Ocean Univ China, Coll Marine Geosci, Qingdao 266100, Peoples R China; [Zhao, Yanyan; Li, Sanzhong] Natl Lab Marine Sci &amp; Technol Qingdao, Lab Marine Geol, Qingdao 266237, Peoples R China; [Feng, Xuguang] Minist Nat Resources, Inst Oceanog 1, Key Lab Marine Geol &amp; Metallogeny, Qingdao 266061, Peoples R China</t>
  </si>
  <si>
    <t>Ocean University of China; Ocean University of China; Laoshan Laboratory; First Institute of Oceanography, Ministry of Natural Resources; Ministry of Natural Resources of the People's Republic of China</t>
  </si>
  <si>
    <t>Zhao, YY; Li, DY (corresponding author), Ocean Univ China, Coll Marine Geosci, Frontiers Sci Ctr Deep Ocean Multispheres &amp; Earth, Key Lab Submarine Geosci &amp; Prospecting Tech,MOE, Qingdao 266100, Peoples R China.;Zhao, YY; Li, DY (corresponding author), Ocean Univ China, Coll Marine Geosci, Qingdao 266100, Peoples R China.</t>
  </si>
  <si>
    <t>zhaoyanyan@ouc.edu.cn; lidongyong@ouc.edu.cn</t>
  </si>
  <si>
    <t>zhang, can/KHC-5357-2024; Zhang, Guanglu/AAZ-2306-2021; Li, Sanzhong/F-6111-2013</t>
  </si>
  <si>
    <t>Zhang, Guanglu/0000-0002-1203-2267; Yanyan, Zhao/0000-0001-6157-9528</t>
  </si>
  <si>
    <t>1367-9120</t>
  </si>
  <si>
    <t>1878-5786</t>
  </si>
  <si>
    <t>J ASIAN EARTH SCI</t>
  </si>
  <si>
    <t>J. Asian Earth Sci.</t>
  </si>
  <si>
    <t>10.1016/j.jseaes.2023.105916</t>
  </si>
  <si>
    <t>HP3S0</t>
  </si>
  <si>
    <t>WOS:001160674700001</t>
  </si>
  <si>
    <t>Hui, ZC; Wei, X; Xue, ZD; Zhao, XR; Chevalier, M; Lu, X; Zhang, J; Peng, TJ; Chen, YY; Chen, P</t>
  </si>
  <si>
    <t>Hui, Zhengchuang; Wei, Xiao; Xue, Zhendong; Zhao, Xuerong; Chevalier, Manuel; Lu, Xue; Zhang, Jun; Peng, Tingjiang; Chen, Yingyong; Chen, Peng</t>
  </si>
  <si>
    <t>Middle Miocene evolution of East Asian summer monsoon precipitation in the northeast part of the Tibetan Plateau based on a quantitative analysis of palynological records</t>
  </si>
  <si>
    <t>Sporopollen; Quantitative climate reconstructions; CREST; Middle Miocene; EASM precipitation; NE Tibetan Plateau</t>
  </si>
  <si>
    <t>CHINESE LOESS PLATEAU; ANTARCTIC ICE-SHEET; WUSHAN BASIN; CLIMATE; MECHANISMS; PLIOCENE; SEA; MA; RECONSTRUCTION; ASSEMBLAGES</t>
  </si>
  <si>
    <t>Characterized by elevated pCO2 levels and global warmth, the mid-Miocene climate is a valuable analogue for investigating how the East Asian Summer Monsoon (EASM) may evolve at different time scales. In this paper, we present a quantitative EASM precipitation record with a temporal resolution of -14 kyr during the mid-Miocene (-15.97 to 13.64 Ma) by applying the probabilistic CREST (Climate Reconstruction Software) method to palynological records from the northeast part of the Tibetan Plateau. Reconstructed mid-Miocene EASM precipitation (-860 mm) was almost twice that of today (-450 mm), indicating much stronger EASM intensity. The reconstruction shows a gradual long-term decline on which was superimposed a stronger EASM period (-15.97-14.54 Ma) followed by a relatively stable period (-14.54-13.84 Ma) and a short period of reduced precipitation (-13.84-13.64 Ma). The correspondence of EASM precipitation changes with the mid-Miocene climate optimum and west-east thermal gradients in equatorial Pacific suggests these two factors were the main driving forces for EASM evolution from -15.97 to 14.54 Ma, whereas the combined impact of global cooling and the northward shift of the Intertropical Convergence Zone is probably responsible for the slight decline of the EASM from -14.54 to 13.84 Ma. The weaker EASM between -13.84 and 13.64 Ma was most likely a response to the global significant cooling event Mi-3. On orbital time scales, the precipitation records exhibit a dominant -400 kyr periodicity, indicating EASM changes were mainly paced by eccentricity via the modulation of precessional amplitude, and the East Antarctic Ice Sheet variations were probably another important driving force.</t>
  </si>
  <si>
    <t>[Hui, Zhengchuang; Wei, Xiao; Xue, Zhendong; Zhao, Xuerong; Lu, Xue; Chen, Yingyong; Chen, Peng] Henan Univ, Coll Geog &amp; Environm Sci, Natl Demonstrat Ctr Environm &amp; Planning, Henan Key Lab Earth Syst Observat &amp; Modeling, Kaifeng 475004, Peoples R China; [Chevalier, Manuel] Rhein Friedrich Wilhelms Univ Bonn, Sect Meteorol, Inst Geosci, Hugel 20, D-53121 Bonn, Germany; [Zhang, Jun; Peng, Tingjiang] Lanzhou Univ, Key Lab Western Chinas Environm Syst, Minist Educ, Coll Earth &amp; Environm Sci, Lanzhou 730000, Peoples R China</t>
  </si>
  <si>
    <t>Henan University; University of Bonn; Lanzhou University</t>
  </si>
  <si>
    <t>Hui, ZC (corresponding author), Henan Univ, Coll Geog &amp; Environm Sci, Natl Demonstrat Ctr Environm &amp; Planning, Henan Key Lab Earth Syst Observat &amp; Modeling, Kaifeng 475004, Peoples R China.</t>
  </si>
  <si>
    <t>huizhch@henu.edu.cn</t>
  </si>
  <si>
    <t>Chevalier, Manuel/W-6949-2019</t>
  </si>
  <si>
    <t>Chevalier, Manuel/0000-0002-8183-9881</t>
  </si>
  <si>
    <t>National Natural Sciences Foundation of China; State Program of the National Natural Sciences Foundation of China; Second Tibetan Plateau Scientific Expedition; German Federal Ministry of Education and Research (BMBF); [41877445]; [41330745]; [2019QZKK0704]; [FKZ: 01LP1926D]</t>
  </si>
  <si>
    <t>National Natural Sciences Foundation of China(National Natural Science Foundation of China (NSFC)); State Program of the National Natural Sciences Foundation of China(National Natural Science Foundation of China (NSFC)); Second Tibetan Plateau Scientific Expedition; German Federal Ministry of Education and Research (BMBF)(Federal Ministry of Education &amp; Research (BMBF)); ; ; ;</t>
  </si>
  <si>
    <t>This work was co-supported by the National Natural Sciences Foundation of China (Grant Nos. 41877445) , the State Program of the National Natural Sciences Foundation of China (Grant No. 41330745) and the Second Tibetan Plateau Scientific Expedition (Grant 2019QZKK0704) . Manuel Chevalier was supported by the German Federal Ministry of Education and Research (BMBF) as a Research for Sustainability initiative (FONA; https:// www.fona.de/en, last access: 25 June 2022) through the PalMod Phase II project (grant no. FKZ: 01LP1926D). Special thanks to X.X. Wang, S.P. Liu and K. He for field-work assistance and laboratory help. This paper is dedicated to the memory of Professor Jijun Li for his initial design and persistent support. We are grateful to our editor Howard Falcon-Lang and four anonymous reviewers, for their valuable suggestions and comments. We also should like to thank the people working in the journal office for handing our manuscript.</t>
  </si>
  <si>
    <t>10.1016/j.palaeo.2023.111808</t>
  </si>
  <si>
    <t>ET1R1</t>
  </si>
  <si>
    <t>WOS:001141090400001</t>
  </si>
  <si>
    <t>Roman, A; Tovar-Sanchez, A; Fernandez-Marin, B; Navarro, G; Barbero, L</t>
  </si>
  <si>
    <t>Roman, Alejandro; Tovar-Sanchez, Antonio; Fernandez-Marin, Beatriz; Navarro, Gabriel; Barbero, Luis</t>
  </si>
  <si>
    <t>Characterization of an antarctic penguin colony ecosystem using high-resolution UAV hyperspectral imagery</t>
  </si>
  <si>
    <t>Remote sensing; Antarctic vegetation; Multispectral; Drones; Biological mapping; Spectral library</t>
  </si>
  <si>
    <t>MASTODIA-TESSELLATA ASCOMYCOTA; MULTISPECTRAL DATA; ISLAND; GUANO; ROOKERIES; HEALTH</t>
  </si>
  <si>
    <t>Penguin colonies significantly influence the distribution and diversity of vegetation communities in Maritime Antarctica, as they serve as vital sources of nutrients for both terrestrial and aquatic ecosystems. Remote sensing techniques are becoming increasingly common for monitoring these vast Antarctic areas, especially with Unmanned Aerial Vehicles (UAVs) imagery, which provides the highest spatial resolutions to date. In fact, the use of hyperspectral (HS) sensors is crucial for accurately identifying and distinguishing between the main ground characteristics and vegetation communities in an Antarctic penguin colony, making this study one of the first UAV-based HS approaches to our knowledge. Consequently, this study provides a spectral library covering the entire spectral range from 400 to 2500 nm for the five main vegetation communities found at Hannah Point penguin colony (Livingston Island, Antarctica). Through this library, two valuable wavelength regions have been identified for distinguishing these communities based on pigments composition, specifically in the green (495-570 nm) and near-infrared (800-900 nm) ranges, that served as a reference for validating the results using 35 ground reference spectrometry data collected in 1667 wavelength bands within the 320-876 nm range. In addition, the supervised classification approach known as the Spectral Angle Mapper has been employed to monitor the coverage of each vegetation community based on the information provided by the aforementioned spectral library. The observed ecological gradient, which reveals an increase in vegetation complexity away from the high-nutrient content guano areas, highlights the influence of guano on the distribution of the main vegetation patterns across the entire penguin colony. The results of this study could serve as a reference point for more sophisticated research involving the use of UAV-based HS or MS sensors in Antarctica, offering unique opportunities to detect small variations in these remote ecosystems resulting from climate change.</t>
  </si>
  <si>
    <t>[Roman, Alejandro; Tovar-Sanchez, Antonio; Navarro, Gabriel] CSIC, Inst Marine Sci Andalusia ICMAN, Dept Ecol &amp; Coastal Management, Puerto Real 11510, Spain; [Fernandez-Marin, Beatriz] Univ Basque Country UPV EHU, Dept Plant Biol &amp; Ecol, Leioa 48940, Spain; [Barbero, Luis] Univ Cadiz, Dept Earth Sci, Int Campus Excellence Marine Sci CEIMAR, Puerto Real 11510, Spain</t>
  </si>
  <si>
    <t>Consejo Superior de Investigaciones Cientificas (CSIC); CSIC - Instituto de Ciencias Marinas de Andalucia (ICMAN); University of Basque Country; Universidad de Cadiz</t>
  </si>
  <si>
    <t>Roman, A (corresponding author), CSIC, Inst Marine Sci Andalusia ICMAN, Dept Ecol &amp; Coastal Management, Puerto Real 11510, Spain.</t>
  </si>
  <si>
    <t>a.roman@csic.es</t>
  </si>
  <si>
    <t>Navarro, Gabriel/AAA-9528-2020; Tovar-Sánchez, Antonio/B-8003-2010; Román, Alejandro/IQX-1825-2023; Barbero, Luis/E-4078-2013</t>
  </si>
  <si>
    <t>Navarro, Gabriel/0000-0002-8919-0060; Roman, Alejandro/0000-0002-8868-9302; Tovar-Sanchez, Antonio/0000-0003-4375-1982; Barbero, Luis/0000-0002-3513-2025</t>
  </si>
  <si>
    <t>Spanish Government [RTI2018-098048B-100, PID2021-1257830B-100]; Spanish Government Infraestructure projects [EQC2018-004446-P, EQC2018-004275-P, EQC2019-005721]; Ministry of Universities of the Spanish Government [FPU19/04557]; MCIN/AEI/ [RYC2021-031321-I]; European Union</t>
  </si>
  <si>
    <t>Spanish Government(Spanish Government); Spanish Government Infraestructure projects; Ministry of Universities of the Spanish Government; MCIN/AEI/; European Union(European Union (EU))</t>
  </si>
  <si>
    <t>The authors thank the crew of the BIO Hesperides oceanographic vessel and the Marine Technology Unit (UTM-CSIC) for their logistic support. We also thank D. Roque for supporting UAV operations. This research was funded by the Spanish Government projects RTI2018-098048B-100 and PID2021-1257830B-100. Equipment was funded Spanish Government Infraestructure projects EQC2018-004446-P, EQC2018-004275-P and EQC2019-005721. A. Roman is supported grant FPU19/04557 funded by Ministry of Universities of the Spanish Government. B. Fernandez-Marin is supported by RYC2021-031321-I grant funded by MCIN/AEI/10.13039/501100011033 and by the European Union NextGenerationFU/PRTR. This work represents a contribution to CSIC Thematic Interdisciplinary Platforms POLARCSIC PTI TELEDETECT.</t>
  </si>
  <si>
    <t>10.1016/j.jag.2023.103565</t>
  </si>
  <si>
    <t>AG0R5</t>
  </si>
  <si>
    <t>WOS:001117200000001</t>
  </si>
  <si>
    <t>Moreno, PI; Lambert, F; Hernández, L; Villa-Martínez, RP</t>
  </si>
  <si>
    <t>Moreno, Patricio I.; Lambert, Fabrice; Hernandez, Loreto; Villa-Martinez, Rodrigo P.</t>
  </si>
  <si>
    <t>Environmental evolution of western Tierra del Fuego (-54°S) since ice-free conditions and its zonal/hemispheric implications</t>
  </si>
  <si>
    <t>LAGUNA POTROK-AIKE; LAST GLACIAL MAXIMUM; HOLOCENE PALEOENVIRONMENTAL CHANGE; SOUTHERN-HEMISPHERE WESTERLIES; ANTARCTIC COLD REVERSAL; CHILEAN LAKE DISTRICT; EPICA DOME C; LATE QUATERNARY; CENTRAL STRAIT; PALEOECOLOGICAL EVIDENCE</t>
  </si>
  <si>
    <t>By virtue of its position adjacent to the Drake Passage, Tierra del Fuego in South America allows examining the vegetation and environmental history of the southernmost continental landmass outside Antarctica, and the evolution of the Southern Westerly Winds-Southern Ocean (SWW-SO) coupled system since the Last Glacial Maximum (LGM). For that purpose, we studied sediment cores from Lago Charquito, a small closed-basin lake in central-west Tierra del Fuego with a continuous lacustrine record since-17.3 ka. Ice-free conditions at the site imply a-70 km retreat of the Bahia Inutil glacier lobe from its LGM position during a-800-year interval, a trend that continued until its disappearance-100 km upstream from L. Charquito,-800 years later. Our palynological data show an open landscape dominated by cold-tolerant shrubs and herbs between-17.3-12.9 ka, with increases in precipitation of SWW origin at-16.3 ka,-14.7 ka, between-8.7-7.6 ka, and after-6.8 ka. Warming at-12.9 ka initiated an abrupt afforestation trend that stalled during the early Holocene (-12-8.7 ka) owing to a precipitation decline and wildfires, and later resumed in response to invigorated SWW. We hypothesize that sparse Nothofagus tree populations inhabited the periphery of the Patagonian Ice Sheet (PIS) during the LGM and migrated toward the Andes contemporaneous with glacier recession as temperature rose during the Last Glacial Termination (T1). We posit that besides establishing topographic and climatic barriers for land biota, the PIS enabled the connectivity of cold-tolerant hygrophilous plant populations along a humid fringe adjacent to its land-based perimeter, despite the presumably dry conditions downwind from the eastern PIS margin. Our results suggest that southward shifts or expansion of the SWW toward or beyond Tierra del Fuego enhanced upwelling and ventilation of deep waters in the SO, northward shifts or weakening had the opposite effect. We observe that the time evolution of atmospheric CO2 concentrations, high-latitude air and sea-surface temperatures, and sea level during T1 fall short in explaining the timing and abruptness of the Bahia Inutil glacier lobe collapse, and quite possibly multiple other glacier lobes from the PIS.</t>
  </si>
  <si>
    <t>[Moreno, Patricio I.; Hernandez, Loreto] Univ Chile, Dept Ciencias Ecol, Santiago, Chile; [Moreno, Patricio I.; Lambert, Fabrice] Univ Chile, Ctr Climate &amp; Resilience Res, Santiago, Chile; [Lambert, Fabrice] Pontificia Univ Catolica Chile, Inst Geog, Santiago, Chile; [Villa-Martinez, Rodrigo P.] Univ Magallanes, Ctr Invest GAIA Antart, Punta Arenas, Chile; [Moreno, Patricio I.] Univ Chile, Dept Ciencias Ecol, Santiago, Chile</t>
  </si>
  <si>
    <t>Universidad de Chile; Universidad de Chile; Pontificia Universidad Catolica de Chile; Universidad de Magallanes; Universidad de Chile</t>
  </si>
  <si>
    <t>Moreno, PI (corresponding author), Univ Chile, Dept Ciencias Ecol, Santiago, Chile.</t>
  </si>
  <si>
    <t>pimoreno@uchile.cl</t>
  </si>
  <si>
    <t>Lambert, Fabrice/M-2003-2014; Moreno, Patricio/D-2317-2012; Villa, Rodrigo/F-5737-2014</t>
  </si>
  <si>
    <t>Lambert, Fabrice/0000-0002-2192-024X; Moreno, Patricio/0000-0002-1333-6238; Villa, Rodrigo/0000-0001-6041-4393</t>
  </si>
  <si>
    <t>Fondap [1191435, 15110009, 1231682, NC120066]; Fondecyt [1191435, 1231682]; ICM [NC120066]</t>
  </si>
  <si>
    <t>Fondap; Fondecyt(Comision Nacional de Investigacion Cientifica y Tecnologica (CONICYT)CONICYT FONDECYT); ICM</t>
  </si>
  <si>
    <t>We thank R. Soteres for drafting Figs. 1 and 10, L.A. Villacis for data analysis, J.P. Guerrero for field and laboratory assistance, C. Henriquez, V. Moraga and R. de Pol for support during field work. We acknowledge T. Guilderson, S. Collado, and R. de Pol for their contribution in the development of the radiocarbon chronology. This manuscript benefited from constructive comments and reviews from Vera Markgraf and Matt McGlone. Our study was funded by Fondap 15110009, Fondecyt grants 1191435, 1231682, and ICM grant NC120066.</t>
  </si>
  <si>
    <t>10.1016/j.quascirev.2023.108387</t>
  </si>
  <si>
    <t>Z6KU0</t>
  </si>
  <si>
    <t>WOS:001113153700001</t>
  </si>
  <si>
    <t>Huang, Z; Feng, M; Dalton, SJ; Carroll, AG</t>
  </si>
  <si>
    <t>Huang, Zhi; Feng, Ming; Dalton, Steven J.; Carroll, Andrew G.</t>
  </si>
  <si>
    <t>Marine heatwaves in the Great Barrier Reef and Coral Sea: their mechanisms and impacts on shallow and mesophotic coral ecosystems</t>
  </si>
  <si>
    <t>Marine heatwaves; Climate change; Coral bleaching; Mesophotic reef; GBR; Coral Sea</t>
  </si>
  <si>
    <t>AUSTRALIAN SUMMER MONSOON; NINO SOUTHERN-OSCILLATION; SURFACE TEMPERATURE; VARIABILITY; OCEAN; SHELF; CIRCULATION; SATELLITE; PATTERNS; ATLANTIC</t>
  </si>
  <si>
    <t>The Great Barrier Reef (GBR) World Heritage Area and adjacent Coral Sea Marine Park are under serious threat from global climate change. This study used Daily Optimally Interpolated Sea Surface Temperature (DOISST) data to identify major marine heatwaves (MHWs) that have occurred in this region over the last three decades (1992-2022). We then used Himawari-8 (H-8) SST data to map significant MHW events that occurred between 2015 and 2022. We investigated the mechanisms underlying the MHWs, assessed thier impact on shallow and mesophotic coral reef ecosystems and identified potential coral refugia. MHWs in this region have increased in frequency, intensity and spatial extent. El Nin similar to o, especially when it is in phase with positive Indian Ocean Dipole, was the key remote driver leading to intense MHWs. However, the more recent strong MHWs (e.g., 2017 and 2022) occurred in the abscence of these climatic events, signifying the impacts of long-term climate change and local drivers. We also found that reduced wind speed and shoaling mixed layer depth, often together with reduced cloudiness, were the main local drivers pre-conditioning these MHWs. Anomalous air-sea heat flux into the ocean, mainly controlled by shortwave solar radiation (cloudiness) and latent heat flux (wind), was the most constant contributor to the 2015-16 and 2019-20 MHW events. However, local oceanographic dynamics, especially horizontal advection and turbulent mixing, played important roles in MHW heat budgets. This study confirmed that shallow-water coral bleaching severity was positively related to the cumulative MHW intensity in the 2015-16 and 2019-20 MHW events. We identified shallow reefs along the path of the North Queensland Current as potential coral refugia from bleaching because of the cooler waters upwelled from the ocean current. We also found that, except during weather events such as tropical cyclones, mesophotic reefs in the Coral Sea Marine Park may be less susceptible to severe bleaching as the MHWs were more confined within the shallow mixed layer.</t>
  </si>
  <si>
    <t>[Huang, Zhi; Carroll, Andrew G.] Geosci Australia, Oceans Reefs Coasts &amp; Antarctic Branch, Canberra, ACT, Australia; [Feng, Ming] Indian Ocean Marine Res Ctr, CSIRO Environm, Crawley, WA, Australia; [Dalton, Steven J.] Fisheries &amp; Aquaculture Management, Dept Reg NSW, Grong Grong, NSW, Australia; [Huang, Zhi] Geosci Australia, Oceans Reefs Coasts &amp; Antarctic Branch, GPO Box 378, Canberra 2601, Australia</t>
  </si>
  <si>
    <t>Geoscience Australia; University of Western Australia</t>
  </si>
  <si>
    <t>Huang, Z (corresponding author), Geosci Australia, Oceans Reefs Coasts &amp; Antarctic Branch, GPO Box 378, Canberra 2601, Australia.</t>
  </si>
  <si>
    <t>Zhi.Huang@ga.gov.au</t>
  </si>
  <si>
    <t>IMOS</t>
  </si>
  <si>
    <t>We would like to acknowledge the many publicly available datasets used in this study. These included DOISST (NASA), Himawari-8 SST (JAXA), SSTAARS (Integrated Marine Observing System (IMOS)), BRAN2020 (CSIRO/National Computational Infrastructure in the Australian National University), eReefs (CSIRO), ERA5 (Copernicus Climate Change Service) and GBR coral bleaching data (James Cook University). The Conductivity Temperature Depth (CTD) and Autonomous Underwater Vehicle (AUV) data were collected during a Geo-science Australia led marine survey of the seamounts, reefs and canyons of the Great Barrier Reef and Coral Sea Marine Parks (survey FK200802). We would like to thank the Schmidt Ocean Institute and the crew of R/V Falkor, and the chief and principal scientists of the survey. IMOS and the staff of the Australian Centre for Field Robotics (University of Sydney) are thanked for delivering the successful deployment of the IMOS AUV Sirius, and the usual outstanding pipeline of post-survey image processing for delivery to the Australian Ocean Data Network (AODN) and Squidle+ (Greybits Engineering) portals. The AUV facility is supported by IMOS which is enabled by the National Collaborative Research Infrastructure Strategy (NCRIS). It is operated by a consortium of institutions as an unincorporated joint venture, with the University of Tasmania as Lead Agent. We thanks Dr. Tom Bridge (James Cook University and Senior Curator of Corals at the Queensland Museum) for assistance with mesophotic coral identifications. Finally, we'd like to acknowledge the support provided by the Director of National Parks, particularly Cath Samson from Parks Australia. The valuable comments from Dr. Brendan Brooke and Dr. Scott Nichol of Geoscience Australia are appreciated. We would like to thank anonymous reviewers for their constructive comments that have significantly improved this manuscript. This paper is published with the permission of the CEO, Geo-science Australia.</t>
  </si>
  <si>
    <t>10.1016/j.scitotenv.2023.168063</t>
  </si>
  <si>
    <t>Z6KN7</t>
  </si>
  <si>
    <t>WOS:001113147400001</t>
  </si>
  <si>
    <t>Nardelli, AE; Visch, W; Farrington, G; Sanderson, JC; Bellgrove, A; Wright, JT; Macleod, C; Hurd, CL</t>
  </si>
  <si>
    <t>Nardelli, Allyson E.; Visch, Wouter; Farrington, Glenn; Sanderson, J. Craig; Bellgrove, Alecia; Wright, Jeffrey T.; Macleod, Catriona; Hurd, Catriona L.</t>
  </si>
  <si>
    <t>Primary production of the kelp Lessonia corrugata varies with season and water motion: Implications for coastal carbon cycling</t>
  </si>
  <si>
    <t>JOURNAL OF PHYCOLOGY</t>
  </si>
  <si>
    <t>erosion; growth; hydrodynamics; kelp; productivity; standing stock</t>
  </si>
  <si>
    <t>HYPERBOREA GUNN FOSL; SACCHARINA-LATISSIMA; ECKLONIA-RADIATA; NITROGEN UPTAKE; NUTRIENT-UPTAKE; NORTHERN CHILE; GROWTH-RATE; LAMINARIALES; MACROCYSTIS; PHAEOPHYTA</t>
  </si>
  <si>
    <t>Kelp forests provide vital ecosystem services such as carbon storage and cycling, and understanding primary production dynamics regarding seasonal and spatial variations is essential. We conducted surveys at three sites in southeast Tasmania, Australia, that had different levels of water motion, across four seasons to determine seasonal primary production and carbon storage as living biomass for kelp beds of Lessonia corrugata (Order Laminariales). We quantified blade growth, erosion rates, and the variation in population density and estimated both the net biomass accumulation (NBA) per square meter and the carbon standing stock. We observed a significant difference in blade growth and erosion rates between seasons and sites. Spring had the highest growth rate (0.02 g C blade(-1) d(-1) ) and NBA (1.62 g C m(-2) d(-1) ), while summer had the highest blade erosion (0.01 g C blade(-1) d(-1) ), with a negative NBA (-1.18 g C m(-2) d(-1) ). Sites exhibiting lower blade erosion rates demonstrated notably greater NBA than sites with elevated erosion rates. The sites with the highest water motion had the slowest erosion rates. Moreover, the most wave-exposed site had the densest populations, resulting in the highest NBA and a greater standing stock. Our results reveal a strong seasonal and water motion influence on carbon dynamics in L. corrugata populations. This knowledge is important for understanding the dynamics of the carbon cycle in coastal regions.</t>
  </si>
  <si>
    <t>[Nardelli, Allyson E.; Visch, Wouter; Farrington, Glenn; Wright, Jeffrey T.; Macleod, Catriona; Hurd, Catriona L.] Inst Marine &amp; Antarctic Studies IMAS, 20 Castray Esplanade, Hobart, Tas 7004, Australia; [Sanderson, J. Craig] Tassal Pty Ltd, Hobart, Tas, Australia; [Bellgrove, Alecia] Deakin Univ, Deakin Marine Res &amp; Innovat Ctr, Sch Life &amp; Environm Sci, Warrnambool, Vic, Australia</t>
  </si>
  <si>
    <t>University of Tasmania; Deakin University</t>
  </si>
  <si>
    <t>Nardelli, AE (corresponding author), Inst Marine &amp; Antarctic Studies IMAS, 20 Castray Esplanade, Hobart, Tas 7004, Australia.</t>
  </si>
  <si>
    <t>allyson.nardelli@utas.edu.au</t>
  </si>
  <si>
    <t>MacLeod, Catriona K/J-7176-2014; Wright, Jeffrey/J-7536-2014</t>
  </si>
  <si>
    <t>Wright, Jeffrey/0000-0002-1085-4582; Nardelli, Allyson/0000-0002-2670-2022; Visch, Wouter/0000-0003-4291-6239</t>
  </si>
  <si>
    <t>The authors would like to thank Paul Armstrong and Robert Kilpatrick for providing fieldwork support. We would also like to thank the project partners at Tassal and Spring Bay Seafoods for their support. Open access publishing facilitated by University of; Tassal and Spring Bay Seafoods; Wiley - University of Tasmania agreement via the Council of Australian University Librarians</t>
  </si>
  <si>
    <t>The authors would like to thank Paul Armstrong and Robert Kilpatrick for providing fieldwork support. We would also like to thank the project partners at Tassal and Spring Bay Seafoods for their support. Open access publishing facilitated by University of Tasmania, as part of the Wiley - University of Tasmania agreement via the Council of Australian University Librarians.</t>
  </si>
  <si>
    <t>0022-3646</t>
  </si>
  <si>
    <t>1529-8817</t>
  </si>
  <si>
    <t>J PHYCOL</t>
  </si>
  <si>
    <t>J. Phycol.</t>
  </si>
  <si>
    <t>10.1111/jpy.13408</t>
  </si>
  <si>
    <t>IC9E7</t>
  </si>
  <si>
    <t>WOS:001105087700001</t>
  </si>
  <si>
    <t>Choi, S; Kim, H; Shin, SA; Kim, M; Moon, SY; Kim, M; Lee, S; Lee, JH; Park, HH; Youn, UJ; Lee, CS</t>
  </si>
  <si>
    <t>Choi, Seyeon; Kim, Huiji; Shin, Seong-Ah; Kim, Moonsu; Moon, Sun Young; Kim, Minji; Lee, Seulah; Lee, Jun Hyuck; Park, Hyun Ho; Youn, Ui Joung; Lee, Chang Sup</t>
  </si>
  <si>
    <t>DB3 from Antarctic lichen inhibits the growth of B16F10 melanoma cells in vitro and in vivo</t>
  </si>
  <si>
    <t>APPLIED BIOLOGICAL CHEMISTRY</t>
  </si>
  <si>
    <t>Anti-cancer; DB3; Proliferation; Migration; Invasion</t>
  </si>
  <si>
    <t>CANCER; PATHWAY; MECHANISMS; APOPTOSIS; MIGRATION; JNK</t>
  </si>
  <si>
    <t>Malignant melanoma is a fatal disease with an increasing global incidence. Despite numerous studies focused on anti-cancer drugs, a variety of side effects of cancer treatment remain challenging. Thus, there is a pressing need to identify novel anti-cancer agents with minimal cytotoxicity and side effects. DB3 (1,3,7,9-tetrahydroxy-2,8-dimethyl-4,6-di[ethanoyl]dibenzofuran) is a member of the dibenzofuran family and is extracted from Ramalina terebrata (Antarctic lichen). We investigated if DB3 exerted an antitumor effect on B16F10 melanoma cells. The results revealed that DB3 exerted time- and dose-dependent reduction of cell viability by inducing apoptosis and significantly suppressing cell proliferation through cell cycle arrest in the G0/G1 phase in B16F10 melanoma cells. Additionally, DB3 impeded the migration and invasiveness of B16F10 cells. Subsequently, we observed that DB3 decreased the expression levels of Cdk4/Cyclin D1 and the phosphorylation of p38, JNK, ERK, and AKT. Furthermore, DB3 decreased melanoma tumor growth in a mouse tumor syngraft model. Based on these findings, we propose that DB3 possesses potential for use as an anti-cancer agent for melanoma treatment.</t>
  </si>
  <si>
    <t>[Choi, Seyeon; Kim, Huiji; Shin, Seong-Ah; Kim, Moonsu; Moon, Sun Young; Kim, Minji; Lee, Chang Sup] Gyeongsang Natl Univ, Coll Pharm &amp; Res Inst Pharmaceut Sci, Jinju 52828, South Korea; [Lee, Seulah] Kyung Hee Univ, Coll Life Sci, Dept Oriental Med Biotechnol, Yongin 17104, South Korea; [Lee, Jun Hyuck; Youn, Ui Joung] Univ Sci &amp; Technol, Dept Polar Sci, Incheon 21990, South Korea; [Lee, Jun Hyuck] Korea Polar Res Inst, Res Unit Cryogen Novel Mat, Incheon 21990, South Korea; [Park, Hyun Ho] Chung Ang Univ, Coll Pharm, Seoul 06974, South Korea; [Youn, Ui Joung] Korea Polar Res Inst, Div Life Sci, Incheon 21990, South Korea</t>
  </si>
  <si>
    <t>Gyeongsang National University; Kyung Hee University; Korea Polar Research Institute (KOPRI); Chung Ang University; Korea Polar Research Institute (KOPRI)</t>
  </si>
  <si>
    <t>Lee, CS (corresponding author), Gyeongsang Natl Univ, Coll Pharm &amp; Res Inst Pharmaceut Sci, Jinju 52828, South Korea.;Youn, UJ (corresponding author), Univ Sci &amp; Technol, Dept Polar Sci, Incheon 21990, South Korea.;Youn, UJ (corresponding author), Korea Polar Res Inst, Div Life Sci, Incheon 21990, South Korea.</t>
  </si>
  <si>
    <t>ujyoun@kopri.re.kr; changsup@gnu.ac.kr</t>
  </si>
  <si>
    <t>Not applicable</t>
  </si>
  <si>
    <t>SPRINGER SINGAPORE PTE LTD</t>
  </si>
  <si>
    <t>SINGAPORE</t>
  </si>
  <si>
    <t>152 Beach Road, #21-01 Gateway East, SINGAPORE, SINGAPORE</t>
  </si>
  <si>
    <t>2468-0834</t>
  </si>
  <si>
    <t>2468-0842</t>
  </si>
  <si>
    <t>APPL BIOL CHEM</t>
  </si>
  <si>
    <t>Appl. Biol. Chem.</t>
  </si>
  <si>
    <t>10.1186/s13765-023-00835-w</t>
  </si>
  <si>
    <t>X9SN3</t>
  </si>
  <si>
    <t>WOS:001101766600001</t>
  </si>
  <si>
    <t>Schmidt, AE; Lescroël, A; Lisovski, S; Elrod, M; Jongsomjit, D; Dugger, KM; Ballard, G</t>
  </si>
  <si>
    <t>Schmidt, Annie E.; Lescroel, Amelie; Lisovski, Simeon; Elrod, Megan; Jongsomjit, Dennis; Dugger, Katie M.; Ballard, Grant</t>
  </si>
  <si>
    <t>Sea ice concentration decline in an important Adélie penguin molt area</t>
  </si>
  <si>
    <t>climate change; Ross Sea; geolocation; Pygoscelis adeliae; Antarctica</t>
  </si>
  <si>
    <t>ADELIE PENGUINS; REPRODUCTIVE SUCCESS; EUDYPTULA-MINOR; PHILLIP-ISLAND; CLIMATE-CHANGE; SURVIVAL; VARIABILITY; POPULATIONS; DISPERSAL; MOVEMENTS</t>
  </si>
  <si>
    <t>Unlike in many polar regions, the spatial extent and duration of the sea ice season have increased in the Ross Sea sector of the Southern Ocean during the satellite era. Simultaneously, populations of Adelie penguins, a sea ice obligate, have been stable or increasing in the region. Relationships between Adelie penguin population growth and sea ice concentration (SIC) are complex, with sea ice driving different, sometimes contrasting, demographic patterns. Adelie penguins undergo a complete molt annually, replacing all their feathers while fasting shortly after the breeding season. Unlike most penguin species, a majority of Adelies are thought to molt on sea ice, away from the breeding colonies, which makes this period particularly difficult to study. Here, we evaluate the hypothesis that persistent areas of high SIC provide an important molting habitat for Adelie penguins. We analyzed data from geolocating dive recorders deployed year-round on 195 adult penguins at two colonies in the Ross Sea from 2017 to 2019. We identified molt by detecting extended gaps in postbreeding diving activity and used associated locations to define two key molting areas. Remotely sensed data indicated that SIC during molt was anomalously low during the study and has declined in the primary molt area since 1980. Further, annual return rates of penguins to breeding colonies were positively correlated with SIC in the molt areas over 20 y. Together these results suggest that sea ice conditions during Adelie penguin molt may represent a previously underappreciated annual bottleneck for adult survival.</t>
  </si>
  <si>
    <t>[Schmidt, Annie E.; Lescroel, Amelie; Elrod, Megan; Jongsomjit, Dennis; Ballard, Grant] Point Blue Conservat Sci, Petaluma, CA 94954 USA; [Lisovski, Simeon] Alfred Wegener Inst, Helmholtz Ctr Polar &amp; Marine Res, Polar Terr Environm Syst, D-14473 Potsdam, Germany; [Dugger, Katie M.] US Geol Survey, Oregon Cooperat Fish &amp; Wildlife Res Unit, Corvallis, OR 97331 USA</t>
  </si>
  <si>
    <t>Helmholtz Association; Alfred Wegener Institute, Helmholtz Centre for Polar &amp; Marine Research; United States Department of the Interior; United States Geological Survey</t>
  </si>
  <si>
    <t>Schmidt, AE (corresponding author), Point Blue Conservat Sci, Petaluma, CA 94954 USA.</t>
  </si>
  <si>
    <t>aschmidt@pointblue.org</t>
  </si>
  <si>
    <t>Schmidt, Annie/0000-0001-6144-9950; Dugger, Katie/0000-0002-4148-246X</t>
  </si>
  <si>
    <t>NSF Office of Polar Programs [1543498, 1543541, 1543459, 1935870, 1935901]; NASA [80NSSC19K0189]; Geo.X, the Research Network for Geosciences in Berlin and Potsdam</t>
  </si>
  <si>
    <t>NSF Office of Polar Programs(National Science Foundation (NSF)); NASA(National Aeronautics &amp; Space Administration (NASA)); Geo.X, the Research Network for Geosciences in Berlin and Potsdam</t>
  </si>
  <si>
    <t>We thank the many field scientists that helped collect the band resight data over 20 y. Thanks especially to Jean Pennycook, Kaitlyn Stoner, Suzanne Winquist, Parker Levinson, and Virginia Morandini for their help deploying and retrieving the GDRs during this study. Funding for A.E.S., A.L., M.E., D.J., K.M.D., and G.B. provided by NSF Office of Polar Programs Awards 1543498, 1543541, 1543459, 1935870, 1935901, and NASA award 80NSSC19K0189. S.L. funded by Geo.X, the Research Network for Geosciences in Berlin and Potsdam. Logistics support for field data collection was provided by the US Antarctic Program. We also thank two anonymous reviewers and Rachel Orben for their thoughtful comments. Any use of trade, firm, or product names is for descriptive purposes only and does not imply endorsement by the US Government. This is Point Blue Conservation Science Contribution 2465.</t>
  </si>
  <si>
    <t>NOV 14</t>
  </si>
  <si>
    <t>e2306840120</t>
  </si>
  <si>
    <t>10.1073/pnas.2306840120</t>
  </si>
  <si>
    <t>GZ1R3</t>
  </si>
  <si>
    <t>WOS:001156414900005</t>
  </si>
  <si>
    <t>Chipade, RA; Pandya, MR</t>
  </si>
  <si>
    <t>Chipade, Radhika A.; Pandya, Mehul R.</t>
  </si>
  <si>
    <t>Theoretical derivation of aerosol lidar ratio using Mie theory for CALIOP-CALIPSO and OPAC aerosol models</t>
  </si>
  <si>
    <t>ATMOSPHERIC MEASUREMENT TECHNIQUES</t>
  </si>
  <si>
    <t>TO-BACKSCATTER RATIO; OPTICAL-PROPERTIES; TROPOSPHERIC AEROSOL; 532 NM; EXTINCTION; PROFILES</t>
  </si>
  <si>
    <t>The extinction-to-backscattering ratio, popularly known as lidar (light detection and ranging) ratio of atmospheric aerosols is an important optical property, which is essential to retrieve the extinction profiles of atmospheric aerosols. Lidar satellite observations can provide the global coverage of atmospheric aerosols along with their vertical extent. NASA's Cloud-Aerosol LIdar with Orthogonal Polarization (CALIOP) on board the Cloud-Aerosol Lidar and Infrared Pathfinder Satellite Observation (CALIPSO) satellite is the only space-based platform available, so far, that provides the vertical profiles of extinction due to atmospheric aerosols. A physics-based theoretical approach is presented in the present paper that estimates lidar ratio values for CALIPSO aerosol models, which can be used as inputs to determine the extinction profiles of aerosols using CALIPSO data. The developed methodology was also qualified by comparing it with the lidar ratio values derived using AERONET (AErosol RObotic NETwork) datasets. Lidar ratio values for CALIPSO aerosol models were estimated in the range of 38.72 to 85.98 sr at 532 nm, whereas at 1064 nm lidar ratio varied between 20.11 to 71.11 sr depending upon the aerosol type and their size distributions.Aerosols are compositions of various particles; thus, the presence of water vapour in the atmosphere can affect the optical properties of the aerosols. Thus, the effect of relative humidity on lidar ratio was studied using Optical Properties of Aerosols and Clouds (OPAC) aerosol models, which are the standard aerosol models against the cluster-classified AERONET and CALIPSO aerosol models. Water-soluble particles contribute substantially in clean continental, clean marine, tropical marine and desert aerosol models and are hygroscopic in nature. Hygroscopic sulfate particles dominate the Antarctic aerosols during summertime. In the presence of relative humidity between 0 %-80 %, the lidar ratio values were observed to decrease from 53.59 to 47.13, from 53.66 to 47.15, from 53.70 to 47.16, and from 55.32 to 48.78 sr at 532 nm for clean continental, clean marine, tropical marine, and desert aerosols, respectively, whereas lidar ratio gradually increased from 47.13 to 51, from 47.15 to 51, from 47.16 to 51, and from 48.78 to 51.68 sr, respectively, for these aerosol models when relative humidity was between 80 %-99 %, due to constituent hygroscopic particles. In the case of Antarctic aerosols, the lidar ratio was observed to increase from 57.73 to 97.64 sr due to hygroscopic sulfate particles that backscattered heavily in the presence of water vapour at 532 nm. The soot particles dominate the polluted continental and polluted marine particles, causing an increase in lidar ratio over its corresponding clean counterpart. Similar results were observed at 1064 nm for OPAC aerosol models.</t>
  </si>
  <si>
    <t>[Chipade, Radhika A.; Pandya, Mehul R.] ISRO, Space Applicat Ctr, Ahmadabad 380015, Gujarat, India</t>
  </si>
  <si>
    <t>Department of Space (DoS), Government of India; Indian Space Research Organisation (ISRO); Space Applications Centre (SAC)</t>
  </si>
  <si>
    <t>Chipade, RA (corresponding author), ISRO, Space Applicat Ctr, Ahmadabad 380015, Gujarat, India.</t>
  </si>
  <si>
    <t>radhikachipade@gmail.com</t>
  </si>
  <si>
    <t>ISRO; ISRO's TDP/RD programme</t>
  </si>
  <si>
    <t>The authors are thankful to Nilesh M. Desai, Director Space Applications Centre (SAC), ISRO; Rashmi Sharma, DD-EPSA/SAC; and Bimal K. Bhattacharya, GD-AESG/EPSA/SAC for their support and encouragement to carry out this work. The authors are thankful to all those who directly and indirectly supported the realization of this activity. This research is carried out under SAC, ISRO's TDP/R&amp;D programme.</t>
  </si>
  <si>
    <t>1867-1381</t>
  </si>
  <si>
    <t>1867-8548</t>
  </si>
  <si>
    <t>ATMOS MEAS TECH</t>
  </si>
  <si>
    <t>Atmos. Meas. Tech.</t>
  </si>
  <si>
    <t>10.5194/amt-16-5443-2023</t>
  </si>
  <si>
    <t>IV0U8</t>
  </si>
  <si>
    <t>WOS:001169002600001</t>
  </si>
  <si>
    <t>Grimm, V</t>
  </si>
  <si>
    <t>Grimm, Volker</t>
  </si>
  <si>
    <t>Ecology needs to overcome siloed modelling</t>
  </si>
  <si>
    <t>TRENDS IN ECOLOGY &amp; EVOLUTION</t>
  </si>
  <si>
    <t>Bahlburg et al. re-implemented eight growth models of Antarctic krill and showed that their predictions are all over the place. The authors discuss the reasons for this and how more coherence in modelling could be achieved through systematic model comparison and integration. For this, we need a common language.</t>
  </si>
  <si>
    <t>[Grimm, Volker] UFZ Helmholtz Ctr Environm Res, Dept Ecol Modelling, Permoserstr 15, D-04318 Leipzig, Germany; [Grimm, Volker] Univ Potsdam, Dept Plant Ecol &amp; Nat Conservat, Muhlenberg 3, D-14476 Potsdam, Germany; [Grimm, Volker] German Ctr Integrat Biodivers Res iDiv, Halle Jena Leipzig Puschstr 4, D-04103 Leipzig, Germany</t>
  </si>
  <si>
    <t>Helmholtz Association; Helmholtz Center for Environmental Research (UFZ); University of Potsdam</t>
  </si>
  <si>
    <t>Grimm, V (corresponding author), UFZ Helmholtz Ctr Environm Res, Dept Ecol Modelling, Permoserstr 15, D-04318 Leipzig, Germany.;Grimm, V (corresponding author), Univ Potsdam, Dept Plant Ecol &amp; Nat Conservat, Muhlenberg 3, D-14476 Potsdam, Germany.;Grimm, V (corresponding author), German Ctr Integrat Biodivers Res iDiv, Halle Jena Leipzig Puschstr 4, D-04103 Leipzig, Germany.</t>
  </si>
  <si>
    <t>volker.grimm@ufz.de</t>
  </si>
  <si>
    <t>Grimm, Volker/0000-0002-3221-9512</t>
  </si>
  <si>
    <t>CELL PRESS</t>
  </si>
  <si>
    <t>50 HAMPSHIRE ST, FLOOR 5, CAMBRIDGE, MA 02139 USA</t>
  </si>
  <si>
    <t>0169-5347</t>
  </si>
  <si>
    <t>1872-8383</t>
  </si>
  <si>
    <t>TRENDS ECOL EVOL</t>
  </si>
  <si>
    <t>Trends Ecol. Evol.</t>
  </si>
  <si>
    <t>10.1016/j.tree.2023.09.011</t>
  </si>
  <si>
    <t>Ecology; Evolutionary Biology; Genetics &amp; Heredity</t>
  </si>
  <si>
    <t>Environmental Sciences &amp; Ecology; Evolutionary Biology; Genetics &amp; Heredity</t>
  </si>
  <si>
    <t>AM0N5</t>
  </si>
  <si>
    <t>WOS:001118765400001</t>
  </si>
  <si>
    <t>Liao, YZ; Miao, X; Wang, R; Zhang, R; Li, H; Lin, LS</t>
  </si>
  <si>
    <t>Liao, Yuzhuo; Miao, Xing; Wang, Rui; Zhang, Ran; Li, Hai; Lin, Longshan</t>
  </si>
  <si>
    <t>First pelagic fish biodiversity assessment of Cosmonaut Sea based on environmental DNA</t>
  </si>
  <si>
    <t>Climate change; Southern Ocean; Cosmonaut Sea; Fish biodiversity; eDNA metabarcoding</t>
  </si>
  <si>
    <t>WEDDELL SEA; ICE; COMMUNITIES; ASSEMBLAGES; ABUNDANCE; IMPACT; REGION</t>
  </si>
  <si>
    <t>The Cosmonaut Sea is a typical marginal sea in East Antarctica that has not yet been greatly impacted by climate change. As one of the least explored areas in the Southern Ocean, our knowledge regarding its fish taxonomy and diversity has been sparse. eDNA metabarcoding, as an emerging and promising tool for marine biodiversity research and monitoring, has been widely used across taxa and habitats. During the 38th Chinese Antarctic Research Expedition (CHINARE-38), we collected seawater and surface sediment samples from 38 stations in the Cosmonaut Sea and performed the first, to our knowledge, eDNA analysis of fish biodiversity in the Southern Ocean based on the molecular markers of 12S rRNA and 16S rRNA. There were 48 fish species detected by the two markers in total, with 30 and 34 species detected by the 12S rRNA and 16S rRNA marker, respectively. This was more than the trawling results (19 species) and historical survey records (16 species, BROKE-West cruise). With some nonsignificant differences between the Gunnerus Ridge and the Oceanic Area of Enderby Land, the Cosmonaut Sea had a richer fish biodiversity in this research compared with previous studies, and its overall composition and distribution patterns were consistent with what we know in East Antarctica. We also found that the eDNA composition of fish in the Cosmonaut Sea might be related to some environmental factors. Our study demonstrated that the use of the eDNA technique for Antarctic fish biodiversity research is likely to yield more information with less sampling effort than traditional methods. In the context of climate change, the eDNA approach will provide a novel and powerful tool that is complementary to traditional methods for polar ecology research.</t>
  </si>
  <si>
    <t>[Liao, Yuzhuo; Miao, Xing; Wang, Rui; Zhang, Ran; Li, Hai; Lin, Longshan] Minist Nat Resources, Inst Oceanog 3, Lab Marine Biodivers Res, Xiamen 361005, Peoples R China; [Liao, Yuzhuo] Xiamen Univ, Coll Ocean &amp; Earth Sci, Xiamen 361102, Peoples R China</t>
  </si>
  <si>
    <t>Ministry of Natural Resources of the People's Republic of China; Third Institute of Oceanography, Ministry of Natural Resources; Xiamen University</t>
  </si>
  <si>
    <t>Li, H; Lin, LS (corresponding author), Minist Nat Resources, Inst Oceanog 3, Lab Marine Biodivers Res, Xiamen 361005, Peoples R China.</t>
  </si>
  <si>
    <t>lihai@tio.org.cn; linlsh@tio.org.cn</t>
  </si>
  <si>
    <t>Zhang, Ran/HNR-0450-2023</t>
  </si>
  <si>
    <t>Zhang, Ran/0000-0002-7566-2258; Li, Hai/0009-0007-7008-4165; Liao, Yuzhuo/0009-0004-7278-5123</t>
  </si>
  <si>
    <t>Impact and Response of Antarctic Seas to Climate Change program [IRASCC01-02-03B]; National Natural Science Foundation of China [41806217]; Chinese Arctic and Antarctic Administration, Ministry of Natural Resources of the People's Republic of China</t>
  </si>
  <si>
    <t>Impact and Response of Antarctic Seas to Climate Change program; National Natural Science Foundation of China(National Natural Science Foundation of China (NSFC)); Chinese Arctic and Antarctic Administration, Ministry of Natural Resources of the People's Republic of China</t>
  </si>
  <si>
    <t>This work was funded by Impact and Response of Antarctic Seas to Climate Change program (IRASCC01-02-03B) , National Natural Science Foundation of China (41806217) , Chinese Arctic and Antarctic Administration, Ministry of Natural Resources of the People's Republic of China. We would like to thank Dr. Jianfeng Mou and other anony- mous volunteers for assistance with sample collection, and thank Dr. Kun Liu for cartographic drawing. We would also like to thank Dr. Jun Zhao from Second Institute of Oceanography, Ministry of Oceanography for kindly providing marine environmental data collected during CHINARE-38 cruise.</t>
  </si>
  <si>
    <t>10.1016/j.marenvres.2023.106225</t>
  </si>
  <si>
    <t>Z6IK1</t>
  </si>
  <si>
    <t>WOS:001113091800001</t>
  </si>
  <si>
    <t>Wethington, M; Gonçalves, BC; Talis, E; Sen, B; Lynch, HJ</t>
  </si>
  <si>
    <t>Wethington, Michael; Goncalves, Bento C.; Talis, Emma; Sen, Bilgecan; Lynch, Heather J.</t>
  </si>
  <si>
    <t>Species classification of Antarctic pack-ice seals using very high-resolution imagery</t>
  </si>
  <si>
    <t>Antarctic pack-ice seals; Random Forest; Ripley's K; spatial ecology; species identification; very high-resolution imagery</t>
  </si>
  <si>
    <t>ENVIRONMENTAL-CHANGE; POPULATION; ABUNDANCE; CENSUS; RATES; DIET</t>
  </si>
  <si>
    <t>We introduce a semiautomated machine learning method that employs high-resolution imagery for the species-level classification of Antarctic pack-ice seals. By incorporating the spatial distribution of hauled-out seals on ice into our analytical framework, we significantly enhance the accuracy of species identification. Employing a Random Forest model, we achieved 97.4% accuracy for crabeater seals and 98.0% for Weddell seals. To further refine our classification, we included three linearity measures: mean distance to a group's regression line, straightness index, and sinuosity index. Additional variables, such as the number of neighboring seals within a 250 m radius and distance of individual seals to the sea ice edge, also contributed to improved accuracy. Our study marks a significant advancement in the development of a cost-effective, unified Antarctic seal monitoring system, enhancing our understanding of seal spatial behavior and enabling more effective population tracking amid environmental changes.</t>
  </si>
  <si>
    <t>[Wethington, Michael; Goncalves, Bento C.; Sen, Bilgecan; Lynch, Heather J.] SUNY Stony Brook, Dept Ecol &amp; Evolut, Stony Brook, NY USA; [Talis, Emma] SUNY Stony Brook, Inst Adv Computat Sci, Stony Brook, NY USA; [Talis, Emma; Sen, Bilgecan; Lynch, Heather J.] SUNY Stony Brook, Dept Appl Math &amp; Stat, Stony Brook, NY USA; [Wethington, Michael] SUNY Stony Brook, Dept Ecol &amp; Evolut, 100 Nicolls Rd, Stony Brook, NY 11794 USA</t>
  </si>
  <si>
    <t>State University of New York (SUNY) System; State University of New York (SUNY) Stony Brook; State University of New York (SUNY) System; State University of New York (SUNY) Stony Brook; State University of New York (SUNY) System; State University of New York (SUNY) Stony Brook; State University of New York (SUNY) System; State University of New York (SUNY) Stony Brook</t>
  </si>
  <si>
    <t>Wethington, M (corresponding author), SUNY Stony Brook, Dept Ecol &amp; Evolut, 100 Nicolls Rd, Stony Brook, NY 11794 USA.</t>
  </si>
  <si>
    <t>wethington.michael@stonybrook.edu</t>
  </si>
  <si>
    <t>Wethington, Michael/0000-0002-3668-4083</t>
  </si>
  <si>
    <t>This research was funded by the U.S. National Aeronautics and Space Administration (Award 20-CSDA20-0020). Geospatial support for this work was provided by the Polar Geospatial Center (National Science Foundation Award 1740595). We kindly acknowledge the s [20-CSDA20-0020, 1740595]; U.S. National Aeronautics and Space Administration</t>
  </si>
  <si>
    <t>This research was funded by the U.S. National Aeronautics and Space Administration (Award 20-CSDA20-0020). Geospatial support for this work was provided by the Polar Geospatial Center (National Science Foundation Award 1740595). We kindly acknowledge the s; U.S. National Aeronautics and Space Administration(National Aeronautics &amp; Space Administration (NASA))</t>
  </si>
  <si>
    <t>This research was funded by the U.S. National Aeronautics and Space Administration (Award 20-CSDA20-0020). Geospatial support for this work was provided by the Polar Geospatial Center (National Science Foundation Award 1740595). We kindly acknowledge the support and computational resources provided by the Stony Brook University Institute for Advanced Computational Sciences.</t>
  </si>
  <si>
    <t>10.1111/mms.13088</t>
  </si>
  <si>
    <t>WOS:001103965400001</t>
  </si>
  <si>
    <t>Harvey, TA; MaCarthur, JL; Joy, KH; Sykes, D; Almeida, NV; Jones, RH</t>
  </si>
  <si>
    <t>Harvey, T. A.; MaCarthur, J. L.; Joy, K. H.; Sykes, D.; Almeida, N. V.; Jones, R. H.</t>
  </si>
  <si>
    <t>Nondestructive determination of the physical properties of Antarctic meteorites: Importance for the meteorite-parent body connection</t>
  </si>
  <si>
    <t>RAY COMPUTED-TOMOGRAPHY; MAGNETIC-SUSCEPTIBILITY; STONY METEORITES; BULK-DENSITY; HYPERVELOCITY COLLISIONS; ATACAMA DESERT; POROSITY; CHONDRITES; CLASSIFICATION; CM</t>
  </si>
  <si>
    <t>Photogrammetry is a low-cost, nondestructive approach for producing 3-D models of meteorites for the purpose of determining sample bulk density. Coupled with the use of a nondestructive magnetic susceptibility/electrical conductivity field probe, we present measurements for the interrogation of several physical properties, on a set of Antarctic meteorites. Photogrammetry is an effective technique over a range of sample sizes, with meteorite bulk density results that are closely comparable with literature values, determined using Archimedean glass bead or laser scanning techniques. The technique is completely noncontaminating and suitable for the analysis of rare or fragile samples, although there are limitations for analyzing reflective samples. It is also flexible, and, with variations in equipment setup, may be appropriate for samples of a wide range of sizes. X-ray computed tomography analyses of the same meteorite samples yielded slightly different bulk density results, predominantly for samples below 10 g, although the reason for this is unclear. Such analyses are expensive and potentially damaging to certain features of the sample (e.g., organic compounds), but may be useful in expanding the measurements to accommodate an understanding of internal voids within the sample, lending itself to measurement of grain density. Measurements of bulk density are valuable for comparisons with estimates of the bulk densities of asteroids that are suggested as meteorite parent bodies.</t>
  </si>
  <si>
    <t>[Harvey, T. A.; MaCarthur, J. L.; Joy, K. H.; Jones, R. H.] Univ Manchester, Dept Earth &amp; Environm Sci, Manchester M13 9PL, England; [Sykes, D.] Univ Manchester, Royce Inst, Sch Mat, Henry Moseley X Ray Imaging Facil, Manchester, England; [Sykes, D.] Max Planck Inst Intelligent Syst, Phys Intelligence Dept, Stuttgart, Germany; [Almeida, N. V.] Nat Hist Museum, Planetary Mat Grp, London, England</t>
  </si>
  <si>
    <t>University of Manchester; University of Manchester; Max Planck Society; Natural History Museum London</t>
  </si>
  <si>
    <t>Harvey, TA (corresponding author), Univ Manchester, Dept Earth &amp; Environm Sci, Manchester M13 9PL, England.</t>
  </si>
  <si>
    <t>tomharveymet@outlook.com</t>
  </si>
  <si>
    <t>Harvey, Thomas/0000-0002-8649-2936; Jones, Rhian/0000-0001-8238-9379; MacArthur, Jane/0000-0002-9966-5066; Almeida, Natasha Vasiliki/0000-0003-4871-8225; Joy, Katherine/0000-0003-4992-8750</t>
  </si>
  <si>
    <t>Science and Technology Facilities Council studentship [URF\R\201009, RF\ERE\210158]; STFC [ST/V000675/1]; UoM Faculty of Science and Engineering; Leverhulme Trust [RPG-2016-349]; STFC [ST/V000675/1, ST/R000751/1] Funding Source: UKRI</t>
  </si>
  <si>
    <t>Science and Technology Facilities Council studentship; STFC(UK Research &amp; Innovation (UKRI)Science &amp; Technology Facilities Council (STFC)); UoM Faculty of Science and Engineering; Leverhulme Trust(Leverhulme Trust); STFC(UK Research &amp; Innovation (UKRI)Science &amp; Technology Facilities Council (STFC))</t>
  </si>
  <si>
    <t>This work was supported by a Science and Technology Facilities Council studentship to T. A. Harvey, Royal Society funding (URF\R\201009 and RF\ERE\210158) to K. H. Joy, STFC funding to K. H. Joy and R. H. Jones (ST/V000675/1), and internal UoM Faculty of Science and Engineering funding. We would like to thank the Lost Meteorites of Antarctica project (Leverhulme Trust grant RPG-2016-349) field team for their work in collecting the samples. We thank John Cowpe and Lydia Fawcett for support in the clean laboratories at the University of Manchester. We thank Tristan Lowe and Julia Behnsen at the Henry Moseley x-ray Imaging Facility at the University of Manchester for their help in acquiring the XCT data. We thank Jerpme Gattacceca and Minoru Uehara at CEREGE for support in using the AMetMet and supplying reference data for the meteorites. We would like to thank Ryan Hollister for help in preparing the photogrammetry setup and workflow. We would also like to thank Samantha Bell for testing the photogrammetry workflow instructions for clarity. We are very grateful to Dr. Timothy Jull for editorial handling, and to Dr. Phil McCausland and an anonymous reviewer for their insightful comments on the submitted manuscript.</t>
  </si>
  <si>
    <t>10.1111/maps.14094</t>
  </si>
  <si>
    <t>GD6O2</t>
  </si>
  <si>
    <t>WOS:001101815200001</t>
  </si>
  <si>
    <t>Canini, F; Borruso, L; Newsham, KK; D'Alò, F; D'Acqui, LP; Zucconi, L</t>
  </si>
  <si>
    <t>Canini, Fabiana; Borruso, Luigimaria; Newsham, Kevin K.; D'Alo, Federica; D'Acqui, Luigi P.; Zucconi, Laura</t>
  </si>
  <si>
    <t>Wide divergence of fungal communities inhabiting rocks and soils in a hyper-arid Antarctic desert</t>
  </si>
  <si>
    <t>ENVIRONMENTAL MICROBIOLOGY</t>
  </si>
  <si>
    <t>MCMURDO DRY VALLEYS; MICROBIAL DIVERSITY; VICTORIA LAND; BLACK FUNGI; MICROORGANISMS; BIODIVERSITY; ADAPTATION; ECOLOGY; ECOPHYSIOLOGY; INTEGRITY</t>
  </si>
  <si>
    <t>Highly simplified microbial communities colonise rocks and soils of continental Antarctica ice-free deserts. These two habitats impose different selection pressures on organisms, yet the possible filtering effects on the diversity and composition of microbial communities have not hitherto been fully characterised. We hence compared fungal communities in rocks and soils in three localities of inner Victoria Land. We found low fungal diversity in both substrates, with a mean species richness of 28 across all samples, and significantly lower diversity in rocks than in soils. Rock and soil communities were strongly differentiated, with a multinomial species classification method identifying just three out of 328 taxa as generalists with no affinity for either substrate. Rocks were characterised by a higher abundance of lichen-forming fungi (typically Buellia, Carbonea, Pleopsidium, Lecanora, and Lecidea), possibly owing to the more protected environment and the porosity of rocks permitting photosynthetic activity. In contrast, soils were dominated by obligate yeasts (typically Naganishia and Meyerozyma), the abundances of which were correlated with edaphic factors, and the black yeast Cryomyces. Our study suggests that strong differences in selection pressures may account for the wide divergences of fungal communities in rocks and soils of inner Victoria Land. We tested the differential selective pressure of rock and soil habitats on fungal communities in Antarctic deserts. We found a strong differentiation of the communities in the two habitats characterised by different microclimatic conditions. Rocks were dominated by lichenized fungi, while soils by yeasts.image</t>
  </si>
  <si>
    <t>[Canini, Fabiana; Zucconi, Laura] Univ Tuscia, Dept Ecol &amp; Biol Sci, Viterbo, Italy; [Borruso, Luigimaria] Free Univ Bozen, Fac Agr Environm &amp; Food Sci, Bolzano, Italy; [Newsham, Kevin K.] Nat Environm Res Council NERC, British Antarctic Survey BAS, Cambridge, England; [D'Alo, Federica] Natl Res Council CNR, Terr Ecosyst Res Inst IRET, Porano, TR, Italy; [D'Acqui, Luigi P.] Natl Res Council CNR, Terr Ecosyst Res Inst IRET, Sesto Fiorentino, FI, Italy; [Zucconi, Laura] Natl Res Council CNR, Inst Polar Sci ISP, Messina, Italy; [Canini, Fabiana] Univ Tuscia, Dept Ecol &amp; Biol Sci, Largo Univ snc, I-01100 Viterbo, Italy</t>
  </si>
  <si>
    <t>Tuscia University; Free University of Bozen-Bolzano; UK Research &amp; Innovation (UKRI); Natural Environment Research Council (NERC); Consiglio Nazionale delle Ricerche (CNR); Istituto di Scienze Polari (ISP-CNR); Tuscia University</t>
  </si>
  <si>
    <t>Canini, F (corresponding author), Univ Tuscia, Dept Ecol &amp; Biol Sci, Largo Univ snc, I-01100 Viterbo, Italy.</t>
  </si>
  <si>
    <t>canini.fabiana@unitus.it</t>
  </si>
  <si>
    <t>Zucconi, L./U-9781-2018</t>
  </si>
  <si>
    <t>Zucconi, L./0000-0001-9793-2303; Borruso, Luigimaria/0000-0002-7445-3454; Canini, Fabiana/0000-0002-9626-6318</t>
  </si>
  <si>
    <t>The authors wish to thank the logistic personnel of the Mario Zucchelli Italian station for supporting the field activities during the Italian Antarctic expeditions. Two anonymous reviewers supplied helpful comments. This work was supported by the Italian [PNRA0000005]; Italian National Program for Antarctic Researches</t>
  </si>
  <si>
    <t>The authors wish to thank the logistic personnel of the Mario Zucchelli Italian station for supporting the field activities during the Italian Antarctic expeditions. Two anonymous reviewers supplied helpful comments. This work was supported by the Italian; Italian National Program for Antarctic Researches</t>
  </si>
  <si>
    <t>The authors wish to thank the logistic personnel of the Mario Zucchelli Italian station for supporting the field activities during the Italian Antarctic expeditions. Two anonymous reviewers supplied helpful comments. This work was supported by the Italian National Program for Antarctic Researches [grant number PNRA0000005].</t>
  </si>
  <si>
    <t>1462-2912</t>
  </si>
  <si>
    <t>1462-2920</t>
  </si>
  <si>
    <t>ENVIRON MICROBIOL</t>
  </si>
  <si>
    <t>Environ. Microbiol.</t>
  </si>
  <si>
    <t>10.1111/1462-2920.16534</t>
  </si>
  <si>
    <t>CF9K7</t>
  </si>
  <si>
    <t>WOS:001101089400001</t>
  </si>
  <si>
    <t>Auer, G; Bialik, OM; Antoulas, ME; Vogt-Vincent, N; Piller, WE</t>
  </si>
  <si>
    <t>Auer, Gerald; Bialik, Or M.; Antoulas, Mary-Elizabeth; Vogt-Vincent, Noam; Piller, Werner E.</t>
  </si>
  <si>
    <t>Biotic response of plankton communities to Middle to Late Miocene monsoon wind and nutrient flux changes in the Oman margin upwelling zone</t>
  </si>
  <si>
    <t>INDIAN-OCEAN; ARABIAN SEA; CALCAREOUS NANNOPLANKTON; EQUATORIAL PACIFIC; CARBON FLUXES; NANNOFOSSIL ASSEMBLAGES; THERMOCLINE VENTILATION; NORTH-ATLANTIC; CHLOROPHYLL-A; CLIMATE</t>
  </si>
  <si>
    <t>Understanding past dynamics of upwelling cells is an important aspect of assessing potential upwelling changes in future climate change scenarios. Our present understanding of nutrient fluxes throughout the world's oceans emphasizes the importance of intermediate waters transporting nutrients from the Antarctic divergence into the middle and lower latitudes. These nutrient-rich waters fuel productivity within wind-driven upwelling cells in all major oceans. One such upwelling system is located along the Oman margin in the western Arabian Sea (WAS). Driven by cross-hemispheric winds, the WAS upwelling zone's intense productivity led to the formation of one of the most extensive oxygen minimum zones known today. In this study covering the Middle to Late Miocene at Ocean Drilling Program (ODP) Site 722, we investigate the inception of upwelling-derived primary productivity. This study presents new plankton assemblage data in the context of existing model- and data-based evidence constraining the tectonic and atmospheric boundary conditions for upwelling in the WAS. With this research, we build upon the original planktonic foraminifer-based research by Dick Kroon in 1991 as part of his research based on the ODP LEG 117. We show that monsoonal winds likely sustained upwelling since the emergence of the Arabian Peninsula after the Miocene Climatic Optimum (MCO) similar to 14.7 Ma, with fully monsoonal conditions occurring since the end of the Middle Miocene Climatic Transition (MMCT) at similar to 13 Ma. However, changing nutrient fluxes through Antarctic Intermediate and sub-Antarctic Mode Waters (AAIW/SAMW) were only established after similar to 12 Ma. Rare occurrences of diatom frustules correspond to the maximum abundances of Reticulofenestra haqii and Reticulofenestra antarctica, indicating higher upwelling-derived nutrient levels. By 11 Ma, diatom abundance increases significantly, leading to alternating diatom blooms and high-nutrient-adapted nannoplankton taxa. These changes in primary producers are also well reflected in geochemical proxies with increasing delta N-15(org.) values (&gt; 6 parts per thousand) and high organic carbon accumulation. These proxies provide further independent evidence for high productivity and the onset of denitrification simultaneously. Our multi-proxy-based evaluation of Site 722 primary producers provides evidence for a stepwise evolution of Middle to Late Miocene productivity in the western Arabian Sea for the first time. The absence of a clear correlation with existing deep marine climate records suggests that both local wind patterns and intermediate water nutrient changes likely modulated productivity in the western Arabian Sea during the Middle to Late Miocene. Finally, we show that using a multi-proxy record provides novel insights into how plankton responded to changing nutrient conditions through time in a monsoon-wind-driven upwelling zone.</t>
  </si>
  <si>
    <t>[Auer, Gerald; Antoulas, Mary-Elizabeth; Piller, Werner E.] Karl Franzens Univ Graz, Dept Earth Sci, NAWI Graz Geoctr, Heinrichstr 26, A-8010 Graz, Austria; [Bialik, Or M.] Univ Munster, Inst Geol &amp; Palaeontol, Corrensstr 24, D-48149 Munster, Germany; [Bialik, Or M.] Univ Haifa, Leon H Charney Sch Marine Sci, Dr Moses Strauss Dept Marine Geosci, IL-31905 Carmel, Israel; [Vogt-Vincent, Noam] Univ Oxford, Dept Earth Sci, Oxford, England</t>
  </si>
  <si>
    <t>University of Graz; University of Munster; University of Haifa; University of Oxford</t>
  </si>
  <si>
    <t>Auer, G (corresponding author), Karl Franzens Univ Graz, Dept Earth Sci, NAWI Graz Geoctr, Heinrichstr 26, A-8010 Graz, Austria.;Bialik, OM (corresponding author), Univ Munster, Inst Geol &amp; Palaeontol, Corrensstr 24, D-48149 Munster, Germany.;Bialik, OM (corresponding author), Univ Haifa, Leon H Charney Sch Marine Sci, Dr Moses Strauss Dept Marine Geosci, IL-31905 Carmel, Israel.</t>
  </si>
  <si>
    <t>gerald.auer@uni-graz.at; obialik@uni-muenster.de</t>
  </si>
  <si>
    <t>Piller, Werner E./0000-0003-2808-4720</t>
  </si>
  <si>
    <t>Austrian Science Fund; Ocean Drilling Program (ODP); German (GEOMAR)-Israeli (University of Haifa)</t>
  </si>
  <si>
    <t>Austrian Science Fund(Austrian Science Fund (FWF)); Ocean Drilling Program (ODP)(National Science Foundation (NSF)NSF - Directorate for Geosciences (GEO)); German (GEOMAR)-Israeli (University of Haifa)</t>
  </si>
  <si>
    <t>This research used samples and data provided by the Ocean Drilling Program (ODP) and the International Ocean Discovery Program (IODP). We thank the ODP Leg 117 shipboard science party, the crew, and the technical staff of DV JOIDES Resolution. Or M. Bialik is partially supported by the German (GEOMAR)-Israeli (University of Haifa) Helmholtz International Laboratory - The Eastern Mediterranean Sea Centre - An Early Warning Model System for our Future Oceans: EMS Future Ocean Research (EMS FORE). Furthermore, the authors would like to thank all Bialik et al. (2020a) authors for their invaluable contribution to this research and their expertise in interpreting the data. In particular, we would like to thank Dick Kroon for his early support of these studies and his invaluable discussions on the subject matter. We thank two anonymous reviewers for their thoughtful and thorough comments, which helped to improve the paper. We are also grateful to the editor, Simon Jung, for expertly handling the paper.</t>
  </si>
  <si>
    <t>NOV 13</t>
  </si>
  <si>
    <t>10.5194/cp-19-2313-2023</t>
  </si>
  <si>
    <t>JE5Z2</t>
  </si>
  <si>
    <t>WOS:001171513800001</t>
  </si>
  <si>
    <t>Li, T; Robinson, LF; Macgilchrist, GA; Chen, TY; Stewart, JA; Burke, A; Wang, MY; Li, GJ; Chen, J; Rae, JWB</t>
  </si>
  <si>
    <t>Li, Tao; Robinson, Laura F.; Macgilchrist, Graeme A.; Chen, Tianyu; Stewart, Joseph A.; Burke, Andrea; Wang, Maoyu; Li, Gaojun; Chen, Jun; Rae, James W. B.</t>
  </si>
  <si>
    <t>Enhanced subglacial discharge from Antarctica during meltwater pulse 1A</t>
  </si>
  <si>
    <t>SEA-LEVEL; SOUTHERN-OCEAN; ICE SHELF; OVERTURNING CIRCULATION; SEAWATER U-234/U-238; EAST ANTARCTICA; COLLAPSE; WATER; VARIABILITY; CORALS</t>
  </si>
  <si>
    <t>Subglacial discharge from the Antarctic Ice Sheet (AIS) likely played a crucial role in the loss of the ice sheet and the subsequent rise in sea level during the last deglaciation. However, no direct proxy is currently available to document subglacial discharge from the AIS, which leaves significant gaps in our understanding of the complex interactions between subglacial discharge and ice-sheet stability. Here we present deep-sea coral 234U/238U records from the Drake Passage in the Southern Ocean to track subglacial discharge from the AIS. Our findings reveal distinctively higher seawater 234U/238U values from 15,400 to 14,000 years ago, corresponding to the period of the highest iceberg-rafted debris flux and the occurrence of the meltwater pulse 1A event. This correlation suggests a causal link between enhanced subglacial discharge, synchronous retreat of the AIS, and the rapid rise in sea levels. The enhanced subglacial discharge and subsequent AIS retreat appear to have been preconditioned by a stronger and warmer Circumpolar Deep Water, thus underscoring the critical role of oceanic heat in driving major ice-sheet retreat. This study presents seawater uranium isotope records based on deep-sea corals from the Drake Passage to track subglacial discharge from the Antarctic Ice Sheet, demonstrating a causal link between enhanced subglacial discharge, retreat of the ice sheet, and the rapid rise in sea levels.</t>
  </si>
  <si>
    <t>[Li, Tao] Chinese Acad Sci, Nanjing Inst Geol &amp; Palaeontol, State Key Lab Palaeobiol &amp; Stratig, Nanjing, Peoples R China; [Li, Tao; Robinson, Laura F.; Stewart, Joseph A.] Univ Bristol, Sch Earth Sci, Bristol, England; [Li, Tao; Chen, Tianyu; Wang, Maoyu; Li, Gaojun; Chen, Jun] Nanjing Univ, Dept Earth &amp; Planetary Sci, Nanjing, Peoples R China; [Robinson, Laura F.] Univ York, Dept Environm &amp; Geog, York, England; [Macgilchrist, Graeme A.] Princeton Univ, Program Atmospher &amp; Ocean Sci, Princeton, NJ USA; [Macgilchrist, Graeme A.; Burke, Andrea; Rae, James W. B.] Univ St Andrews, Sch Earth &amp; Environm Sci, St Andrews, Scotland</t>
  </si>
  <si>
    <t>Chinese Academy of Sciences; University of Bristol; Nanjing University; University of York - UK; National Oceanic Atmospheric Admin (NOAA) - USA; Princeton University; University of St Andrews</t>
  </si>
  <si>
    <t>Li, T (corresponding author), Chinese Acad Sci, Nanjing Inst Geol &amp; Palaeontol, State Key Lab Palaeobiol &amp; Stratig, Nanjing, Peoples R China.;Li, T (corresponding author), Univ Bristol, Sch Earth Sci, Bristol, England.;Li, T (corresponding author), Nanjing Univ, Dept Earth &amp; Planetary Sci, Nanjing, Peoples R China.</t>
  </si>
  <si>
    <t>taoli@nigpas.ac.cn</t>
  </si>
  <si>
    <t>Li, Gaojun/AAD-9870-2022; Li, Tao/ITW-0434-2023; Chen, Tianyu/JDD-7264-2023; Rae, James/R-3812-2017</t>
  </si>
  <si>
    <t>Li, Gaojun/0000-0002-2463-0774; Li, Tao/0000-0002-9975-152X; MacGilchrist, Graeme/0000-0003-1409-8937; Burke, Andrea/0000-0002-3754-1498; Stewart, Joseph/0000-0003-3092-5058; Wang, Maoyu/0009-0000-6400-3241; Rae, James/0000-0003-3904-2526</t>
  </si>
  <si>
    <t>National Natural Science Foundation of China (National Science Foundation of China) [NBP11-03]; National Natural Science Foundation of China [41991325]; Strategic Priority Research Program of Chinese Academy of Sciences [XDB40010200]; European Research Council; Natural Environmental Research Council; U.S. National Science Foundation [PLR-1425989]; UK Research and Innovation [MR/W013835/1]; National Oceanic and Atmospheric Administration (NOAA) Ocean Exploration Trust; State Key Laboratory of Palaeobiology and Stratigraphy</t>
  </si>
  <si>
    <t>National Natural Science Foundation of China (National Science Foundation of China)(National Natural Science Foundation of China (NSFC)); National Natural Science Foundation of China(National Natural Science Foundation of China (NSFC)); Strategic Priority Research Program of Chinese Academy of Sciences(Chinese Academy of Sciences); European Research Council(European Research Council (ERC)); Natural Environmental Research Council(UK Research &amp; Innovation (UKRI)Natural Environment Research Council (NERC)); U.S. National Science Foundation(National Science Foundation (NSF)); UK Research and Innovation(UK Research &amp; Innovation (UKRI)); National Oceanic and Atmospheric Administration (NOAA) Ocean Exploration Trust; State Key Laboratory of Palaeobiology and Stratigraphy</t>
  </si>
  <si>
    <t>We thank the participants of cruises LMG06-05, NBP08-05, and NBP11-03 who made this study possible, C. Coath and C. Taylor for their help in the laboratory, and N. Golledge for providing the modeled ice-sheet data. This research is funded by the National Natural Science Foundation of China (41991325, T.L. and T.C.), the Strategic Priority Research Program of Chinese Academy of Sciences (XDB40010200, T.L. and T.C.), the European Research Council, the Natural Environmental Research Council, the U.S. National Science Foundation (PLR-1425989, G.A.M), the UK Research and Innovation (MR/W013835/1, G.A.M), the National Oceanic and Atmospheric Administration (NOAA) Ocean Exploration Trust, and the State Key Laboratory of Palaeobiology and Stratigraphy.</t>
  </si>
  <si>
    <t>10.1038/s41467-023-42974-0</t>
  </si>
  <si>
    <t>CQ8T9</t>
  </si>
  <si>
    <t>WOS:001126808200004</t>
  </si>
  <si>
    <t>SOUTHERN ANNULAR MODE; SATELLITE-GRAVIMETRY; SNOW ACCUMULATION; LARGE-SCALE; SHEET; GRACE; TRENDS; ALTIMETRY; PATTERNS; OCEAN</t>
  </si>
  <si>
    <t>This study was supported by the Centre for Southern Hemisphere Oceans Research (CSHOR), jointly funded by the Qingdao National Laboratory for Marine Science and Technology (QNLM, China) and the Commonwealth Scientific and Industrial Research Organisation (; Centre for Southern Hemisphere Oceans Research - Qingdao National Laboratory for Marine Science and Technology (QNLM, China); Commonwealth Scientific and Industrial Research Organisation (CSIRO, Australia); Australian Research Council Special Research Initiative [SR200100008]; Australian Centre for Excellence in Antarctic Science</t>
  </si>
  <si>
    <t>This study was supported by the Centre for Southern Hemisphere Oceans Research (CSHOR), jointly funded by the Qingdao National Laboratory for Marine Science and Technology (QNLM, China) and the Commonwealth Scientific and Industrial Research Organisation (; Centre for Southern Hemisphere Oceans Research - Qingdao National Laboratory for Marine Science and Technology (QNLM, China); Commonwealth Scientific and Industrial Research Organisation (CSIRO, Australia); Australian Research Council Special Research Initiative(Australian Research Council); Australian Centre for Excellence in Antarctic Science</t>
  </si>
  <si>
    <t>WOS:001104971400002</t>
  </si>
  <si>
    <t>Quirico, E; Bonal, L; Kebukawa, Y; Amano, K; Yabuta, H; Phan, VH; Beck, P; Remusat, L; Dartois, E; Engrand, C; Martins, Z; Bejach, L; Dazzi, A; Deniset-Besseau, A; Duprat, J; Mathurin, J; Montagnac, G; Barosch, J; Cody, GD; De Gregorio, B; Enokido, Y; Hashiguchi, M; Kamide, K; Kilcoyne, D; Komatsu, M; Matsumoto, M; Mostefaoui, S; Nittler, L; Ohigashi, T; Okumura, T; Sandford, S; Shigenaka, M; Stroud, R; Suga, H; Takahashi, Y; Takeichi, Y; Tamenori, Y; Verdier-Paoletti, M; Wakabayashi, D; Yamashita, S; Nakamura, T; Naraoka, H; Noguchi, T; Okazaki, R; Yurimoto, H; Sakamoto, K; Tachibana, S; Watanabe, SI; Tsuda, Y; Yada, T; Nishimura, M; Nakato, A; Miyazaki, A; Yogata, K; Abe, M; Okada, T; Usui, T; Yoshikawa, M; Saiki, T; Tanaka, S; Terui, F; Nakazawa, S</t>
  </si>
  <si>
    <t>Quirico, Eric; Bonal, Lydie; Kebukawa, Yoko; Amano, Kana; Yabuta, Hikaru; Phan, Van T. H.; Beck, Pierre; Remusat, Laurent; Dartois, Emmanuel; Engrand, Cecile; Martins, Zita; Bejach, Laure; Dazzi, Alexandre; Deniset-Besseau, Ariane; Duprat, Jean; Mathurin, Jeremie; Montagnac, Gilles; Barosch, Jens; Cody, George D.; De Gregorio, Bradley; Enokido, Yuma; Hashiguchi, Minako; Kamide, Kanami; Kilcoyne, David; Komatsu, Mutsumi; Matsumoto, Megumi; Mostefaoui, Smail; Nittler, Larry; Ohigashi, Takuji; Okumura, Taiga; Sandford, Scott; Shigenaka, Miho; Stroud, Rhonda; Suga, Hiroki; Takahashi, Yoshio; Takeichi, Yasuo; Tamenori, Yusuke; Verdier-Paoletti, Maximilien; Wakabayashi, Daisuke; Yamashita, Shohei; Nakamura, Tomoki; Naraoka, Hiroshi; Noguchi, Takaaki; Okazaki, Ryuji; Yurimoto, Hisayoshi; Sakamoto, Kanako; Tachibana, Shogo; Watanabe, Sei-Ichiro; Tsuda, Yuichi; Yada, Toru; Nishimura, Masahiro; Nakato, Aiko; Miyazaki, Akiko; Yogata, Kasumi; Abe, Masanao; Okada, Tatsuaki; Usui, Tomohitro; Yoshikawa, Makoto; Saiki, Takanao; Tanaka, Satoshi; Terui, Fuyuto; Nakazawa, Satoru</t>
  </si>
  <si>
    <t>Compositional heterogeneity of insoluble organic matter extracted from asteroid Ryugu samples</t>
  </si>
  <si>
    <t>ANTARCTIC MICROMETEORITES; CARBONACEOUS CHONDRITES; THERMAL METAMORPHISM; CI; PHOTOPRODUCTION; EVOLUTION; ORIGIN; COAL; CM</t>
  </si>
  <si>
    <t>We report a Fourier transform infrared analysis of functional groups in insoluble organic matter (IOM) extracted from a series of 100-500 mu m Ryugu grains collected during the two touchdowns of February 22 and July 11, 2019. IOM extracted from most of the samples is very similar to IOM in primitive CI, CM, and CR chondrites, and shows that the extent of thermal metamorphism in Ryugu regolith was, at best, very limited. One sample displays chemical signatures consistent with a very mild heating, likely due to asteroidal collision impacts. We also report a lower carbonyl abundance in Ryugu IOM samples compared to primitive chondrites, which could reflect the accretion of a less oxygenated precursor by Ryugu. The possible effects of hydrothermal alteration and terrestrial weathering are also discussed. Last, no firm conclusions could be drawn on the origin of the soluble outlier phases, observed along with IOM in this study and in the preliminary analysis of Ryugu samples. However, it is clear that the HF/HCl residues presented in this publication are a mix between IOM and the nitrogen-rich outlier phase.</t>
  </si>
  <si>
    <t>[Quirico, Eric; Bonal, Lydie; Phan, Van T. H.; Beck, Pierre] Univ Grenoble Alpes, CNRS, UMR 5274, Inst Planetol &amp; Astrophys IPAG, Grenoble, France; [Kebukawa, Yoko] Yokohama Natl Univ, Dept Chem &amp; Life Sci, Yokohama, Japan; [Amano, Kana; Enokido, Yuma; Matsumoto, Megumi; Nakamura, Tomoki] Tohoku Univ, Dept Earth Sci, Sendai, Japan; [Yabuta, Hikaru; Kamide, Kanami; Shigenaka, Miho] Hiroshima Univ, Dept Earth &amp; Planetary Syst Sci, Hiroshima, Japan; [Remusat, Laurent; Duprat, Jean; Mostefaoui, Smail; Verdier-Paoletti, Maximilien] Sorbonne Univ, Inst Mineral Phys Mat &amp; Cosmochim, Museum Natl Hist Nat, Ctr Natl Rech Sientifique, Paris, France; [Dartois, Emmanuel] Univ Paris Saclay, Ctr Natl Rech Sci, Inst Sci Mol Orsay, Orsay, France; [Engrand, Cecile; Bejach, Laure] Univ Paris Saclay, Ctr Natl Rech Sci, Lab Phys Infinis Irene Joliot Curie 2, Orsay, France; [Martins, Zita] Univ Lisbon, Ctr Quim Estrut, Inst Mol Sci, Lisbon, Portugal; [Martins, Zita] Univ Lisbon, Inst Super Tecn, Dept Chem Engn, Lisbon, Portugal; [Dazzi, Alexandre; Deniset-Besseau, Ariane; Mathurin, Jeremie] Univ Paris Saclay, Ctr Natl Rech Sci, Inst Chim Phys, Orsay, France; [Montagnac, Gilles] Univ Lyon, Univ Lyon 1, CNRS, ENS Lyon,LGL TPE, Lyon, France; [Barosch, Jens; Cody, George D.; Nittler, Larry] Carnegie Inst Sci, Earth &amp; Planets Lab, Washington, DC USA; [De Gregorio, Bradley; Stroud, Rhonda] US Naval Res Lab, Mat Sci &amp; Technol Div, Washington, DC USA; [Hashiguchi, Minako; Watanabe, Sei-Ichiro] Nagoya Univ, Grad Sch Environm Studies, Nagoya, Japan; [Kilcoyne, David] Lawrence Berkeley Natl Lab, Adv Light Source, Berkeley, CA USA; [Komatsu, Mutsumi] Saitama Prefectural Univ, Ctr Univ Wide Educ, Saitama, Japan; [Komatsu, Mutsumi] Waseda Univ, Dept Earth Sci, Tokyo, Japan; [Ohigashi, Takuji] UVSOR Synchrotron Facil, Inst Mol Sci, Okazaki, Japan; [Okumura, Taiga; Takahashi, Yoshio; Tachibana, Shogo] Univ Tokyo, Dept Earth &amp; Planetary Sci, Tokyo, Japan; [Sandford, Scott] NASA Ames Res Ctr, Moffett Field, CA USA; [Suga, Hiroki; Tamenori, Yusuke] Japan Synchrotron Radiat Res Inst, Sayo, Hyogo, Japan; [Takeichi, Yasuo; Wakabayashi, Daisuke; Yamashita, Shohei] High Energy Accelerator Res Org, Inst Mat Struct Sci, Tsukuba, Ibaraki, Japan; [Naraoka, Hiroshi; Noguchi, Takaaki; Okazaki, Ryuji] Kyushu Univ, Dept Earth &amp; Planetary Sci, Fukuoka, Japan; [Yurimoto, Hisayoshi; Tachibana, Shogo; Tsuda, Yuichi] Hokkaido Univ, Dept Earth &amp; Planetary Sci, Sapporo, Japan; [Sakamoto, Kanako; Yada, Toru; Nishimura, Masahiro; Nakato, Aiko; Miyazaki, Akiko; Yogata, Kasumi; Abe, Masanao; Okada, Tatsuaki; Usui, Tomohitro; Yoshikawa, Makoto; Saiki, Takanao; Tanaka, Satoshi; Nakazawa, Satoru] Japan Aerosp Explorat Agcy JAXA, Inst Space &amp; Astronaut Sci, Sagamihara, Japan; [Terui, Fuyuto] Kanagawa Inst Technol, Atsugi, Japan</t>
  </si>
  <si>
    <t>Communaute Universite Grenoble Alpes; Universite Grenoble Alpes (UGA); Centre National de la Recherche Scientifique (CNRS); CNRS - National Institute for Earth Sciences &amp; Astronomy (INSU); Yokohama National University; Tohoku University; Hiroshima University; Museum National d'Histoire Naturelle (MNHN); Sorbonne Universite; Universite Paris Cite; Universite Paris Cite; Centre National de la Recherche Scientifique (CNRS); Universite Paris Saclay; Universite Paris Saclay; Centre National de la Recherche Scientifique (CNRS); Universite Paris Cite; Universidade de Lisboa; Universidade de Lisboa; Universite Paris Saclay; Centre National de la Recherche Scientifique (CNRS); Universite Paris Cite; Universite Claude Bernard Lyon 1; Centre National de la Recherche Scientifique (CNRS); Ecole Normale Superieure de Lyon (ENS de LYON); Carnegie Institution for Science; United States Department of Defense; United States Navy; Naval Research Laboratory; Nagoya University; United States Department of Energy (DOE); Lawrence Berkeley National Laboratory; Waseda University; National Institutes of Natural Sciences (NINS) - Japan; Institute for Molecular Science (IMS); University of Tokyo; National Aeronautics &amp; Space Administration (NASA); NASA Ames Research Center; Japan Synchrotron Radiation Research Institute; High Energy Accelerator Research Organization (KEK); Kyushu University; Hokkaido University; Japan Aerospace Exploration Agency (JAXA); Institute of Space &amp; Astronautical Science (ISAS); Kanagawa Institute Technology</t>
  </si>
  <si>
    <t>Quirico, E (corresponding author), Univ Grenoble Alpes, CNRS, UMR 5274, Inst Planetol &amp; Astrophys IPAG, Grenoble, France.</t>
  </si>
  <si>
    <t>eric.quirico@univ-grenoble-alpes.fr</t>
  </si>
  <si>
    <t>Martins, Zita/H-4860-2015; Takeichi, Yasuo/KBQ-3565-2024; Okumura, Taiga/AGY-4991-2022; Noguchi, Takaaki/IWV-1123-2023; Kebukawa, Yoko/A-7315-2010</t>
  </si>
  <si>
    <t>Martins, Zita/0000-0002-5420-1081; Takeichi, Yasuo/0000-0003-3334-0274; Okumura, Taiga/0000-0001-5252-8622; Noguchi, Takaaki/0000-0001-7211-2595; PHAN, Van Thi-Hai/0000-0001-7063-9895; Kebukawa, Yoko/0000-0001-8430-3612; Saiki, Takanao/0000-0003-3100-420X; Remusat, Laurent/0009-0008-6423-6254; Barosch, Jens/0000-0002-0651-7348</t>
  </si>
  <si>
    <t>This study was funded by the French space agency CNES (Centre National dapos;Etudes Spatiales). This research was also supported by the H2020 European Research Council (ERC) (SOLARYS ERC-CoG2017_771691). We are very grateful to Mike Zolensky and an anonym; French space agency CNES (Centre National dapos;Etudes Spatiales) [SOLARYS ERC-CoG2017_771691]; H2020 European Research Council (ERC)</t>
  </si>
  <si>
    <t>This study was funded by the French space agency CNES (Centre National dapos;Etudes Spatiales). This research was also supported by the H2020 European Research Council (ERC) (SOLARYS ERC-CoG2017_771691). We are very grateful to Mike Zolensky and an anonym; French space agency CNES (Centre National dapos;Etudes Spatiales); H2020 European Research Council (ERC)(European Research Council (ERC))</t>
  </si>
  <si>
    <t>This study was funded by the French space agency CNES (Centre National d &amp; apos;Etudes Spatiales). This research was also supported by the H2020 European Research Council (ERC) (SOLARYS ERC-CoG2017_771691). We are very grateful to Mike Zolensky and an anonymous reviewer for constructive and helpful comments that have greatly improved the manuscript.</t>
  </si>
  <si>
    <t>2023 NOV 13</t>
  </si>
  <si>
    <t>10.1111/maps.14097</t>
  </si>
  <si>
    <t>Y6AI9</t>
  </si>
  <si>
    <t>WOS:001106061000001</t>
  </si>
  <si>
    <t>Griffiths, LL; Williams, J; Buelow, CA; Tulloch, VJ; Turschwell, MP; Campbell, MD; Harasti, D; Connolly, RM; Brown, CJ</t>
  </si>
  <si>
    <t>Griffiths, Laura L.; Williams, Joel; Buelow, Christina A.; Tulloch, Vivitskaia J.; Turschwell, Mischa P.; Campbell, Max D.; Harasti, David; Connolly, Rod M.; Brown, Christopher J.</t>
  </si>
  <si>
    <t>A data-driven approach to multiple-stressor impact assessment for a marine protected area</t>
  </si>
  <si>
    <t>coastal management; fishing pressure; impact maps; multiple threats; New South Wales; no-take zones; temperate reef fish; amenazas multiples; manejo costero; mapas de impacto; Nueva Gales del Sur; peces de arrecifes templados; presion de pesca; zonas de veda</t>
  </si>
  <si>
    <t>WATER-QUALITY; MANAGEMENT; VULNERABILITY; ECOSYSTEMS; INDICATORS; DISPERSION; RESPONSES; FISHES</t>
  </si>
  <si>
    <t>The coastal environment is not managed in a way that considers the impact of cumulative threats, despite being subject to threats from all realms (marine, land, and atmosphere). Relationships between threats and species are often nonlinear; thus, current (linear) approaches to estimating the impact of threats may be misleading. We developed a data-driven approach to assessing cumulative impacts on ecosystems and applied it to explore nonlinear relationships between threats and a temperate reef fish community. We used data on water quality, commercial fishing, climate change, and indicators of recreational fishing and urbanization to build a cumulative threat map of the northern region in New South Wales, Australia. We used statistical models of fish abundance to quantify associations among threats and biophysical covariates and predicted where cumulative impacts are likely to have the greatest impact on fish. We also assessed the performance of no-take zones (NTZs), to protect fish from cumulative threats across 2 marine protected area networks (marine parks). Fishing had a greater impact on fish than water quality threats (i.e., percent increase above the mean for invertivores was 337% when fishing was removed and was 11% above the mean when water quality was removed inside NTZs), and fishing outside NTZs affected fish abundances inside NTZs. Quantifying the spatial influence of multiple threats enables managers to understand the multitude of management actions required to address threats. Una estrategia basada en datos para la evaluacion de impacto de multiples estresores en un area marina protegidaLos ambientes costeros no se manejan de manera que se considere el impacto de las amenazas acumulativas, a pesar de que se enfrentan a amenazas de todos los entornos (marinas, terrestres y atmosfericas). Las relaciones entre las amenazas y las especies casi siempre son no lineales; por lo tanto, las estrategias actuales (lineales) para estimar el impacto de las amenazas pueden ser enganosas. Desarrollamos una estrategia basada en datos para evaluar el impacto acumulativo sobre los ecosistemas y la aplicamos para explorar las relaciones no lineales entre las amenazas y la comunidad de peces de arrecifes templados. Usamos datos de la calidad del agua, pesca comercial, cambio climatico e indicadores de pesca recreativa y urbanizacion para construir un mapa acumulativo de amenazas de la region norte de Nueva Gales del Sur, Australia. Usamos modelos estadisticos de la abundancia de peces para cuantificar las asociaciones entre las amenazas y las covarianzas biofisicas y pronosticamos en donde es probable que los impactos acumulativos sean mayores sobre los peces. Tambien evaluamos el desempeno de las zonas de veda para asi proteger a los peces de las amenazas acumulativas en dos redes de areas marinas protegidas (parques marinos). La pesca tuvo un mayor impacto que la calidad del agua sobre los peces (es decir, el incremento del porcentaje por encima de la media de depredadores de invertebrados fue de 337% cuando se elimino la pesca y fue de 11% por encima de la media cuando se elimino la calidad del agua dentro de las zonas de veda) y la pesca fuera de las zonas de veda afecto la abundancia de los peces dentro de ellas. La cuantificacion de la influencia espacial de las multiples amenazas permite que los gestores entiendan la multitud de acciones de manejo que se requieren para abordar las amenazas.ResumenUna estrategia basada en datos para la evaluacion de impacto de multiples estresores en un area marina protegidaLos ambientes costeros no se manejan de manera que se considere el impacto de las amenazas acumulativas, a pesar de que se enfrentan a amenazas de todos los entornos (marinas, terrestres y atmosfericas). Las relaciones entre las amenazas y las especies casi siempre son no lineales; por lo tanto, las estrategias actuales (lineales) para estimar el impacto de las amenazas pueden ser enganosas. Desarrollamos una estrategia basada en datos para evaluar el impacto acumulativo sobre los ecosistemas y la aplicamos para explorar las relaciones no lineales entre las amenazas y la comunidad de peces de arrecifes templados. Usamos datos de la calidad del agua, pesca comercial, cambio climatico e indicadores de pesca recreativa y urbanizacion para construir un mapa acumulativo de amenazas de la region norte de Nueva Gales del Sur, Australia. Usamos modelos estadisticos de la abundancia de peces para cuantificar las asociaciones entre las amenazas y las covarianzas biofisicas y pronosticamos en donde es probable que los impactos acumulativos sean mayores sobre los peces. Tambien evaluamos el desempeno de las zonas de veda para asi proteger a los peces de las amenazas acumulativas en dos redes de areas marinas protegidas (parques marinos). La pesca tuvo un mayor impacto que la calidad del agua sobre los peces (es decir, el incremento del porcentaje por encima de la media de depredadores de invertebrados fue de 337% cuando se elimino la pesca y fue de 11% por encima de la media cuando se elimino la calidad del agua dentro de las zonas de veda) y la pesca fuera de las zonas de veda afecto la abundancia de los peces dentro de ellas. La cuantificacion de la influencia espacial de las multiples amenazas permite que los gestores entiendan la multitud de acciones de manejo que se requieren para abordar las amenazas.Resumen</t>
  </si>
  <si>
    <t>[Griffiths, Laura L.; Buelow, Christina A.; Turschwell, Mischa P.; Campbell, Max D.; Connolly, Rod M.; Brown, Christopher J.] Griffith Univ, Australian Rivers Inst, Coastal &amp; Marine Res Ctr, Sch Environm &amp; Sci, Gold Coast, Qld, Australia; [Williams, Joel; Harasti, David] NSW Dept Primary Ind, Fisheries Res, Nelson Bay, NSW, Australia; [Williams, Joel] Univ Tasmania, Inst Marine &amp; Antarctic Studies, Hobart, Tas, Australia; [Tulloch, Vivitskaia J.] Univ British Columbia, Dept Forest &amp; Conservat Sci, Vancouver, BC, Canada; [Griffiths, Laura L.] Griffith Univ, Sch Environm &amp; Sci, Sci 1 Bldg,G24,Parklands Dr, Southport, Qld 4222, Australia</t>
  </si>
  <si>
    <t>Griffith University; Griffith University - Gold Coast Campus; NSW Department of Primary Industries; University of Tasmania; University of British Columbia; Griffith University; Griffith University - Gold Coast Campus</t>
  </si>
  <si>
    <t>Griffiths, LL (corresponding author), Griffith Univ, Sch Environm &amp; Sci, Sci 1 Bldg,G24,Parklands Dr, Southport, Qld 4222, Australia.</t>
  </si>
  <si>
    <t>laura.l.griffiths@griffith.edu.au</t>
  </si>
  <si>
    <t>Griffriths, Laura/JDW-4919-2023; Tulloch, Vivitskaia/G-1336-2013; Connolly, Rod/C-4094-2008</t>
  </si>
  <si>
    <t>Griffriths, Laura/0000-0001-8701-4373; Williams, Joel/0000-0002-4173-3855; Tulloch, Vivitskaia/0000-0002-7673-3716; Harasti, David/0000-0002-2851-9838; Connolly, Rod/0000-0001-6223-1291</t>
  </si>
  <si>
    <t>Open access publishing facilitated by Griffith University, as part of the Wiley - Griffith University agreement via the Council of Australian University Librarians.; Griffith University, as part of the Wiley - Griffith University agreement via the Council of Australian University Librarians</t>
  </si>
  <si>
    <t>C.J.B., R.M.C., and M.P.T. acknowledge support from Discovery Project (DP180103124) from the Australian Research Council. R.M.C., C.J.B., M.P.T., and C.A.B. acknowledge support from the Global Wetlands Project, which is supported by a charitable organization that neither seeks nor permits publicity for its efforts.r Open access publishing facilitated by Griffith University, as part of the Wiley - Griffith University agreement via the Council of Australian University Librarians.</t>
  </si>
  <si>
    <t>10.1111/cobi.14177</t>
  </si>
  <si>
    <t>WOS:001101584300001</t>
  </si>
  <si>
    <t>Takano, Y; Ilyina, T; Tjiputra, J; Eddebbar, YA; Berthet, S; Bopp, L; Buitenhuis, E; Butenschoen, M; Christian, JR; Dunne, JP; Gröger, M; Hayashida, H; Hieronymus, J; Koenigk, T; Krasting, JP; Long, MC; Lovato, T; Nakano, H; Palmieri, J; Schwinger, J; Séférian, R; Suntharalingam, P; Tatebe, H; Tsujino, H; Urakawa, S; Watanabe, M; Yool, A</t>
  </si>
  <si>
    <t>Takano, Yohei; Ilyina, Tatiana; Tjiputra, Jerry; Eddebbar, Yassir A.; Berthet, Sarah; Bopp, Laurent; Buitenhuis, Erik; Butenschoen, Momme; Christian, James R.; Dunne, John P.; Groeger, Matthias; Hayashida, Hakase; Hieronymus, Jenny; Koenigk, Torben; Krasting, John P.; Long, Mathew C.; Lovato, Tomas; Nakano, Hideyuki; Palmieri, Julien; Schwinger, Joerg; Seferian, Roland; Suntharalingam, Parvadha; Tatebe, Hiroaki; Tsujino, Hiroyuki; Urakawa, Shogo; Watanabe, Michio; Yool, Andrew</t>
  </si>
  <si>
    <t>Simulations of ocean deoxygenation in the historical era: insights from forced and coupled models</t>
  </si>
  <si>
    <t>ocean deoxygenation; ocean warming; model spin-up; model's equilibrium states; ocean and coupled model simulations</t>
  </si>
  <si>
    <t>EARTH SYSTEM MODEL; SEA-ICE MODEL; GLOBAL OCEAN; BIOGEOCHEMICAL CYCLES; TROPICAL PACIFIC; NORTH PACIFIC; OXYGEN; CLIMATE; VARIABILITY; TRENDS</t>
  </si>
  <si>
    <t>Ocean deoxygenation due to anthropogenic warming represents a major threat to marine ecosystems and fisheries. Challenges remain in simulating the modern observed changes in the dissolved oxygen (O2). Here, we present an analysis of upper ocean (0-700m) deoxygenation in recent decades from a suite of the Coupled Model Intercomparison Project phase 6 (CMIP6) ocean biogeochemical simulations. The physics and biogeochemical simulations include both ocean-only (the Ocean Model Intercomparison Project Phase 1 and 2, OMIP1 and OMIP2) and coupled Earth system (CMIP6 Historical) configurations. We examine simulated changes in the O2 inventory and ocean heat content (OHC) over the past 5 decades across models. The models simulate spatially divergent evolution of O2 trends over the past 5 decades. The trend (multi-model mean and spread) for upper ocean global O2 inventory for each of the MIP simulations over the past 5 decades is 0.03 +/- 0.39x1014 [mol/decade] for OMIP1, -0.37 +/- 0.15x1014 [mol/decade] for OMIP2, and -1.06 +/- 0.68x1014 [mol/decade] for CMIP6 Historical, respectively. The trend in the upper ocean global O2 inventory for the latest observations based on the World Ocean Database 2018 is -0.98x1014 [mol/decade], in line with the CMIP6 Historical multi-model mean, though this recent observations-based trend estimate is weaker than previously reported trends. A comparison across ocean-only simulations from OMIP1 and OMIP2 suggests that differences in atmospheric forcing such as surface wind explain the simulated divergence across configurations in O2 inventory changes. Additionally, a comparison of coupled model simulations from the CMIP6 Historical configuration indicates that differences in background mean states due to differences in spin-up duration and equilibrium states result in substantial differences in the climate change response of O2. Finally, we discuss gaps and uncertainties in both ocean biogeochemical simulations and observations and explore possible future coordinated ocean biogeochemistry simulations to fill in gaps and unravel the mechanisms controlling the O2 changes.</t>
  </si>
  <si>
    <t>[Takano, Yohei] Los Alamos Natl Lab, Fluid Dynam &amp; Solid Mech Grp, Los Alamos, NM 87545 USA; [Takano, Yohei; Ilyina, Tatiana] Max Planck Inst Meteorol, Ocean Earth Syst, Hamburg, Germany; [Takano, Yohei] British Antarctic Survey, Polar Oceans Team, Cambridge, England; [Ilyina, Tatiana] Univ Hamburg, Ctr Earth Syst Res &amp; Sustainabil, Hamburg, Germany; [Ilyina, Tatiana] Helmholtz Zentrum Hereon, Hamburg, Germany; [Tjiputra, Jerry; Schwinger, Joerg] Norwegian Res Ctr NORCE, Bjerknes Ctr Climate Res, Bergen, Norway; [Eddebbar, Yassir A.] Univ Calif San Diego, Scripps Inst Oceanog, La Jolla, CA USA; [Berthet, Sarah; Seferian, Roland] Univ Stut OceanMeteo France, CNRM, CNRS, Toulouse, France; [Bopp, Laurent] Sorbonne Univ, Ecole Normale Supouse, Ecole Polytech, IPSL LMD,Franc Univ PSL,CNRS, Paris, France; [Buitenhuis, Erik; Suntharalingam, Parvadha] Univ East Anglia, Sch Environm Sci, Norwich, England; [Butenschoen, Momme; Lovato, Tomas] Fdn Ctr Euro Mediterraneo Cambiamenti Climat, Ocean Modeling &amp; Data Assimilat Div, Bologna, Italy; [Christian, James R.] Fisheries &amp; Oceans Canada, Sidney, BC, Canada; [Christian, James R.] Canadian Ctr Climate Modelling &amp; Anal, Victoria, BC, Canada; [Dunne, John P.; Krasting, John P.] NOAA, Geophys Fluid Dynam Lab, OAR, Princeton, NJ USA; [Groeger, Matthias] Leibniz Inst Balt Sea Res Warnemunde, Dept Phys Oceanog &amp; Instrumentat, Rostock, Germany; [Hayashida, Hakase] Japan Agcy Marine Earth Sci &amp; Technol, Applicat Lab, Yokohama, Japan; [Hayashida, Hakase] Univ Tasmania, Inst Marine &amp; Antarct Studies, Hobart, Tas, Australia; [Hieronymus, Jenny; Koenigk, Torben] Swedish Meteorol &amp; Hydrol Inst, Norrkoping, Sweden; [Koenigk, Torben] Stockholm Univ, Bolin Ctr Climate Res, Stockholm, Sweden; [Long, Mathew C.] Natl Ctr Atm Res, Climate &amp; Global Dynam Lab, Boulder, CO USA; [Nakano, Hideyuki; Tsujino, Hiroyuki; Urakawa, Shogo] Japan Meteorol Agcy, Meteorol Res Inst, Tsukuba, Japan; [Palmieri, Julien; Yool, Andrew] Natl Oceanog Ctr, Southampton, Hampshire, England; [Tatebe, Hiroaki; Watanabe, Michio] Japan Agcy Marine Earth Sci &amp; Technol, Res Ctr Environm Modeling &amp; Applicat, Yokohama, Japan</t>
  </si>
  <si>
    <t>United States Department of Energy (DOE); Los Alamos National Laboratory; Max Planck Society; UK Research &amp; Innovation (UKRI); Natural Environment Research Council (NERC); NERC British Antarctic Survey; University of Hamburg; Helmholtz Association; Helmholtz-Zentrum Hereon; Norwegian Research Centre (NORCE); Bjerknes Centre for Climate Research; University of California System; University of California San Diego; Scripps Institution of Oceanography; Centre National de la Recherche Scientifique (CNRS); Ecole des Ponts ParisTech; Centre National de la Recherche Scientifique (CNRS); Sorbonne Universite; University of East Anglia; Fisheries &amp; Oceans Canada; Environment &amp; Climate Change Canada; Canadian Centre for Climate Modelling &amp; Analysis (CCCma); National Oceanic Atmospheric Admin (NOAA) - USA; Leibniz Institut fur Ostseeforschung Warnemunde; Japan Agency for Marine-Earth Science &amp; Technology (JAMSTEC); University of Tasmania; Swedish Meteorological &amp; Hydrological Institute; Japan Meteorological Agency; Meteorological Research Institute - Japan; NERC National Oceanography Centre; Japan Agency for Marine-Earth Science &amp; Technology (JAMSTEC)</t>
  </si>
  <si>
    <t>Takano, Y (corresponding author), Los Alamos Natl Lab, Fluid Dynam &amp; Solid Mech Grp, Los Alamos, NM 87545 USA.;Takano, Y (corresponding author), Max Planck Inst Meteorol, Ocean Earth Syst, Hamburg, Germany.;Takano, Y (corresponding author), British Antarctic Survey, Polar Oceans Team, Cambridge, England.</t>
  </si>
  <si>
    <t>yokano@bas.ac.uk</t>
  </si>
  <si>
    <t>Ilyina, Tatiana/ABE-9164-2020; Gröger, Matthias/G-6758-2015; Hayashida, Hakase/AAY-4151-2020; Schwinger, Jörg/AAN-6573-2021</t>
  </si>
  <si>
    <t>Ilyina, Tatiana/0000-0002-3475-4842; Gröger, Matthias/0000-0002-9927-5164; Hayashida, Hakase/0000-0002-6349-4947; Schwinger, Jörg/0000-0002-7525-6882; LOVATO, Tomas/0000-0002-5188-6767; Takano, Yohei/0000-0001-7984-8810</t>
  </si>
  <si>
    <t>U.S. Department of Energy, Office of Science, Office of Biological and Environmental Research [NE/W009579/1]; Horizon 2020 research and innovation programme [641816]; European Union [820989, 101003536, 821003]; Research Council of Norway [CE2COAST (318477), 101083922]; Norwegian Research Council [270061]; National Science Foundation OCE [1948599]; Italian Ministry MIUR through the JPI project [CE2COAST, 318477]; UK National Environmental Research Council [NE/N018036/1, NE/ W004895/1, NE/R015953/1]; MEXT program for the advanced studies of climate change projection (SENTAN) [JPMXD0722680395, JPMXD0722681344]</t>
  </si>
  <si>
    <t>U.S. Department of Energy, Office of Science, Office of Biological and Environmental Research(United States Department of Energy (DOE)); Horizon 2020 research and innovation programme(Horizon 2020); European Union(European Union (EU)); Research Council of Norway(Research Council of Norway); Norwegian Research Council(Research Council of Norway); National Science Foundation OCE(National Science Foundation (NSF)); Italian Ministry MIUR through the JPI project; UK National Environmental Research Council; MEXT program for the advanced studies of climate change projection (SENTAN)</t>
  </si>
  <si>
    <t>The submission has been approved and assigned LA-UR number LA-UR-22-29410. This research used resources of the National Energy Research Scientific Computing Center, a DOE Office of Science User Facility supported by the Office of Science of the U.S. Department of Energy under Contract No. DE-AC02-05CH11231. We thank Charles Stock and Dave Munday for the comments on the manuscript and Taka Ito for the early discussion on observational dataset.r YT is supported as part of the Energy Exascale Earth System Model project, funded by the U.S. Department of Energy, Office of Science, Office of Biological and Environmental Research and a NERC-NSF grant (C-STREAMS, reference NE/W009579/1). This research was also supported by the Horizon 2020 research and innovation programme under grant agreement No. 641816 (CRESCENDO). This project (TI) has received funding from the European Union's Horizon 2020 research and innovation programme under grant agreement No. 820989 (COMFORT), under grant agreement No. 101003536 (ESM2025-Earth System Models for the Future), and under grant agreement No. 821003 (4C). JT acknowledges Research Council of Norway funded project CE2COAST (318477) and OceanICU project under grant agreement no. 101083922. JT and JS were also supported by the Norwegian Research Council (project INES, grant no. 270061). YAE acknowledges funding support from the National Science Foundation OCE grant number 1948599. MB and TL received funding from the Italian Ministry MIUR through the JPI project CE2COAST, grant no. 318477. JP and AY were supported by the UK National Environmental Research Council funding under the ESM LTSM (NE/N018036/1), TerraFIRMA (NE/ W004895/1) and CLASS (NE/R015953/1) projects. MW and HTa were supported by MEXT program for the advanced studies of climate change projection (SENTAN) Grant Numbers JPMXD0722680395 and JPMXD0722681344.</t>
  </si>
  <si>
    <t>10.3389/fmars.2023.1139917</t>
  </si>
  <si>
    <t>Y7VG8</t>
  </si>
  <si>
    <t>WOS:001107294500001</t>
  </si>
  <si>
    <t>Liu, L; Zhang, JC; Zhao, YX; Luan, QS; Zhao, XY; Wang, XL</t>
  </si>
  <si>
    <t>Liu, Lu; Zhang, Jichang; Zhao, Yunxia; Luan, Qingshan; Zhao, Xianyong; Wang, Xinliang</t>
  </si>
  <si>
    <t>Net-phytoplankton communities and influencing factors in the Antarctic Peninsula region in the late austral summer 2019/2020</t>
  </si>
  <si>
    <t>phytoplankton; community structure; sea surface temperature; sea ice concentration; Antarctic krill</t>
  </si>
  <si>
    <t>KRILL EUPHAUSIA-SUPERBA; NORTHERN MARGUERITE BAY; SEA-ICE COVER; SOUTH GEORGIA; GROWTH-RATE; SCOTIA SEA; TEMPERATURE; WEST; BEHAVIOR; WATERS</t>
  </si>
  <si>
    <t>The waters near the Antarctic Peninsula are characterized with unique oceanographic conditions and rich krill resources. Based on samples collected around the South Shetland Islands (SSI) in austral summer of 2019/2020, the net- phytoplankton community structure and relevant major biotic and abiotic influencing factors were investigated. Eighty-one taxa were identified by light microscope, and diatoms were the most abundant group. The most abundant species were Chaetoceros atlanticus, C. criophilus, C. dichaeta, Fragilariopsis kerguelensis and Pseudo-nitzschia lineola. The abundance and Shannon-Weaver index of net-phytoplankton ranged from 100 to 2.64x107 cells/m3 and 0.0747 to 4.0176 respectively, with significantly low values detected in the Bransfield Strait (BS) and high values in the west of the SSI. The dissimilarity was mainly caused by the differences in abundance of diatoms (including Thalassiothrix antarctica and the species in genus Rhizosolenia, Chaetoceros, Fragilariophsis). These diatoms and Dictyocha speculum were found in higher abundance in the west of the SSI, while Corethron pennatum and cryptophytes were found in higher abundance in the BS. Combined with acoustic density of krill and environmental data (Sea Surface Temperature and Sea Ice Concentration). The multivariate analysis suggested that phytoplankton community was positively affected by the SST, and the acoustic- derived krill density would be associated with the spatial distribution of pennate diatoms. This study enhances the knowledge about the selective feeding for krill and provides ecological implications for the Antarctic marine ecosystem.</t>
  </si>
  <si>
    <t>[Liu, Lu; Zhang, Jichang; Zhao, Yunxia; Luan, Qingshan; Zhao, Xianyong; Wang, Xinliang] Chinese Acad Fishery Sci, Yellow Sea Fisheries Res Inst, Key Lab Sustainable Dev Polar Fishery, Minist Agr &amp; Rural Affairs, Qingdao 266071, Shandong, Peoples R China; [Zhang, Jichang; Zhao, Xianyong; Wang, Xinliang] Qingdao Marine Sci &amp; Technol Ctr, Joint Lab Open Sea Fishery Engn, Qingdao, Shandong, Peoples R China</t>
  </si>
  <si>
    <t>Chinese Academy of Fishery Sciences; Yellow Sea Fisheries Research Institute, CAFS; Ministry of Agriculture &amp; Rural Affairs</t>
  </si>
  <si>
    <t>Wang, XL (corresponding author), Chinese Acad Fishery Sci, Yellow Sea Fisheries Res Inst, Key Lab Sustainable Dev Polar Fishery, Minist Agr &amp; Rural Affairs, Qingdao 266071, Shandong, Peoples R China.;Wang, XL (corresponding author), Qingdao Marine Sci &amp; Technol Ctr, Joint Lab Open Sea Fishery Engn, Qingdao, Shandong, Peoples R China.</t>
  </si>
  <si>
    <t>wangxl@ysfri.ac.cn</t>
  </si>
  <si>
    <t>Marine S&amp;T Fund of Shandong Province for Qingdao Marine Science and Technology Center [2022QNLM030002-1]; Central Public-interest Scientific Institution Basal Research Fund, Yellow Sea Fisheries Research Institute, CAFS, China [20603022022013, 20603022021017]; Qingdao Postdoctoral Applied Research Project; Central Public-interest Scientific Institution Basal Research Fund, CAFS, China [2023TD02]; National Natural Science Foundation of China [42006194]</t>
  </si>
  <si>
    <t>Marine S&amp;T Fund of Shandong Province for Qingdao Marine Science and Technology Center; Central Public-interest Scientific Institution Basal Research Fund, Yellow Sea Fisheries Research Institute, CAFS, China; Qingdao Postdoctoral Applied Research Project; Central Public-interest Scientific Institution Basal Research Fund, CAFS, China; National Natural Science Foundation of China(National Natural Science Foundation of China (NSFC))</t>
  </si>
  <si>
    <t>The author(s) declare financial support was received for the research, authorship, and/or publication of this article. This work was funded by the Marine S&amp;T Fund of Shandong Province for Qingdao Marine Science and Technology Center (No. 2022QNLM030002-1); Central Public-interest Scientific Institution Basal Research Fund, Yellow Sea Fisheries Research Institute, CAFS, China (No. 20603022022013, 20603022021017); Qingdao Postdoctoral Applied Research Project; Central Public-interest Scientific Institution Basal Research Fund, CAFS, China (No. 2023TD02); the National Natural Science Foundation of China (No.42006194).</t>
  </si>
  <si>
    <t>10.3389/fmars.2023.1254043</t>
  </si>
  <si>
    <t>Y7SN7</t>
  </si>
  <si>
    <t>WOS:001107223200001</t>
  </si>
  <si>
    <t>Johnson, MS; Adams, VM; Byrne, J</t>
  </si>
  <si>
    <t>Johnson, Malcolm S.; Adams, Vanessa M.; Byrne, Jason</t>
  </si>
  <si>
    <t>Addressing fraudulent responses in online surveys: Insights from a web-based participatory mapping study</t>
  </si>
  <si>
    <t>PEOPLE AND NATURE</t>
  </si>
  <si>
    <t>data analysis; environmental social science; online research; participant recruitment and verification; participatory mapping; qualitative research; web-based surveys</t>
  </si>
  <si>
    <t>INTERNET; QUALITY; LESSONS; CONSISTENCY; INCENTIVES; INDICATORS; ADDICTIONS; CARELESS; ETHICS; ISSUES</t>
  </si>
  <si>
    <t>Web-based studies of human dimensions are increasing across environmental and socio-ecological disciplines. However, the prevalence of fraud threatens research quality. Increased fraud rates should be expected as surveys move progressively more online, motivated by expanding reach, cost savings and/or in response to COVID-19. Web-based research must better account for fraud to maintain confidence in findings. Practical diagnostic tools and data quality protocols are required to detect fraud and ensure results quality.Drawing on our experience using an online participatory mapping case study, we discuss methods to detect potentially fraudulent responses-and identify some limitations. We begin by reviewing the current state of knowledge on fraudulent responses or 'fraudsters' and its relative absence in environmental and socio-ecological disciplines. We then describe our research approach, the indicators and variables we used to detect and assess fraud and our decision-making process to eliminate suspicious responses without jeopardizing research integrity.We found that despite several preventative measures, many fraudulent respondents could provide survey responses and effectively mimicked legitimate respondents at first glance. By assuming each response to be 'potentially fraudulent', we determined that the complete screening of each respondent, while time-consuming, can limit the prevalence of fraud. We also determined that the most common data consistency checks (e.g. duration, trap questions and straight-liner checks) are unlikely to guarantee valid respondents.If not acknowledged and addressed, fraud has the potential to undermine data integrity, discredit research findings and limit the utility of results for policy. This study contributes to environmental and socio-ecological research by reviewing existing fraudster literature and using our experience with fraud to provide recommendations for researchers to address this problem. We encourage researchers implementing online qualitative research methods to thoroughly assess and report fraud, when possible, to ensure widespread knowledge of this growing threat.Read the free Plain Language Summary for this article on the Journal blog. Read the free Plain Language Summary for this article on the Journal blog.</t>
  </si>
  <si>
    <t>[Johnson, Malcolm S.; Adams, Vanessa M.; Byrne, Jason] Univ Tasmania, Sch Geog Planning &amp; Spatial Sci, Hobart, Tas, Australia; [Johnson, Malcolm S.; Adams, Vanessa M.] Univ Tasmania, Inst Marine &amp; Antarctic Studies, Coll Sci &amp; Engn, Ctr Marine Socioecol, Hobart, Tas, Australia</t>
  </si>
  <si>
    <t>Johnson, MS (corresponding author), Univ Tasmania, Sch Geog Planning &amp; Spatial Sci, Hobart, Tas, Australia.;Johnson, MS (corresponding author), Univ Tasmania, Inst Marine &amp; Antarctic Studies, Coll Sci &amp; Engn, Ctr Marine Socioecol, Hobart, Tas, Australia.</t>
  </si>
  <si>
    <t>malcolm.johnson@utas.edu.au</t>
  </si>
  <si>
    <t>Johnson, Malcolm S./0000-0002-1187-071X</t>
  </si>
  <si>
    <t>University of Tasmania's School of Geography, Planning and Spatial Sciences; Centre for Marine Socioecology</t>
  </si>
  <si>
    <t>The authors thank the University of Tasmania's School of Geography, Planning and Spatial Sciences and the Centre for Marine Socioecology for supporting and funding this research and the included graphic. Special thanks are given to Dimuthu Jayakody, who was integral in developing the mapping platform and encouraging the pursuit of this publication, Stacey McCormack, who helped in designing the first figure, and Jaime Kirkpatrick, who provided insight into various aspects of our statistics. We also thank the peer reviewers for their comprehensive comments that have improved this paper.</t>
  </si>
  <si>
    <t>2575-8314</t>
  </si>
  <si>
    <t>PEOPLE NAT</t>
  </si>
  <si>
    <t>People Nat.</t>
  </si>
  <si>
    <t>10.1002/pan3.10557</t>
  </si>
  <si>
    <t>HB2O3</t>
  </si>
  <si>
    <t>WOS:001128086700001</t>
  </si>
  <si>
    <t>Lee, MR; Hallis, LJ; Daly, L; Boyce, AJ</t>
  </si>
  <si>
    <t>Lee, Martin R.; Hallis, Lydia J.; Daly, Luke; Boyce, Adrian J.</t>
  </si>
  <si>
    <t>The water content of CM carbonaceous chondrite falls and finds, and their susceptibility to terrestrial contamination</t>
  </si>
  <si>
    <t>ISOTOPIC COMPOSITION; AQUEOUS ALTERATION; HYDROGEN; EVOLUTION; ASTEROIDS; NITROGEN; ORIGIN; METEORITES; MINERALOGY; DEUTERIUM</t>
  </si>
  <si>
    <t>CM carbonaceous chondrites can be used to constrain the abundance and H isotopic composition of water and OH in C-complex asteroids. Previous measurements of the water/OH content of the CMs are at the higher end of the compositional range of asteroids as determined by remote sensing. One possible explanation is that the indigenous water/OH content of meteorites has been overestimated due to contamination during their time on Earth. Here we have sought to better understand the magnitude and rate of terrestrial contamination through quantifying the concentration and H isotopic composition of telluric and indigenous water in CM falls by stepwise pyrolysis. These measurements have been integrated with published pyrolysis data from CM falls and finds. Once exposed to Earth's atmosphere CM falls are contaminated rapidly, with some acquiring weight percent concentrations of water within days. The amount of water added does not progressively increase with time because CM falls have a similar range of adsorbed water contents to finds. Instead, the petrologic types of CMs strongly influence the amount of terrestrial water that they can acquire. This relationship is probably controlled by mineralogical and/or petrophysical properties of the meteorites that affect their hygroscopicity. Irrespective of the quantity of water that a sample adsorbs or its terrestrial age, there is minimal exchange of H in indigenous phyllosilicates with the terrestrial environment. The falls and finds discussed here contain 1.9-10.5 wt% indigenous water (average 7.0 wt%) that is consistent with recent measurements of C-complex asteroids including Bennu.</t>
  </si>
  <si>
    <t>[Lee, Martin R.; Hallis, Lydia J.; Daly, Luke] Univ Glasgow, Sch Geog &amp; Earth Sci, Glasgow G12 8QQ, Scotland; [Daly, Luke] Univ Sydney, Australian Ctr Microscopy &amp; Microanal, Sydney, NSW, Australia; [Daly, Luke] Univ Oxford, Dept Mat, Oxford, England; [Boyce, Adrian J.] Scottish Univ Environm Res Ctr, Glasgow, Scotland</t>
  </si>
  <si>
    <t>University of Glasgow; University of Sydney; University of Oxford; Scottish Universities Research &amp; Reactor Center</t>
  </si>
  <si>
    <t>Lee, MR (corresponding author), Univ Glasgow, Sch Geog &amp; Earth Sci, Glasgow G12 8QQ, Scotland.</t>
  </si>
  <si>
    <t>martin.lee@glasgow.ac.uk</t>
  </si>
  <si>
    <t>Lee, Martin/D-9169-2011</t>
  </si>
  <si>
    <t>Lee, Martin/0000-0002-6004-3622</t>
  </si>
  <si>
    <t>We thank Alison McDonald (SUERC) for analytical assistance. We are grateful to the Natural History Museum London, Mendy Ouzillou (Skyfall Meteorites), and ANSMET for providing the samples used. US Antarctic meteorite samples are recovered by the Antarctic; NSF [ST/T002328/1, ST/T506096/1, ST/W001128/1]; NASA - UK Science and Technology Facilities Council [2406.0231]; UK Natural Environment Research Council</t>
  </si>
  <si>
    <t>We thank Alison McDonald (SUERC) for analytical assistance. We are grateful to the Natural History Museum London, Mendy Ouzillou (Skyfall Meteorites), and ANSMET for providing the samples used. US Antarctic meteorite samples are recovered by the Antarctic; NSF(National Science Foundation (NSF)); NASA - UK Science and Technology Facilities Council; UK Natural Environment Research Council(UK Research &amp; Innovation (UKRI)Natural Environment Research Council (NERC))</t>
  </si>
  <si>
    <t>We thank Alison McDonald (SUERC) for analytical assistance. We are grateful to the Natural History Museum London, Mendy Ouzillou (Skyfall Meteorites), and ANSMET for providing the samples used.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This work was funded by the UK Science and Technology Facilities Council through grants ST/T002328/1, ST/T506096/1, and ST/W001128/1, and the UK Natural Environment Research Council through NEIF Facility award 2406.0231. We are very grateful to Ashley King and Lionel Vacher for their constructive and knowledgeable reviews of the original manuscript.</t>
  </si>
  <si>
    <t>10.1111/maps.14099</t>
  </si>
  <si>
    <t>WOS:001103559500001</t>
  </si>
  <si>
    <t>Guo, X; Yang, L; Gao, Y; Huang, T; Liu, H; Sun, L; Xie, Z</t>
  </si>
  <si>
    <t>Guo, X. H.; Yang, L. J.; Gao, Y. S.; Huang, T.; Liu, H. W.; Sun, L. G.; Xie, Z. Q.</t>
  </si>
  <si>
    <t>Reconstruction of modified Circumpolar Deep Water intrusion and its oceanographic impact in Prydz Bay, East Antarctica</t>
  </si>
  <si>
    <t>Circumpolar Deep Water; Cadmium; Adelie penguin; East Antarctica; Southern Hemisphere Westerlies; Ice shelf</t>
  </si>
  <si>
    <t>ICE-SHEET RETREAT; SOUTHERN-OCEAN; SEA-ICE; GLACIAL DISCHARGE; ADELIE LAND; ROSS SEA; CADMIUM; HOLOCENE; WEST; CIRCULATION</t>
  </si>
  <si>
    <t>Oceanographic observations and models show that the heat brought by the warm modified Circumpolar Deep Water (mCDW) intrusion accelerates the melting of the Antarctic ice shelf and the loss of sea ice. Limited by the time scale of instrument recording, there are few records of mCDW intrusion into the East Antarctic continental shelf in the historical period. Here, we present a novel proxy of cadmium (Cd) concentrations in Ade ' lie penguin feathers in an ornithogenic sediment profile to reconstruct the variability in mCDW intrusion into the continental shelf in Prydz Bay, East Antarctica, over the past 2500 years. Our reconstruction revealed that the intrusion of mCDW was enhanced from similar to 1500 to 300 yr BP, stimulating the regional increase in glacier discharge and decrease in sea ice; at approximately 200 yr BP, mCDW intrusion weakened and then continued to enhance again during approximately the last 150 years. Furthermore, the enhancement of mCDW intrusion into Prydz Bay appeared to be driven by the southward shift and strengthening of the Southern Hemisphere Westerlies (SWW). The results implied that since this trend in SWW is forecasted for persisting into the 21st century, mCDW intrusion into Prydz Bay may increase continuously, threatening the stability of ice shelf and sea ice, and even the Antarctic Bottom Water formation in the future.</t>
  </si>
  <si>
    <t>[Guo, X. H.; Xie, Z. Q.] Univ Sci &amp; Technol China, Sch Life Sci, Hefei 230026, Anhui, Peoples R China; [Guo, X. H.; Yang, L. J.; Gao, Y. S.; Liu, H. W.; Sun, L. G.; Xie, Z. Q.] Univ Sci &amp; Technol China, Inst Polar Environm, Hefei 230026, Anhui, Peoples R China; [Guo, X. H.; Yang, L. J.; Gao, Y. S.; Liu, H. W.; Sun, L. G.; Xie, Z. Q.] Univ Sci &amp; Technol China, Dept Environm Sci &amp; Engn, Anhui Key Lab Polar Environm &amp; Global Change, Hefei 230026, Anhui, Peoples R China; [Huang, T.] Anhui Univ, Sch Resources &amp; Environm Engn, Hefei 230601, Anhui, Peoples R China</t>
  </si>
  <si>
    <t>Chinese Academy of Sciences; University of Science &amp; Technology of China, CAS; Chinese Academy of Sciences; University of Science &amp; Technology of China, CAS; Chinese Academy of Sciences; University of Science &amp; Technology of China, CAS; Anhui University</t>
  </si>
  <si>
    <t>Yang, L; Xie, Z (corresponding author), Univ Sci &amp; Technol China, Inst Polar Environm, Hefei 230026, Anhui, Peoples R China.;Yang, L; Xie, Z (corresponding author), Univ Sci &amp; Technol China, Dept Environm Sci &amp; Engn, Anhui Key Lab Polar Environm &amp; Global Change, Hefei 230026, Anhui, Peoples R China.</t>
  </si>
  <si>
    <t>ljyang@ustc.edu.cn; zqxie@ustc.edu.cn</t>
  </si>
  <si>
    <t>National Natural Science Foundation of China (NSFC) [41930532, 42376229, 42372209, 42006185]</t>
  </si>
  <si>
    <t>National Natural Science Foundation of China (NSFC)(National Natural Science Foundation of China (NSFC))</t>
  </si>
  <si>
    <t>This study was funded by the National Natural Science Foundation of China (NSFC) (No. 41930532, 42376229, 42372209 and 42006185) . The authors are grateful to Prof. R.B. Zhu for sample collection. The authors thank Prof. X. Crosta for providing S -DG, Si -DG, HBIs, F.curta gp and 6 18 O diatom data in core JPC24. Sample information and data are available at the Resource Sharing Platform of Polar Samples (http://b irds.chinare.org.cn) maintained by the Polar Research Institute of China (PRIC) and the Chinese National Arctic and Antarctic Data Center (CN-NADC) .</t>
  </si>
  <si>
    <t>10.1016/j.quascirev.2023.108400</t>
  </si>
  <si>
    <t>Z5PP3</t>
  </si>
  <si>
    <t>WOS:001112595500001</t>
  </si>
  <si>
    <t>Quezada-Rodriguez, PR; Downes, J; Egan, F; Taylor, RS; White, S; Brenan, A; Rigby, ML; Nowak, BF; Wynne, JW; Ruane, NM</t>
  </si>
  <si>
    <t>Quezada-Rodriguez, Petra R.; Downes, Jamie; Egan, Fintan; Taylor, Richard S.; White, Samantha; Brenan, Aisling; Rigby, Megan L.; Nowak, Barbara F.; Wynne, James W.; Ruane, Neil M.</t>
  </si>
  <si>
    <t>Assessment of gill microbiome of two strains of Atlantic salmon reared in flowthrough and recirculation hatcheries and following seawater transfer</t>
  </si>
  <si>
    <t>Salmo salar; Aquaculture; RAS; Gill microbiome</t>
  </si>
  <si>
    <t>IMMUNE GENE-EXPRESSION; AQUACULTURE SYSTEMS; RAINBOW-TROUT; FISH; RESISTANT; RAS</t>
  </si>
  <si>
    <t>The gill mucosal microbiome of Atlantic salmon has a significant impact on mucosal health and physiology under homeostatic conditions, but the microbial community may itself be influenced by host genetics, the culture system and seawater transfer. In this study, the impact of two commercial strains of Atlantic salmon, reared in two parallel hatchery systems (flow-through -FT and recirculation -RAS) on the gill microbiome was investigated. Samples of gill mucosal microbiome, tank biofilm and water were collected from the fish cohorts at the hatcheries and following seawater transfer. Though the gill microbiome of fish from the two commercially equivalent FT and RAS hatcheries had similar beta and alpha diversity, the alpha diversity indicators of bacterial communities of gills significantly increased after seawater input. Ultimately, no effect of the genetic strain on the gill microbiome was detected. Our results showed that under commercially equivalent FT or RAS hatchery systems with a common water source, two strains of Atlantic salmon had comparable gill microbiomes.</t>
  </si>
  <si>
    <t>[Quezada-Rodriguez, Petra R.; Taylor, Richard S.; Rigby, Megan L.; Wynne, James W.] CSIRO Agr &amp; Food Livestock &amp; Aquaculture, Hobart, Tas 7000, Australia; [Downes, Jamie; White, Samantha; Brenan, Aisling; Ruane, Neil M.] Marine Inst, Oranmore H91R673, Co Galway, Ireland; [Downes, Jamie; Egan, Fintan] Marine Inst, Newport F28PF65, Co Mayo, Ireland; [Nowak, Barbara F.] Univ Tasmania, Inst Marine &amp; Antarctic Studies, Launceston, Tas 7250, Australia</t>
  </si>
  <si>
    <t>Commonwealth Scientific &amp; Industrial Research Organisation (CSIRO); Marine Institute Ireland; Marine Institute Ireland; University of Tasmania</t>
  </si>
  <si>
    <t>Quezada-Rodriguez, PR (corresponding author), CSIRO Agr &amp; Food Livestock &amp; Aquaculture, Hobart, Tas 7000, Australia.</t>
  </si>
  <si>
    <t>petra.quezada@utas.edu.au</t>
  </si>
  <si>
    <t>Taylor, Richard S/E-9961-2012</t>
  </si>
  <si>
    <t>Fisheries Society of the British Isles; Australian Society for Para- sitology Inc.; Australian Society for Parasitology [2019_ASPA_PDRQR2019, 17/KGS/009]; EU; University of Tasmania; IMAS Tasmania Graduate Research Scholarship; Irish Government</t>
  </si>
  <si>
    <t>Fisheries Society of the British Isles; Australian Society for Para- sitology Inc.; Australian Society for Parasitology; EU(European Union (EU)); University of Tasmania; IMAS Tasmania Graduate Research Scholarship; Irish Government</t>
  </si>
  <si>
    <t>The Fisheries Society of the British Isles (small research grant and travel grant) and the Australian Society for Parasitology (grant number 2019_ASPA_PDRQR2019) are acknowledged for the small research award and travel grants that supported financially this study. Similarly, to SalmonSmolt (17/KGS/009) which was funded through the Knowledge Gateway Scheme, operated by Bord Iascaigh Mhara (BIM) established under the European Maritime Fisheries Fund (EMFF) and cofunded by the Irish Government and the EU. We want to thank Cathy Hickey, Liz Ryder, Suzanne Kelly, Joanne Casserly, Frank Kane and Tom McDermott (Marine Institute) for their help with sampling and initial sample processing. The first author wishes to thank the University of Tasmania for the award IMAS Tasmania Graduate Research Scholarship Co-funded.</t>
  </si>
  <si>
    <t>10.1016/j.aquaculture.2023.740322</t>
  </si>
  <si>
    <t>Z4LR2</t>
  </si>
  <si>
    <t>WOS:001111812900001</t>
  </si>
  <si>
    <t>Bouchet, M; Landais, A; Grisart, A; Parrenin, F; Prié, F; Jacob, R; Fourré, E; Capron, E; Raynaud, D; Lipenkov, VY; Loutre, MF; Extier, T; Svensson, A; Legrain, E; Martinerie, P; Leuenberger, M; Jiang, W; Ritterbusch, F; Lu, ZT; Yang, GM</t>
  </si>
  <si>
    <t>Bouchet, Marie; Landais, Amaelle; Grisart, Antoine; Parrenin, Frederic; Prie, Frederic; Jacob, Roxanne; Fourre, Elise; Capron, Emilie; Raynaud, Dominique; Lipenkov, Vladimir Ya; Loutre, Marie-France; Extier, Thomas; Svensson, Anders; Legrain, Etienne; Martinerie, Patricia; Leuenberger, Markus; Jiang, Wei; Ritterbusch, Florian; Lu, Zheng-Tian; Yang, Guo-Min</t>
  </si>
  <si>
    <t>The Antarctic Ice Core Chronology 2023 (AICC2023) chronological framework and associated timescale for the European Project for Ice Coring in Antarctica (EPICA) Dome C ice core</t>
  </si>
  <si>
    <t>ABRUPT CLIMATE-CHANGE; FIRN DENSIFICATION; AIR CONTENT; VOLCANIC SYNCHRONIZATION; RECORD; GREENLAND; VARIABILITY; AGE; MODEL; TEMPERATURE</t>
  </si>
  <si>
    <t>The EPICA (European Project for Ice Coring in Antarctica) Dome C (EDC) ice core drilling in East Antarctica reaches a depth of 3260 m. The reference EDC chronology, the AICC2012 (Antarctic Ice Core Chronology 2012), provides an age vs. depth relationship covering the last 800 kyr (thousands of years), with an absolute uncertainty rising up to 8000 years at the bottom of the ice core. The origins of this relatively large uncertainty are twofold: (1) the delta 18 O atm , delta O 2 / N 2 and total air content (TAC) records are poorly resolved and show large gaps over the last 800 kyr, and (2) large uncertainties are associated with their orbital targets. Here, we present new highly resolved delta 18 O atm , delta O 2 / N 2 and delta 15 N measurements for the EDC ice core covering the last five glacial-interglacial transitions; a new low-resolution TAC record over the period 440-800 ka BP (ka: 1000 years before 1950); and novel absolute 81 Kr ages. We have compiled chronological and glaciological information including novel orbital age markers from new data on the EDC ice core as well as accurate firn modeling estimates in a Bayesian dating tool to construct the new AICC2023 chronology. For the first time, three orbital tools are used simultaneously. Hence, it is possible to observe that they are consistent with each other and with the other age markers over most of the last 800 kyr (70 %). This, in turn, gives us confidence in the new AICC2023 chronology. The average uncertainty in the ice chronology is reduced from 1700 to 900 years in AICC2023 over the last 800 kyr ( 1 sigma ). The new timescale diverges from AICC2012 and suggests age shifts reaching 3800 years towards older ages over marine isotope stages (MISs) 5, 11 and 19. But the coherency between the new AICC2023 timescale and independent chronologies of other archives (Italian Lacustrine succession from Sulmona Basin, Dome Fuji ice core and northern Alpine speleothems) is improved by 1000 to 2000 years over these time intervals.</t>
  </si>
  <si>
    <t>[Bouchet, Marie; Landais, Amaelle; Grisart, Antoine; Prie, Frederic; Jacob, Roxanne; Fourre, Elise] Univ Paris Saclay, CEA CNRS UVSQ, LSCE IPSL, Lab Sci Climat &amp; Environm, F-91190 Gif Sur Yvette, France; [Parrenin, Frederic; Capron, Emilie; Raynaud, Dominique; Legrain, Etienne; Martinerie, Patricia] Univ Grenoble Alpes, Inst Environm Geosci, IRD, Grenoble INP,CNRS,INRAE, F-38000 Grenoble, France; [Lipenkov, Vladimir Ya] Arctic &amp; Antarctic Res Inst, St Petersburg 199397, Russia; [Loutre, Marie-France] Univ Bern, PAGES Int Project Off, CH-3012 Bern, Switzerland; [Loutre, Marie-France] Catholic Univ Louvain UCL, Earth &amp; Life Inst, Georges Lemaitre Ctr Earth &amp; Climate Res TECLIM, B-1348 Louvain La Neuve, Belgium; [Extier, Thomas] Univ Bordeaux, EPOC, UMR 5805, CNRS, F-33600 Pessac, France; [Svensson, Anders] Univ Copenhagen, Niels Bohr Inst, Phys Ice Climate &amp; Earth, DK-2100 Copenhagen, Denmark; [Leuenberger, Markus] Univ Bern, Phys Inst, Climate &amp; Environm Phys, CH-3012 Bern, Switzerland; [Leuenberger, Markus] Univ Bern, Oeschger Ctr Climate Change Res, CH-3012 Bern, Switzerland; [Jiang, Wei; Ritterbusch, Florian; Lu, Zheng-Tian; Yang, Guo-Min] Univ Sci &amp; Technol China, Dept Engn &amp; Appl Phys, Hefei Natl Lab, Hefei 230026, Peoples R China</t>
  </si>
  <si>
    <t>CEA; Centre National de la Recherche Scientifique (CNRS); Universite Paris Saclay; Universite Paris Cite; Communaute Universite Grenoble Alpes; Institut National Polytechnique de Grenoble; INRAE; Universite Grenoble Alpes (UGA); Centre National de la Recherche Scientifique (CNRS); Institut de Recherche pour le Developpement (IRD); Arctic &amp; Antarctic Research Institute; University of Bern; Universite de Bordeaux; Centre National de la Recherche Scientifique (CNRS); CNRS - National Institute for Earth Sciences &amp; Astronomy (INSU); University of Copenhagen; Niels Bohr Institute; University of Bern; University of Bern; Chinese Academy of Sciences; University of Science &amp; Technology of China, CAS; Hefei National Laboratory</t>
  </si>
  <si>
    <t>Bouchet, M (corresponding author), Univ Paris Saclay, CEA CNRS UVSQ, LSCE IPSL, Lab Sci Climat &amp; Environm, F-91190 Gif Sur Yvette, France.</t>
  </si>
  <si>
    <t>marie.bouchet@lsce.ipsl.fr</t>
  </si>
  <si>
    <t>Lu, Zheng-Tian/G-1131-2017; Svensson, Anders/A-2643-2010</t>
  </si>
  <si>
    <t>Svensson, Anders/0000-0002-4364-6085; Extier, Thomas/0000-0002-9531-8753; Capron, Emilie/0000-0003-0784-1884; grisart, antoine/0000-0003-4594-5596; FOURRE, Elise/0000-0002-2554-9660; Bouchet, Marie/0009-0002-0760-1776</t>
  </si>
  <si>
    <t>European Research Council under the European Union Horizon 2020 Excellent Science program (H2020/20192024)/ERC grant; [817493]</t>
  </si>
  <si>
    <t>European Research Council under the European Union Horizon 2020 Excellent Science program (H2020/20192024)/ERC grant;</t>
  </si>
  <si>
    <t>This research has received funding from the European Research Council under the European Union Horizon 2020 Excellent Science program (H2020/20192024)/ERC grant agreement no. 817493 (ERC ICORDA).</t>
  </si>
  <si>
    <t>NOV 10</t>
  </si>
  <si>
    <t>10.5194/cp-19-2257-2023</t>
  </si>
  <si>
    <t>IV2U6</t>
  </si>
  <si>
    <t>WOS:001169054500001</t>
  </si>
  <si>
    <t>Cavitte, MGP; Goosse, H; Matsuoka, K; Wauthy, S; Goel, V; Dey, R; Pratap, B; Van Liefferinge, B; Meloth, T; Tison, JL</t>
  </si>
  <si>
    <t>Cavitte, Marie G. P.; Goosse, Hugues; Matsuoka, Kenichi; Wauthy, Sarah; Goel, Vikram; Dey, Rahul; Pratap, Bhanu; Van Liefferinge, Brice; Meloth, Thamban; Tison, Jean-Louis</t>
  </si>
  <si>
    <t>Investigating the spatial representativeness of East Antarctic ice cores: a comparison of ice core and radar-derived surface mass balance over coastal ice rises and Dome Fuji</t>
  </si>
  <si>
    <t>DRONNING MAUD LAND; SNOW ACCUMULATION; WEST ANTARCTICA; STABLE-ISOTOPES; CLIMATE; TEMPERATURE; VARIABILITY; MODEL; SHELF; PATTERNS</t>
  </si>
  <si>
    <t>Surface mass balance (SMB) of the Antarctic Ice Sheet must be better understood to document the current Antarctic contribution to sea-level rise. In situ point data using snow stakes and ice cores are often used to evaluate the state of the ice sheet's mass balance, as well as to assess SMB derived from regional climate models, which are then used to produce future climate projections. However, spatial representativeness of individual point data remains largely unknown, particularly in the coastal regions of Antarctica with highly variable terrain. Here, we compare ice core data collected at the summit of eight ice rises along the coast of Dronning Maud Land, as well as at the Dome Fuji site, and shallow ice-penetrating radar data over these regions. Shallow radar data have the advantage of being spatially extensive, with a temporal resolution that varies between a yearly and multi-year resolution, from which we can derive a SMB record over the entire radar survey. This comparison therefore allows us to evaluate the spatial variability of SMB and the spatial representativeness of ice-core-derived SMB. We found that ice core mean SMB is very local, and the difference with radar-derived SMB increases in a logarithmic fashion as the surface covered by the radar data increases, with a plateau similar to 1-2 km away from the ice crest for most ice rises, where there are strong wind-topography interactions, and similar to 10 km where the ice shelves begin. The relative uncertainty in measuring SMB also increases rapidly as we move away from the ice core sites. Five of our ice rise sites show a strong spatial representativeness in terms of temporal variability, while the other three sites show that it is limited to a surface area between 20-120 km 2 . The Dome Fuji site, on the other hand, shows a small difference between pointwise and area mean SMB, as well as a strong spatial representativeness in terms of temporal variability. We found no simple parameterization that could represent the spatial variability observed at all the sites. However, these data clearly indicate that local spatial SMB variability must be considered when assessing mass balance, as well as comparing modeled SMB values to point field data, and therefore must be included in the estimate of the uncertainty of the observations.</t>
  </si>
  <si>
    <t>[Cavitte, Marie G. P.; Goosse, Hugues] Univ Catholique Louvain UCLouvain, Earth &amp; Life Inst ELI, Louvain La Neuve, Belgium; [Matsuoka, Kenichi] Norwegian Polar Res Inst, Tromso, Norway; [Wauthy, Sarah; Tison, Jean-Louis] Univ Libre Bruxelles ULB, Lab Glaciol, Brussels, Belgium; [Goel, Vikram; Dey, Rahul; Pratap, Bhanu; Meloth, Thamban] Minist Earth Sci, Natl Ctr Polar &amp; Ocean Res NCPOR, Vasco Da Gama 403804, Goa, India; [Van Liefferinge, Brice] SPF Interieur, Brussels, Belgium</t>
  </si>
  <si>
    <t>Norwegian Polar Institute; Universite Libre de Bruxelles; Ministry of Earth Sciences (MoES) - India; National Centre for Polar and Ocean Research (NCPOR)</t>
  </si>
  <si>
    <t>Cavitte, MGP (corresponding author), Univ Catholique Louvain UCLouvain, Earth &amp; Life Inst ELI, Louvain La Neuve, Belgium.</t>
  </si>
  <si>
    <t>marie.cavitte@uclouvain.be</t>
  </si>
  <si>
    <t>Goel, Vikram/ABV-7985-2022; DEY, RAHUL/AFJ-3515-2022</t>
  </si>
  <si>
    <t>Goel, Vikram/0000-0002-8393-0195; DEY, RAHUL/0000-0002-8121-4777</t>
  </si>
  <si>
    <t>Belgian Research Action through Interdisciplinary Networks (BRAIN-be) from the Belgian Science Policy Office in the framework of the project [BR/165/A2/Mass2Ant]; Marie Cavitte's FRS-FNRS postdoctoral fellowship</t>
  </si>
  <si>
    <t>Belgian Research Action through Interdisciplinary Networks (BRAIN-be) from the Belgian Science Policy Office in the framework of the project; Marie Cavitte's FRS-FNRS postdoctoral fellowship</t>
  </si>
  <si>
    <t>This work was partially supported by the Belgian Research Action through Interdisciplinary Networks (BRAIN-be) from the Belgian Science Policy Office in the framework of the project East Antarctic surface mass balance in the Anthropocene: observations and multiscale modelling (Mass2Ant) (con-tract no. BR/165/A2/Mass2Ant). This work was supported by Marie Cavitte's FRS-FNRS postdoctoral fellowship.</t>
  </si>
  <si>
    <t>10.5194/tc-17-4779-2023</t>
  </si>
  <si>
    <t>IV3Q5</t>
  </si>
  <si>
    <t>WOS:001169076700001</t>
  </si>
  <si>
    <t>Hospitaleche, CA; Jones, W</t>
  </si>
  <si>
    <t>Hospitaleche, Carolina Acosta; Jones, Washington</t>
  </si>
  <si>
    <t>Were terror birds the apex continental predators of Antarctica? New findings in the early Eocene of Seymour Island</t>
  </si>
  <si>
    <t>PALAEONTOLOGIA ELECTRONICA</t>
  </si>
  <si>
    <t>ungual phalanx; anatomy; Cariamiformes; Phorusrhacidae; Antarctic Peninsula; Ypresian</t>
  </si>
  <si>
    <t>MIDDLE EOCENE; SOUTH-AMERICA; AVES; PHORUSRHACIDAE; MIOCENE; PALEOGENE; SIZE; PLEISTOCENE; AFFINITIES; PATAGONIA</t>
  </si>
  <si>
    <t>Two ungual phalanges attributed to large birds were collected in the Ypresian materials were found in localities in proximity on Seymour Island in West Antarctica. The pronounced curvature, considerable size robustness, and the extension of the flexor tubercle provide compelling evidence for their classification within Cariamiformes. Additionally, the results of quantitative analyses strongly support this assignment to Phorusrhacidae or a Phorusrhacidae-like bird resembling Phorusrhacos longissimus. These phalanges belonged to a large or even giant predator, estimated to have had a substantial body mass of around 100 kg. It is highly likely that this bird was an active predator, hunting and feeding on small marsupials and medium-sized ungulates. This finding fundamentally changes our understanding of the dynamic within the Antarctic continental ecosystems during the early Eocene. It reveals that large carnivorous birds assumed the role of continental apex predators apparently sub-occupied by mammals.</t>
  </si>
  <si>
    <t>[Hospitaleche, Carolina Acosta] Museo La Plata, Div Paleontol Vertebrados, Paseo Bosque S-N,B1900FWA, La Plata, Argentina; [Hospitaleche, Carolina Acosta] Univ Nacl La Plata, Fac Ciencias Nat &amp; Museo, La Plata, Argentina; [Hospitaleche, Carolina Acosta] Consejo Nacl Invest Cient &amp; Tecn, Godoy Cruz 2290, Buenos Aires, DF, Argentina; [Jones, Washington] Museo Nacl Hist Nat, 25 Mayo 582, Montevideo 11000, Uruguay</t>
  </si>
  <si>
    <t>National University of La Plata; Museo La Plata; National University of La Plata; Museo La Plata; Consejo Nacional de Investigaciones Cientificas y Tecnicas (CONICET)</t>
  </si>
  <si>
    <t>Hospitaleche, CA (corresponding author), Museo La Plata, Div Paleontol Vertebrados, Paseo Bosque S-N,B1900FWA, La Plata, Argentina.;Hospitaleche, CA (corresponding author), Univ Nacl La Plata, Fac Ciencias Nat &amp; Museo, La Plata, Argentina.;Hospitaleche, CA (corresponding author), Consejo Nacl Invest Cient &amp; Tecn, Godoy Cruz 2290, Buenos Aires, DF, Argentina.</t>
  </si>
  <si>
    <t>acostacaro@fcnym.unlp.edu.ar; wawijo78@gmail.com</t>
  </si>
  <si>
    <t>Acosta Hospitaleche, Carolina/0000-0002-2614-1448</t>
  </si>
  <si>
    <t>Consejo Nacional de Investigaciones Cientificas y Tecnologicas [PIP 0096]; Universidad Nacional de La Plata [N955, N953]; Agencia Nacional de Promocion Cientifica y Tecnologica [PICT 2017 0607]</t>
  </si>
  <si>
    <t>Consejo Nacional de Investigaciones Cientificas y Tecnologicas; Universidad Nacional de La Plata(National University of La Plata); Agencia Nacional de Promocion Cientifica y Tecnologica(ANPCyTSpanish Government)</t>
  </si>
  <si>
    <t>We thank the Direccion Nacional del Antartico and the Instituto Antartico Argentina for the invita-tion to field, and to Fuerza Aerea Argentina for logistic support. J.N. Gelfo, D. Garcia Lopez, and F. Irazoqui invaluably collaborated in field and P. Carreiras kindly made the tomographies assisted by Dr. J.N. Gelfo. Partial help was provided by the Consejo Nacional de Investigaciones Cientificas y Tecnologicas (PIP 0096) , Universidad Nacional de La Plata (N955 and N953) , and Agencia Nacional de Promocion Cientifica y Tecnologica (PICT 2017 0607) . Lic. M. Charnelli drew the paleoenvironmen-</t>
  </si>
  <si>
    <t>COQUINA PRESS</t>
  </si>
  <si>
    <t>AMHERST</t>
  </si>
  <si>
    <t>C/O WHITEY HAGADORN, EXECUTIVE EDITOR, AMHERST COLLEGE, DEPT GEOLOGY, AMHERST, MA 01002 USA</t>
  </si>
  <si>
    <t>1935-3952</t>
  </si>
  <si>
    <t>1094-8074</t>
  </si>
  <si>
    <t>PALAEONTOL ELECTRON</t>
  </si>
  <si>
    <t>Palaeontol. electron.</t>
  </si>
  <si>
    <t>2023 NOV 10</t>
  </si>
  <si>
    <t>10.26879/1340</t>
  </si>
  <si>
    <t>HP4M5</t>
  </si>
  <si>
    <t>WOS:001160695400001</t>
  </si>
  <si>
    <t>Bayram, LC; Isler, CT; Ekebas, G</t>
  </si>
  <si>
    <t>Bayram, Latife Cakir; Isler, Cafer Tayer; Ekebas, Goerkem</t>
  </si>
  <si>
    <t>Determination of reference values for tear production and intraocular pressure in Pygoscelis penguins of the Antarctic Peninsula</t>
  </si>
  <si>
    <t>BMC VETERINARY RESEARCH</t>
  </si>
  <si>
    <t>Article; Proceedings Paper</t>
  </si>
  <si>
    <t>13th International Symposium on Antarctic Earth Sciences (ISAES)</t>
  </si>
  <si>
    <t>JUL 22-26, 2019</t>
  </si>
  <si>
    <t>Incheon, SOUTH KOREA</t>
  </si>
  <si>
    <t>Intraocular pressure; Pygoscelis penguins; Rebound tonometry; Schirmer's tear test; Tear production; Tonovet (R)</t>
  </si>
  <si>
    <t>OPHTHALMIC DIAGNOSTIC-TESTS; FLAMINGOS PHOENICOPTERUS-RUBER; SPHENISCUS-MAGELLANICUS; EUDYPTES-CHRYSOLOPHUS; REBOUND TONOMETER; OCULAR FINDINGS; EYE; TONOVET(R); PARAMETERS; CATARACT</t>
  </si>
  <si>
    <t>Background: According to the literature review, this is the first study investigating tear production (TP) and intraocular pressure (IOP) in the Pygoscelis penguins living in their natural habitat. The study aimed to establish normal values for standard ocular tests in the genus Pygoscelis, namely, the Ad &amp; eacute;lie (Pygoscelis adeliae), gentoo (Pygoscelis papua), and chinstrap (Pygoscelis antarctica) penguins, in four different islands of Antarctica. Sampling was made by specifically using the left eye of the penguins. The Schirmer's tear test type I (STT-I) and the Tonovet (R) (rebound tonometer) were used to measure the TP and the IOP, respectively.Results: The mean TP and IOP values of 129 Ad &amp; eacute;lie, chinstrap, gentoo, and 120 adult Ad &amp; eacute;lie, gentoo penguins were determined as 10.2 +/- 4.0 mm/min and 38.9 +/- 13.2 mmHg, respectively. No statistical difference was detected between the penguin species for the mean IOP values, while the difference was determined in all the locations. However, statistical differences in the mean TP values were determined between all locations.Conclusion: The results of this study provide a reference range of Schirmer's tear test (STT) and IOP values in Pygoscelis penguins and show that the IOP is significantly affected by locations. This result can be attributed to the harsh climatic conditions of the Antarctic Peninsula that change very quickly. The described data may help diagnose clinical pathological findings in Pygoscelis penguins. The STT and rebound tonometry appears to be safe and reproducible methods in Pygoscelis penguins, as the results were obtained quickly and were well tolerated by the birds. Based on our results, we propose that similar studies can be initiated in crowded colonies of three penguin species of this genus on the Antarctic Peninsula, the southern Shetland Islands, and other frequently visited islands in Antarctica.</t>
  </si>
  <si>
    <t>[Bayram, Latife Cakir; Ekebas, Goerkem] Erciyes Univ, Fac Vet Med, Dept Pathol, TR-38280 Kayseri, Turkiye; [Isler, Cafer Tayer] Hatay Mustafa Kemal Univ, Fac Vet Med, Dept Surg, Hatay, Turkiye</t>
  </si>
  <si>
    <t>Erciyes University; Mustafa Kemal University</t>
  </si>
  <si>
    <t>Bayram, LC (corresponding author), Erciyes Univ, Fac Vet Med, Dept Pathol, TR-38280 Kayseri, Turkiye.</t>
  </si>
  <si>
    <t>lcakir@erciyes.edu.tr</t>
  </si>
  <si>
    <t>Presidency of The Republic of Turkey - Ministry of Industry and Technology</t>
  </si>
  <si>
    <t>This study was conducted under the auspices of the Presidency of The Republic of Turkey, supported by the Ministry of Industry and Technology, and coordinated by the Polar Research Centre (PolReC) of Istanbul Technical University (ITU). The authors would like to thank the Chilean Antarctic Institute (INACHInstituto Antartico Chileno) and Chilean officials, specifically the INACH Project team led by Dr. Rafael Medina, also including Dr. Victor Neira Ramirez, Ph.D. student Gonzalo Barriga, and graduate student Felipe Berrios, for their valuable assistance during the fieldwork. The authors extend their special thanks to Dr. Jose Retamales for enabling access to the excellent working facilities in Chile and Antarctica.</t>
  </si>
  <si>
    <t>BMC</t>
  </si>
  <si>
    <t>CAMPUS, 4 CRINAN ST, LONDON N1 9XW, ENGLAND</t>
  </si>
  <si>
    <t>1746-6148</t>
  </si>
  <si>
    <t>BMC VET RES</t>
  </si>
  <si>
    <t>BMC Vet. Res.</t>
  </si>
  <si>
    <t>10.1186/s12917-023-03794-y</t>
  </si>
  <si>
    <t>Veterinary Sciences</t>
  </si>
  <si>
    <t>Science Citation Index Expanded (SCI-EXPANDED); Conference Proceedings Citation Index - Science (CPCI-S)</t>
  </si>
  <si>
    <t>Y1PJ9</t>
  </si>
  <si>
    <t>Green Published, Green Submitted, gold</t>
  </si>
  <si>
    <t>WOS:001103053600001</t>
  </si>
  <si>
    <t>Taucher, J; Lechtenboerger, AK; Bouquet, JM; Spisla, C; Boxhammer, T; Minutolo, F; Bach, LT; Lohbeck, KT; Sswat, M; Dörner, I; Ismar-Rebitz, SMH; Thompson, EM; Riebesell, U</t>
  </si>
  <si>
    <t>Taucher, Jan; Lechtenboerger, Anna Katharina; Bouquet, Jean-Marie; Spisla, Carsten; Boxhammer, Tim; Minutolo, Fabrizio; Bach, Lennart Thomas; Lohbeck, Kai T.; Sswat, Michael; Doerner, Isabel; Ismar-Rebitz, Stefanie M. H.; Thompson, Eric M.; Riebesell, Ulf</t>
  </si>
  <si>
    <t>The appendicularian Oikopleura dioica can enhance carbon export in a high CO2 ocean</t>
  </si>
  <si>
    <t>GLOBAL CHANGE BIOLOGY</t>
  </si>
  <si>
    <t>biological carbon pump; carbon fluxes; gelatinous zooplankton; global change; larvaceans; mesocosm experiments; ocean acidification</t>
  </si>
  <si>
    <t>FUNCTIONAL-RESPONSE; TECHNICAL NOTE; ZOOPLANKTON; MICROZOOPLANKTON; ACIDIFICATION; EXTREMES; RATES; SEA; PRODUCTIVITY; TUNICATA</t>
  </si>
  <si>
    <t>Gelatinous zooplankton are increasingly recognized to play a key role in the ocean's biological carbon pump. Appendicularians, a class of pelagic tunicates, are among the most abundant gelatinous plankton in the ocean, but it is an open question how their contribution to carbon export might change in the future. Here, we conducted an experiment with large volume in situ mesocosms (similar to 55-60 m(3) and 21 m depth) to investigate how ocean acidification (OA) extreme events affect food web structure and carbon export in a natural plankton community, particularly focusing on the keystone species Oikopleura dioica, a globally abundant appendicularian. We found a profound influence of O. dioica on vertical carbon fluxes, particularly during a short but intense bloom period in the high CO2 treatment, during which carbon export was 42%-64% higher than under ambient conditions. This elevated flux was mostly driven by an almost twofold increase in O. dioica biomass under high CO2. This rapid population increase was linked to enhanced fecundity (+20%) that likely resulted from physiological benefits of low pH conditions. The resulting competitive advantage of O. dioica resulted in enhanced grazing on phytoplankton and transfer of this consumed biomass into sinking particles. Using a simple carbon flux model for O. dioica, we estimate that high CO2 doubled the carbon flux of discarded mucous houses and fecal pellets, accounting for up to 39% of total carbon export from the ecosystem during the bloom. Considering the wide geographic distribution of O. dioica, our findings suggest that appendicularians may become an increasingly important vector of carbon export with ongoing OA.</t>
  </si>
  <si>
    <t>[Taucher, Jan; Lechtenboerger, Anna Katharina; Spisla, Carsten; Boxhammer, Tim; Minutolo, Fabrizio; Sswat, Michael; Doerner, Isabel; Ismar-Rebitz, Stefanie M. H.; Riebesell, Ulf] GEOMAR Helmholtz Ctr Ocean Res Kiel, Kiel, Germany; [Bouquet, Jean-Marie; Thompson, Eric M.] Univ Bergen, Dept Biol Sci, Bergen, Norway; [Bouquet, Jean-Marie; Thompson, Eric M.] Univ Bergen, Michael Sars Ctr Marine Mol Biol, Bergen, Norway; [Minutolo, Fabrizio] Helmholtz Ctr Hereon, Inst Carbon Cycles, Geesthacht, Germany; [Bach, Lennart Thomas] Univ Tasmania, Inst Marine &amp; Antarctic Studies, Hobart, Tas, Australia; [Lohbeck, Kai T.] Univ Konstanz, Limnol Inst, Constance, Germany</t>
  </si>
  <si>
    <t>Helmholtz Association; GEOMAR Helmholtz Center for Ocean Research Kiel; University of Bergen; University of Bergen; University of Tasmania; University of Konstanz</t>
  </si>
  <si>
    <t>Taucher, J (corresponding author), GEOMAR Helmholtz Ctr Ocean Res Kiel, Kiel, Germany.</t>
  </si>
  <si>
    <t>jtaucher@geomar.de</t>
  </si>
  <si>
    <t>Sswat, Michael/B-7944-2019</t>
  </si>
  <si>
    <t>Boxhammer, Tim/0000-0002-9632-5947; Bach, Lennart/0000-0003-0202-3671</t>
  </si>
  <si>
    <t>Deutsche Forschungsgemeinschaft; Norges Forskningsrad [NFR-HK 204040]</t>
  </si>
  <si>
    <t>Deutsche Forschungsgemeinschaft(German Research Foundation (DFG)); Norges Forskningsrad(Research Council of Norway)</t>
  </si>
  <si>
    <t>Deutsche Forschungsgemeinschaft; Norges Forskningsrad, Grant/Award Number: NFR-HK 204040</t>
  </si>
  <si>
    <t>1354-1013</t>
  </si>
  <si>
    <t>1365-2486</t>
  </si>
  <si>
    <t>GLOBAL CHANGE BIOL</t>
  </si>
  <si>
    <t>Glob. Change Biol.</t>
  </si>
  <si>
    <t>e17020</t>
  </si>
  <si>
    <t>10.1111/gcb.17020</t>
  </si>
  <si>
    <t>GF3O1</t>
  </si>
  <si>
    <t>WOS:001103149500001</t>
  </si>
  <si>
    <t>Stafford, KM; Boussarie, G; Caputo, M; Irvine, L; Laing, S; Nancy, E; Pearson, H; Kiszka, JJ</t>
  </si>
  <si>
    <t>Stafford, Kathleen M.; Boussarie, Germain; Caputo, Michelle; Irvine, Ladd; Laing, Stuart; Nancy, Ella; Pearson, Hugh; Kiszka, Jeremy J.</t>
  </si>
  <si>
    <t>Acoustic detections and sightings of blue whales Balaenoptera musculus in the Seychelles, western tropical Indian Ocean (2020-2022)</t>
  </si>
  <si>
    <t>ENDANGERED SPECIES RESEARCH</t>
  </si>
  <si>
    <t>Blue whale; Seychelles; Distribution; Acoustics; Visual survey; Indian Ocean</t>
  </si>
  <si>
    <t>SOUTHERN SRI-LANKA; MOVEMENTS; COAST</t>
  </si>
  <si>
    <t>Historically, the Seychelles archipelago was an opportunistic whaling ground for fleets en route to and from the Antarctic. Soviet whalers illegally killed 500 blue whales near the Seychelles in the 1960s. Since then, no dedicated research has occurred to understand the ecological importance of this region for blue whales. Based on opportunistic sightings, we undertook 2 expeditions to assess the occurrence of blue whales. The overall goals were to determine blue whale distribution, obtain photo-identification data and collect the first acoustic data on this species in this region using a hydrophone deployed for a year. The expeditions consisted of vessel-based visual surveys that focused on the slope habitat (500-2000 m) off the northern portion of the Mahe Plateau. Over the 2 expeditions, a total of 5 sightings of up to 10 animals were seen. The results of our acoustic monitoring off Seychelles demonstrate that blue whales occur there regularly, primarily from December to April, and that the acoustic population identity matches that from near Sri Lanka. Published records and the results of our work suggest that blue whales from the northwestern Indian Ocean are seasonally present in the western equatorial Indian Ocean.</t>
  </si>
  <si>
    <t>[Stafford, Kathleen M.; Irvine, Ladd] Oregon State Univ, Marine Mammal Inst, Newport, OR 97365 USA; [Boussarie, Germain; Caputo, Michelle; Kiszka, Jeremy J.] Florida Int Univ, Dept Biol Sci, Inst Environm, North Miami, FL 33181 USA; [Laing, Stuart; Nancy, Ella] Univ Seychelles, Dept Environm Sci, Mahe, Seychelles; [Pearson, Hugh] Ocean Films, Gloucestershire GL-1, Gloucester, England; [Kiszka, Jeremy J.] Univ Seychelles, Isl Biodivers &amp; Conservat Ctr, Anse Royale Campus,Box 1348, Victoria, Mahe, Seychelles</t>
  </si>
  <si>
    <t>Oregon State University; State University System of Florida; Florida International University</t>
  </si>
  <si>
    <t>Stafford, KM (corresponding author), Oregon State Univ, Marine Mammal Inst, Newport, OR 97365 USA.</t>
  </si>
  <si>
    <t>kate.stafford@oregonstate.edu</t>
  </si>
  <si>
    <t>Boussarie, Germain/0000-0002-0809-1555</t>
  </si>
  <si>
    <t>Save Our Seas Foundation [SOSF 497]; Oceanic Films, HHMI Tangled Bank Studios; National Science Foundation</t>
  </si>
  <si>
    <t>Save Our Seas Foundation; Oceanic Films, HHMI Tangled Bank Studios; National Science Foundation(National Science Foundation (NSF))</t>
  </si>
  <si>
    <t>This study was undertaken with support of Keystone Grant SOSF 497 from the Save Our Seas Foundation. Additional funding and support for this project was provided by Oceanic Films, HHMI Tangled Bank Studios, the National Science Foundation during production of the documentary film 'Blue Whales-Return of the Giants' (bluewhalesfilm.com). We also thank members of the filming crew, including James Loudon, Tyler Mifflin, Jason Sturgis, Chris Watson, as well as the captain and crew of the 'Tethys Supporter'. We also thank the Seychelles Bureau of Standards for granting research and filming permits, the Denis Island Green Islands Foundation for assisting with the retrieval of the acoustic recorder. We also thank Nuette Gordon and Terence Vel (University of Seychelles) for their logistical support. We thank Alex Zerbini (NOAA) for his continuous support of this project, as well as James Loudon and Ryan Daly for providing information on blue whale sightings in Seychelles in 2016 and 2017. This is contribution #1612 from the Institute of Environment at Florida International University.</t>
  </si>
  <si>
    <t>1863-5407</t>
  </si>
  <si>
    <t>1613-4796</t>
  </si>
  <si>
    <t>ENDANGER SPECIES RES</t>
  </si>
  <si>
    <t>Endanger. Species Res.</t>
  </si>
  <si>
    <t>NOV 9</t>
  </si>
  <si>
    <t>10.3354/esr01277</t>
  </si>
  <si>
    <t>LX9W0</t>
  </si>
  <si>
    <t>WOS:001190237900004</t>
  </si>
  <si>
    <t>McArthur, K; McCormack, FS; Dow, CF</t>
  </si>
  <si>
    <t>McArthur, Koi; McCormack, Felicity S.; Dow, Christine F.</t>
  </si>
  <si>
    <t>Basal conditions of Denman Glacier from glacier hydrology and ice dynamics modeling</t>
  </si>
  <si>
    <t>SUBGLACIAL WATER-PRESSURE; BENEATH THWAITES GLACIER; SHEET MODEL; PISM-PIK; SENSITIVITY; FLOW; ANTARCTICA; FRICTION; GREENLAND; VELOCITY</t>
  </si>
  <si>
    <t>Basal sliding in Antarctic glaciers is often modeled using a friction law that relates basal shear stresses to the effective pressure. As few ice sheet models are dynamically coupled to subglacial hydrology models, variability in subglacial hydrology associated with the effective pressure is often implicitly captured in the basal friction coefficient - an unknown parameter in the basal friction law. We investigate the impact of using effective pressures calculated from the Glacier Drainage System (GlaDS) model on basal friction coefficients calculated using inverse methods in the Ice-sheet and Sea-level System Model (ISSM) at Denman Glacier, East Antarctica, for the Schoof and Budd friction laws. For the Schoof friction law, a positive correlation emerges between the GlaDS effective pressure and basal friction coefficient in regions of fast ice flow. Using GlaDS effective pressures generally leads to smoother basal friction coefficients and basal shear stresses, and larger differences between the simulated and observed ice surface velocities compared with using an effective pressure equal to the ice overburden pressure plus the gravitational potential energy of the water. Compared with the Budd friction law, the Schoof friction law offers improved capabilities in capturing the spatial variations associated with known physics of the subglacial hydrology. Our results indicate that ice sheet model representation of basal sliding is more realistic when using direct outputs from a subglacial hydrology model, demonstrating the importance of coupling between ice sheet and subglacial hydrological systems. However, using our outputs we have also developed an empirical parameterization of effective pressure that improves the application of the Schoof friction law without requiring explicit hydrological modeling.</t>
  </si>
  <si>
    <t>[McArthur, Koi; Dow, Christine F.] Univ Waterloo, Dept Appl Math, Waterloo, ON, Canada; [McCormack, Felicity S.] Monash Univ, Sch Earth Atmosphere &amp; Environm, Securing Antarct Environm Future, Kulin Nations, Vic, Australia; [Dow, Christine F.] Univ Waterloo, Dept Geog &amp; Environm Management, Waterloo, ON, Canada</t>
  </si>
  <si>
    <t>University of Waterloo; Monash University; University of Waterloo</t>
  </si>
  <si>
    <t>McArthur, K (corresponding author), Univ Waterloo, Dept Appl Math, Waterloo, ON, Canada.</t>
  </si>
  <si>
    <t>kr2mcarthur@uwaterloo.ca</t>
  </si>
  <si>
    <t>; McCormack, Felicity/B-9218-2015</t>
  </si>
  <si>
    <t>Dow, Christine/0000-0003-1346-2258; McCormack, Felicity/0000-0002-2324-2120</t>
  </si>
  <si>
    <t>We thank the Digital Research Alliance of Canada for access to supercomputer resources. We thank the editor - Nanna Bj &amp; oslash;rnholt Karlsson - and two reviewers - Thomas Zwinger and Elise Kazmierczak - for their constructive comments on this paper.</t>
  </si>
  <si>
    <t>10.5194/tc-17-4705-2023</t>
  </si>
  <si>
    <t>IV3J2</t>
  </si>
  <si>
    <t>WOS:001169069400001</t>
  </si>
  <si>
    <t>Braakmann-Folgmann, A; Shepherd, A; Hogg, D; Redmond, E</t>
  </si>
  <si>
    <t>Braakmann-Folgmann, Anne; Shepherd, Andrew; Hogg, David; Redmond, Ella</t>
  </si>
  <si>
    <t>Mapping the extent of giant Antarctic icebergs with deep learning</t>
  </si>
  <si>
    <t>WEDDELL SEA; NEURAL-NETWORKS; SAR IMAGES; TRACKING; ICE; DISTRIBUTIONS; IDENTIFICATION; SEGMENTATION; IMPACT; MODEL</t>
  </si>
  <si>
    <t>Icebergs release cold, fresh meltwater and terrigenous nutrients as they drift and melt, influencing the local ocean properties, encouraging sea ice formation and biological production. To locate and quantify the fresh water flux from Antarctic icebergs, changes in their area and thickness have to be monitored along their trajectories. While the locations of large icebergs are operationally tracked by manual inspection, delineation of their extent is not. Here, we propose a U-net approach to automatically map the extent of giant icebergs in Sentinel-1 imagery. This greatly improves the efficiency compared to manual delineations, reducing the time for each outline from several minutes to less than 0.01 s. We evaluate the performance of our U-net and two state-of-the-art segmentation algorithms (Otsu and k -means) on 191 images. For icebergs larger than those covered by the training data, we find that U-net tends to miss parts. Otherwise, U-net is more robust in scenes with complex backgrounds - ignoring sea ice, smaller regions of nearby coast or other icebergs - and outperforms the other two techniques by achieving an F 1 score of 0.84 and an absolute median deviation in iceberg area of 4.1 %.</t>
  </si>
  <si>
    <t>[Braakmann-Folgmann, Anne; Shepherd, Andrew; Redmond, Ella] Univ Leeds, Ctr Polar Observat &amp; Modelling CPOM, Leeds LS2 9JT, England; [Braakmann-Folgmann, Anne] UiT Arctic Univ Norway, Dept Phys &amp; Technol, N-9019 Tromso, Norway; [Shepherd, Andrew] Northumbria Univ, Dept Geog &amp; Environm Sci, Newcastle Upon Tyne NE1 8ST, England; [Hogg, David] Univ Leeds, Sch Comp, Leeds LS2 9JT, England</t>
  </si>
  <si>
    <t>University of Leeds; UiT The Arctic University of Tromso; Northumbria University; University of Leeds</t>
  </si>
  <si>
    <t>Braakmann-Folgmann, A (corresponding author), Univ Leeds, Ctr Polar Observat &amp; Modelling CPOM, Leeds LS2 9JT, England.;Braakmann-Folgmann, A (corresponding author), UiT Arctic Univ Norway, Dept Phys &amp; Technol, N-9019 Tromso, Norway.</t>
  </si>
  <si>
    <t>anne.braakmann@uit.no</t>
  </si>
  <si>
    <t>Braakmann-Folgmann, Anne/0000-0003-4942-8545; Hogg, David/0000-0002-6125-9564</t>
  </si>
  <si>
    <t>The Antarctic Mapping Toolbox (Greene et al., 2017) was used. Thank you very much to the reviewers for their useful comments and suggestions, which helped to improve this paper. We would also like to thank the European Space Agency's phi -lab team for hosting Anne Braakmann-Folgmann during a 3-month-long research visit and for several useful discussions and inspiration during this time and beyond. Thank you especially to Andreas Stokholm and Michael Marszalek.</t>
  </si>
  <si>
    <t>10.5194/tc-17-4675-2023</t>
  </si>
  <si>
    <t>IV3I9</t>
  </si>
  <si>
    <t>WOS:001169069100001</t>
  </si>
  <si>
    <t>McComb-Turbitt, SP; Crossin, GT; Tierney, M; Brickle, P; Trathan, P; Williams, TD; Auger-Méthé, M</t>
  </si>
  <si>
    <t>McComb-Turbitt, Sarah P.; Crossin, Glenn T.; Tierney, Megan; Brickle, Paul; Trathan, Philip; Williams, Tony D.; Auger-Methe, Marie</t>
  </si>
  <si>
    <t>Diving efficiency at depth and pre-breeding foraging effort increase with haemoglobin levels in gentoo penguins</t>
  </si>
  <si>
    <t>Diving efficiency; Oxygen storage capacity; Oxygen carrying capacity; Breeding participation; Gentoo penguin; Haemoglobin; Haematocrit; Body mass; Time-depth recorder</t>
  </si>
  <si>
    <t>PYGOSCELIS-PAPUA; OCEANOGRAPHIC CONDITIONS; SPHENISCUS-MAGELLANICUS; OPTIMAL HEMATOCRIT; METABOLIC-RATE; BODY CONDITION; BEHAVIOR; SPECIALIZATION; CONSEQUENCES; PHENOLOGY</t>
  </si>
  <si>
    <t>Individual differences in oxygen storage and carrying capacity have been associated with fitness-related traits and, for air-breathing aquatic animals, to diving ability and foraging success. In winter, many seabirds must replenish the energy reserves they have depleted during the breeding period. Thus, winter foraging efficiency can influence their upcoming breeding behaviour. Using gentoo penguins Pygoscelis papua as a study species, we investigated (1) if inter-individual variation in diving efficiency (proportion of time spent at the bottom) is associated with indices of oxygen storage and carrying capacity (haemoglobin, haematocrit, body mass), and (2) if measures of pre-breeding foraging effort (mean trip duration, total time at sea, and vertical distance travelled) are associated with these oxygen indices and breeding status. Haemoglobin was positively correlated with diving efficiency, particularly for deeper dives, and only penguins with high haemoglobin levels frequently dove to depths &gt;= 140 m. Such differences could affect resource access. However, because reaching deep offshore waters likely requires travelling more than foraging nearshore, vertical distance travelled during pre-breeding increased with haemoglobin levels. The relationship with haematocrit was non-linear, suggesting that commonly used analyses may be inappropriate for this index. We found that early-laying penguins spent less time at sea prior to nesting than non-breeding penguins, suggesting that more efficient foragers lay earlier. Given that diving efficiency at depth is linked to aerobic capacity, anthropogenic activities taking place in either nearshore or offshore waters (e.g. shallow-water fisheries, offshore oil rigs) may have differing impacts on individuals. Further understanding these links could help the conservation of diving species.</t>
  </si>
  <si>
    <t>[McComb-Turbitt, Sarah P.; Auger-Methe, Marie] Univ British Columbia, Inst Oceans &amp; Fisheries, Vancouver, BC V6T 1Z4, Canada; [Crossin, Glenn T.] Dalhousie Univ, Dept Biol, Halifax, NS B3H 4R2, Canada; [Tierney, Megan] Joint Nat Conservat Comm, Quay House,2 Stn Rd, Peterborough PE2 8YY, England; [Brickle, Paul] South Atlantic Environm Res Inst, Stanley Cottage,Ross Rd, Stanley FIQQ 1ZZ, Falkland Island; [Brickle, Paul] Univ Aberdeen, Sch Biol Sci Zool, Tillydrone Ave, Aberdeen AB24 2TZ, Scotland; [Trathan, Philip] British Antarctic Survey, High Cross,Madingley Rd, Cambridge CB3 0ET, England; [Trathan, Philip] Natl Oceanog Ctr, Waterfront Campus European Way, Southampton SO14 3ZH, Hants, England; [Williams, Tony D.] Simon Fraser Univ, Dept Biol Sci, Burnaby, BC V5A 1S6, Canada; [Auger-Methe, Marie] Univ British Columbia, Dept Stat, Vancouver, BC V6T 1Z4, Canada</t>
  </si>
  <si>
    <t>University of British Columbia; Dalhousie University; University of Aberdeen; UK Research &amp; Innovation (UKRI); Natural Environment Research Council (NERC); NERC British Antarctic Survey; NERC National Oceanography Centre; Simon Fraser University; University of British Columbia</t>
  </si>
  <si>
    <t>Auger-Méthé, M (corresponding author), Univ British Columbia, Inst Oceans &amp; Fisheries, Vancouver, BC V6T 1Z4, Canada.;Auger-Méthé, M (corresponding author), Univ British Columbia, Dept Stat, Vancouver, BC V6T 1Z4, Canada.</t>
  </si>
  <si>
    <t>National Sciences and Engineering Research Council of Canada; University of British Columbia; Werner and Hildegard Hesse Research Award in Ornithology; Canadian Research Chairs program; Canada Foundation for Innovation; BC Knowledge Development Fund</t>
  </si>
  <si>
    <t>National Sciences and Engineering Research Council of Canada(Natural Sciences and Engineering Research Council of Canada (NSERC)); University of British Columbia; Werner and Hildegard Hesse Research Award in Ornithology; Canadian Research Chairs program(Canada Research Chairs); Canada Foundation for Innovation(Canada Foundation for InnovationCGIARSpanish Government); BC Knowledge Development Fund</t>
  </si>
  <si>
    <t>We thank Drs. David Rosen and Colin Brauner for their advice, and Jeff Yap, Mason King, and Elizabeth Ruberg for their assistance with the haemoglobin assays. We thank John and Michelle Jones and Dot and Alex Gould, who granted access to the gentoo penguin colonies and provided logistic support. We thank Lina Crossin, Joanna Wong, Katie Harrington, Isabeau Pratte, Megan Boldenow, and Emma Phillips for their assistance in the field, as well as Dr. Sarah Crofts, Dr. Andrew Stanworth, and Riki Evans, along with Falklands Conservation, South Atlantic Environmental Research Institute, and British Antarctic Survey for their logistic support. We thank Dr. Jonathan Handley for his information on tag attachment. Financial support was provided by the National Sciences and Engineering Research Council of Canada (Discovery Grant), the University of British Columbia, the Werner and Hildegard Hesse Research Award in Ornithology, the Canadian Research Chairs program, Canada Foundation for Innovation (John R. Evans Leaders Fund), and BC Knowledge Development Fund. This research was conducted under Falkland Islands Scientific Research Licence (R12/2017), University of British Columbia Animal Care Permit A17-0243 and Dalhousie University Animal Care Permit 17-100.</t>
  </si>
  <si>
    <t>10.3354/meps14441</t>
  </si>
  <si>
    <t>AB5L4</t>
  </si>
  <si>
    <t>WOS:001116007900001</t>
  </si>
  <si>
    <t>Buelow, CA; Connolly, RM; Dunic, JC; Griffiths, L; Holgate, B; Lee, SY; Mackey, BG; Maxwell, PS; Pearson, RM; Rajkaran, A; Sievers, M; Sousa, AI; Tulloch, VJD; Turschwell, MP; Villarreal-Rosas, J; Brown, CJ</t>
  </si>
  <si>
    <t>Buelow, Christina A.; Connolly, Rod M.; Dunic, Jillian C.; Griffiths, Laura; Holgate, Briana; Lee, Shing Yip; Mackey, Brendan G.; Maxwell, Paul S.; Pearson, Ryan M.; Rajkaran, Anusha; Sievers, Michael; Sousa, Ana I.; Tulloch, Vivitskaia J. D.; Turschwell, Mischa P.; Villarreal-Rosas, Jaramar; Brown, Christopher J.</t>
  </si>
  <si>
    <t>Enabling conservation theories of change</t>
  </si>
  <si>
    <t>Global theories of change (ToCs) can provide broad, overarching guidance for conservation and sustainable use of Earth's ecosystems. However, broad guidance alone cannot inform how conservation actions will lead to desired socioecological outcomes. Here we develop a framework for translating a global-scale ToC into focused, ecosystem-specific ToCs that consider feasibility of actions, as determined by national socioeconomic and political contexts (that is, enabling conditions). We used coastal wetlands as a case study for developing the framework and identified six distinct multinational profiles of enabling conditions ('enabling profiles') for their conservation. For countries belonging to profiles with high internal capacity to enable conservation, we described plausible ToCs that involved strengthening policy and regulation. Alternatively, for profiles with low internal enabling capacity, plausible ToCs typically required formalizing community-led conservation. Our 'enabling profile' framework can be applied to other ecosystems to help operationalize the Kunming-Montreal Global Biodiversity Framework and meet sustainable development goals. Theories of change have been a staple of sustainability research, but how to connect such overarching concepts to actionable items can be a struggle. This study uses coastal wetlands to demonstrate a potential framework for integrating indicators of conservation enabling conditions into theories of change.</t>
  </si>
  <si>
    <t>[Buelow, Christina A.; Connolly, Rod M.; Griffiths, Laura; Holgate, Briana; Pearson, Ryan M.; Sievers, Michael; Tulloch, Vivitskaia J. D.; Turschwell, Mischa P.; Villarreal-Rosas, Jaramar; Brown, Christopher J.] Griffith Univ, Australian Rivers Inst, Coastal &amp; Marine Res Ctr, Sch Environm &amp; Sci, Gold Coast, Qld, Australia; [Dunic, Jillian C.] Fisheries &amp; Oceans Canada, Pacific Biol Stn, Nanaimo, BC, Canada; [Lee, Shing Yip] Chinese Univ Hong Kong, Simon FS Li Marine Sci Lab, Shatin, Hong Kong, Peoples R China; [Mackey, Brendan G.] Griffith Univ, Griffith Climate Act Beacon, Gold Coast, Qld, Australia; [Maxwell, Paul S.] Alluvium Consulting Australia, Brisbane, Qld, Australia; [Rajkaran, Anusha] Univ Western Cape, Dept Biodivers &amp; Conservat Biol, Bellville, South Africa; [Sousa, Ana I.] Univ Aveiro, CESAM Ctr Environm &amp; Marine Studies, ECOMARE Lab Innovat &amp; Sustainabil Marine Biol Reso, Dept Biol, Campus Univ Santiago, Aveiro, Portugal; [Tulloch, Vivitskaia J. D.] Univ British Columbia, Dept Forest &amp; Conservat Sci, Conservat Decis Lab, Vancouver, BC, Canada; [Brown, Christopher J.] Univ Tasmania, Inst Marine &amp; Antarctic Studies, Taroona, Tas, Australia</t>
  </si>
  <si>
    <t>Griffith University; Griffith University - Gold Coast Campus; Fisheries &amp; Oceans Canada; Chinese University of Hong Kong; Griffith University; Griffith University - Gold Coast Campus; University of the Western Cape; Universidade de Aveiro; University of British Columbia; University of Tasmania</t>
  </si>
  <si>
    <t>Buelow, CA (corresponding author), Griffith Univ, Australian Rivers Inst, Coastal &amp; Marine Res Ctr, Sch Environm &amp; Sci, Gold Coast, Qld, Australia.</t>
  </si>
  <si>
    <t>c.buelow@griffith.edu.au</t>
  </si>
  <si>
    <t>Sousa, Ana I./C-1532-2010; Lee, Shing Yip/B-9185-2008; Connolly, Rod/C-4094-2008</t>
  </si>
  <si>
    <t>Sousa, Ana I./0000-0003-0783-5177; Rajkaran, Anusha/0000-0001-7360-3660; Mackey, Brendan/0000-0003-1996-4064; Sievers, Michael/0000-0001-7162-1830; Lee, Shing Yip/0000-0001-9336-2323; Connolly, Rod/0000-0001-6223-1291</t>
  </si>
  <si>
    <t>Global Wetlands Project; Griffith University Postdoctoral Fellowship; Australian Research Council Discovery Early Career Researcher Award; Foundation for Science and Technology (FCT) [DE220100079]; FCT/Ministerio da Ciencia, Tecnologia e Ensino Superior; Alluvium Consulting Australia [CEECIND/00962/2017]; Natural Sciences and Engineering Research Council [UIDB/50017/2020, UIDP/50017/2020, LA/P/0094/2020]; Australian Research Council; [CGSD3-518641-2018]; [FT210100792]</t>
  </si>
  <si>
    <t>Global Wetlands Project; Griffith University Postdoctoral Fellowship; Australian Research Council Discovery Early Career Researcher Award(Australian Research Council); Foundation for Science and Technology (FCT)(Fundacao para a Ciencia e a Tecnologia (FCT)); FCT/Ministerio da Ciencia, Tecnologia e Ensino Superior(Fundacao para a Ciencia e a Tecnologia (FCT)); Alluvium Consulting Australia; Natural Sciences and Engineering Research Council(Natural Sciences and Engineering Research Council of Canada (NSERC)); Australian Research Council(Australian Research Council); ;</t>
  </si>
  <si>
    <t>We acknowledge funding support from the Global Wetlands Project, supported by a charitable organization that neither seeks nor permits publicity for its efforts. M.S. acknowledges support from Griffith University Postdoctoral Fellowship and an Australian Research Council Discovery Early Career Researcher Award (no. DE220100079). A.I.S. acknowledges support from Portuguese national funds through the Foundation for Science and Technology (FCT). I.P. acknowledges support from project CEECIND/00962/2017 and the FCT/Ministerio da Ciencia, Tecnologia e Ensino Superior through the support to CESAM (UIDB/50017/2020, UIDP/50017/2020, LA/P/0094/2020). P.S.M. acknowledges support from Alluvium Consulting Australia. J.C.D. acknowledges support from a Canadian Graduate Doctoral Scholarship (CGSD3-518641-2018) from the Natural Sciences and Engineering Research Council. C.J.B. acknowledges support from a Future Fellowship (no. FT210100792) from the Australian Research Council.</t>
  </si>
  <si>
    <t>10.1038/s41893-023-01245-y</t>
  </si>
  <si>
    <t>WOS:001103001200001</t>
  </si>
  <si>
    <t>Hou, SN; Stap, LB; Paul, R; Nelissen, M; Hoem, FS; Ziegler, M; Sluijs, A; Sangiorgi, F; Bijl, PK</t>
  </si>
  <si>
    <t>Hou, Suning; Stap, Lennert B.; Paul, Ryan; Nelissen, Mei; Hoem, Frida S.; Ziegler, Martin; Sluijs, Appy; Sangiorgi, Francesca; Bijl, Peter K.</t>
  </si>
  <si>
    <t>Reconciling Southern Ocean fronts equatorward migration with minor Antarctic ice volume change during Miocene cooling</t>
  </si>
  <si>
    <t>OFFSHORE WILKES LAND; SEA-LEVEL; SHEET SENSITIVITY; SUBTROPICAL FRONT; TEMPERATURE; CLIMATE; MIDDLE; EVOLUTION; VARIABILITY; INSIGHTS</t>
  </si>
  <si>
    <t>Gradual climate cooling and CO2 decline in the Miocene were recently shown not to be associated with major ice volume expansion, challenging a fundamental paradigm in the functioning of the Antarctic cryosphere. Here, we explore Miocene ice-ocean-climate interactions by presenting a multi-proxy reconstruction of subtropical front migration, bottom water temperature and global ice volume change, using dinoflagellate cyst biogeography, benthic foraminiferal clumped isotopes from offshore Tasmania. We report an equatorward frontal migration and strengthening, concurrent with surface and deep ocean cooling but absence of ice volume change in the mid-late-Miocene. To reconcile these counterintuitive findings, we argue based on new ice sheet modelling that the Antarctic ice sheet progressively lowered in height while expanding seawards, to maintain a stable volume. This can be achieved with rigorous intervention in model precipitation regimes on Antarctica and ice-induced ocean cooling and requires rethinking the interactions between ice, ocean and climate. Hou et al. propose, based on dinocysts, clumped isotopes and ice sheet modelling, that during Miocene cooling, the Antarctic ice sheet progressively lowered in height while expanding seawards, to maintain a relatively stable volume.</t>
  </si>
  <si>
    <t>[Hou, Suning; Paul, Ryan; Hoem, Frida S.; Ziegler, Martin; Sluijs, Appy; Sangiorgi, Francesca; Bijl, Peter K.] Univ Utrecht, Dept Earth Sci, Utrecht, Netherlands; [Stap, Lennert B.] Univ Utrecht, Inst Marine &amp; Atmospher Res Utrecht, Utrecht, Netherlands; [Nelissen, Mei] NIOZ Royal Netherlands Inst Sea Res, Texel, Netherlands</t>
  </si>
  <si>
    <t>Utrecht University; Utrecht University; Utrecht University; Royal Netherlands Institute for Sea Research (NIOZ)</t>
  </si>
  <si>
    <t>Hou, SN (corresponding author), Univ Utrecht, Dept Earth Sci, Utrecht, Netherlands.</t>
  </si>
  <si>
    <t>s.hou@uu.nl</t>
  </si>
  <si>
    <t>Sluijs, Appy/B-3726-2009</t>
  </si>
  <si>
    <t>Ziegler, Martin/0000-0003-3198-6434; Hou, Suning/0000-0002-8902-6367; Stap, Lennert/0000-0002-2108-3533; Bijl, Peter/0000-0002-1710-4012</t>
  </si>
  <si>
    <t>ERC Starting Grant [802835]</t>
  </si>
  <si>
    <t>ERC Starting Grant(European Research Council (ERC))</t>
  </si>
  <si>
    <t>We thank Mariska Hoorweg, Natasja Welters, Giovanni Dammers, Desmond Eefting and Arnold van Dijk of the GeoLab for laboratory assistance. We thank IODP and scientists of ODP Leg 189, and technicians at KCC in Kochi, Japan for the help with sampling. We are grateful to Tobias Agterhuis, Ilja Kocken and Elena Dominguez Valdes for insightful discussion regarding clumped isotopes. This research is funded by ERC Starting Grant 802835 to Peter K. Bijl.</t>
  </si>
  <si>
    <t>10.1038/s41467-023-43106-4</t>
  </si>
  <si>
    <t>Y1QK3</t>
  </si>
  <si>
    <t>WOS:001103080000029</t>
  </si>
  <si>
    <t>Lu, H; Cowell, S; King, J; Orr, A; Phillips, T; Dobb, E; Xue, JAT; Kucieba, S; Phillips, G; Marshall, G</t>
  </si>
  <si>
    <t>Lu, Hua; Cowell, Steve; King, John; Orr, Andrew; Phillips, Tony; Dobb, Emilia; Xue, Jonathan; Kucieba, Sabina; Phillips, Guy; Marshall, Gareth</t>
  </si>
  <si>
    <t>Temperature variation in the South Orkney Islands, maritime Antarctic</t>
  </si>
  <si>
    <t>INTERNATIONAL JOURNAL OF CLIMATOLOGY</t>
  </si>
  <si>
    <t>antarctic islands; regional climate variability; synoptic observations; temparature variation</t>
  </si>
  <si>
    <t>BRAZIL-MALVINAS CONFLUENCE; SIGNY-ISLAND; FOOD-WEB; CLIMATE; VARIABILITY; REANALYSIS; TRENDS; OCEAN; CIRCULATION; SATELLITE</t>
  </si>
  <si>
    <t>Meteorological records at Signy Station in the South Orkney Islands (SOIs) have recently been digitized to cover the period of 1947-1995. This study compares the newly available near-surface air temperatures at Signy with those from a nearby station, Orcadas and with reanalysis datasets to provide a more comprehensive picture of the weather and climate variability in the SOIs. Temperatures from both stations show a higher degree of variability in winter than summer, but the variability differs in terms of its relationship to the dominant wind directions and sea ice influences. The two stations differ markedly in terms of their respective warm temperature events, largely due to orography-induced fohn winds at Signy Station as northwesterlies flow over Coronation Island. ERA5 reproduces the monthly to annual averages exceedingly well but underestimates both cold and warm tails of station temperatures. Temperature trends in the SOIs are also considered in terms of changes in large-scale circulation and the sea surface temperature over the Brazil-Falkland Confluence. However, caution is required in interpreting the long-term temperature trends estimated from reanalysis data as most of the reanalyses show a cold bias before 1979, which is most likely caused by misrepresentation of the sea ice.</t>
  </si>
  <si>
    <t>[Lu, Hua; Cowell, Steve; King, John; Orr, Andrew; Phillips, Tony; Dobb, Emilia; Xue, Jonathan; Kucieba, Sabina; Phillips, Guy; Marshall, Gareth] British Antarctic Survey, Cambridge, England; [Lu, Hua] British Antarctic Survey, Madingley Rd, Cambridge CB3 0ET, England</t>
  </si>
  <si>
    <t>UK Research &amp; Innovation (UKRI); Natural Environment Research Council (NERC); NERC British Antarctic Survey; UK Research &amp; Innovation (UKRI); Natural Environment Research Council (NERC); NERC British Antarctic Survey</t>
  </si>
  <si>
    <t>Lu, H (corresponding author), British Antarctic Survey, Madingley Rd, Cambridge CB3 0ET, England.</t>
  </si>
  <si>
    <t>hlu@bas.ac.uk</t>
  </si>
  <si>
    <t>Lu, Hua/GXA-0276-2022</t>
  </si>
  <si>
    <t>Lu, Hua/0000-0001-9485-5082; Dobb, Emilia/0000-0002-8621-4370; King, John/0000-0003-3315-7568; Marshall, Gareth/0000-0001-8887-7314</t>
  </si>
  <si>
    <t>This work is supported by core funding from the Natural Environment Research Council (NERC) to the British Antarctic Survey (BAS)apos;s Atmosphere, Ice and Climate Programme. Hua Lu, Andrew Orr and Gareth Marshall also received support from NERC National; Natural Environment Research Council (NERC); British Antarctic Survey (BAS)apos;s Atmosphere, Ice and Climate Programme [NE/X009319/1]; NERC National Capability International [101003590]; European Unionapos;s Horizon 2020 research and innovation framework programme; NERC Diversity, Equity and Inclusion Engagement Programme; Peter Convey on potential impact on Antarctic ecosystem and biodivercity; NERC [NE/X009319/1] Funding Source: UKRI</t>
  </si>
  <si>
    <t>This work is supported by core funding from the Natural Environment Research Council (NERC) to the British Antarctic Survey (BAS)apos;s Atmosphere, Ice and Climate Programme. Hua Lu, Andrew Orr and Gareth Marshall also received support from NERC National; Natural Environment Research Council (NERC)(UK Research &amp; Innovation (UKRI)Natural Environment Research Council (NERC)); British Antarctic Survey (BAS)apos;s Atmosphere, Ice and Climate Programme; NERC National Capability International; European Unionapos;s Horizon 2020 research and innovation framework programme; NERC Diversity, Equity and Inclusion Engagement Programme; Peter Convey on potential impact on Antarctic ecosystem and biodivercity; NERC(UK Research &amp; Innovation (UKRI)Natural Environment Research Council (NERC))</t>
  </si>
  <si>
    <t>This work is supported by core funding from the Natural Environment Research Council (NERC) to the British Antarctic Survey (BAS)&amp; apos;s Atmosphere, Ice and Climate Programme. Hua Lu, Andrew Orr and Gareth Marshall also received support from NERC National Capability International Grant SURface FluxEs In AnTarctica (NE/X009319/1). Andrew Orr is supported by the European Union &amp; apos;s Horizon 2020 research and innovation framework programme under Grant 101003590 (PolarRES). Emilia Dobb, Jonathan Xue and Guy Phillips received funding from NERC Diversity, Equity and Inclusion Engagement Programme. We thank BAS archive team for assisting digitizing the Signy records and Laura Gerrish for help plotting Figure 1. Valuable comments made by Peter Convey on potential impact on Antarctic ecosystem and biodivercity are gratefully acknowledged. We are also grateful for the constructive comments by two anonymous referees that improved the original manuscript.</t>
  </si>
  <si>
    <t>0899-8418</t>
  </si>
  <si>
    <t>1097-0088</t>
  </si>
  <si>
    <t>INT J CLIMATOL</t>
  </si>
  <si>
    <t>Int. J. Climatol.</t>
  </si>
  <si>
    <t>10.1002/joc.8302</t>
  </si>
  <si>
    <t>GP6S9</t>
  </si>
  <si>
    <t>WOS:001102392000001</t>
  </si>
  <si>
    <t>Hurd, CL; Gattuso, JP; Boyd, PW</t>
  </si>
  <si>
    <t>Hurd, C. L.; Gattuso, J. -p.; Boyd, P. W.</t>
  </si>
  <si>
    <t>Air-sea carbon dioxide equilibrium: Will it be possible to use seaweeds for carbon removal offsets?</t>
  </si>
  <si>
    <t>carbon credits and offsets; carbon trading schemes; Forensic Carbon Accounting; monitoring, reporting and verification; ocean afforestation; seaweed aquaculture</t>
  </si>
  <si>
    <t>CO2; AQUACULTURE; MACROALGAE; EXPORT; FLUX</t>
  </si>
  <si>
    <t>To limit global warming below 2 degrees C by 2100, we must drastically reduce greenhouse gas emissions and additionally remove similar to 100-900 Gt CO2 from the atmosphere (carbon dioxide removal, CDR) to compensate for unavoidable emissions. Seaweeds (marine macroalgae) naturally grow in coastal regions worldwide where they are crucial for primary production and carbon cycling. They are being considered as a biological method for CDR and for use in carbon trading schemes as offsets. To use seaweeds in carbon trading schemes requires verification that seaweed photosynthesis that fixes CO2 into organic carbon results in CDR, along with the safe and secure storage of the carbon removed from the atmosphere for more than 100 years (sequestration). There is much ongoing research into the magnitude of seaweed carbon storage pools (e.g., as living biomass and as particulate and dissolved organic carbon in sediments and the deep ocean), but these pools do not equate to CDR unless the amount of CO2 removed from the atmosphere as a result of seaweed primary production can be quantified and verified. The draw-down of atmospheric CO2 into seawater is via air-sea CO2 equilibrium, which operates on time scales of weeks to years depending upon the ecosystem considered. Here, we explain why quantifying air-sea CO2 equilibrium and linking this process to seaweed carbon storage pools is the critical step needed to verify CDR by discrete seaweed beds and nearshore and open ocean aquaculture systems prior to their use in carbon trading.</t>
  </si>
  <si>
    <t>[Hurd, C. L.; Boyd, P. W.] Univ Tasmania, Inst Marine &amp; Antarctic Studies, 20 Castray Esplanade, Hobart, Tas 7004, Australia; [Gattuso, J. -p.] Sorbonne Univ, CNRS, Lab Oceanog Villefranche, Villefranche Sur Mer, France; [Gattuso, J. -p.] Inst Sustainable Dev &amp; Int Relat, Paris, France</t>
  </si>
  <si>
    <t>University of Tasmania; Centre National de la Recherche Scientifique (CNRS); Sorbonne Universite</t>
  </si>
  <si>
    <t>Hurd, CL (corresponding author), Univ Tasmania, Inst Marine &amp; Antarctic Studies, 20 Castray Esplanade, Hobart, Tas 7004, Australia.</t>
  </si>
  <si>
    <t>catriona.hurd@utas.edu.au</t>
  </si>
  <si>
    <t>Gattuso, Jean-Pierre/E-6631-2010</t>
  </si>
  <si>
    <t>This work was supported by an Australian Research Council (ARC) Discovery Project DP200101467 to CLH and an ARC Laureate Fellowship FL160100131 to PWB. JPG was supported by the EU Horizon programme (FACE-IT project, grant agreement No 869154). We thank an [DP200101467, FL160100131]; Australian Research Council (ARC) Discovery Project [869154]; EU Horizon programme; Wiley - University of Tasmania agreement via the Council of Australian University Librarians</t>
  </si>
  <si>
    <t>This work was supported by an Australian Research Council (ARC) Discovery Project DP200101467 to CLH and an ARC Laureate Fellowship FL160100131 to PWB. JPG was supported by the EU Horizon programme (FACE-IT project, grant agreement No 869154). We thank an; Australian Research Council (ARC) Discovery Project(Australian Research Council); EU Horizon programme(Horizon 2020); Wiley - University of Tasmania agreement via the Council of Australian University Librarians</t>
  </si>
  <si>
    <t>This work was supported by an Australian Research Council (ARC) Discovery Project DP200101467 to CLH and an ARC Laureate Fellowship FL160100131 to PWB. JPG was supported by the EU Horizon programme (FACE-IT project, grant agreement No 869154). We thank an anonymous reviewer whose insightful comments improved an earlier version of the manuscript. Open access publishing facilitated by University of Tasmania, as part of the Wiley - University of Tasmania agreement via the Council of Australian University Librarians.</t>
  </si>
  <si>
    <t>10.1111/jpy.13405</t>
  </si>
  <si>
    <t>WOS:001102258600001</t>
  </si>
  <si>
    <t>Siqueira, RG; Moquedace, CM; Fernandes, EI; Schaefer, CEGR; Francelino, MR; Sacramento, IF; Michel, RFM</t>
  </si>
  <si>
    <t>Siqueira, Rafael G.; Moquedace, Cassio M.; Fernandes-Filho, Elpidio I.; Schaefer, Carlos E. G. R.; Francelino, Marcio R.; Sacramento, Iorrana F.; Michel, Roberto F. M.</t>
  </si>
  <si>
    <t>Modelling and prediction of major soil chemical properties with Random Forest: Machine learning as tool to understand soil-environment relationships in Antarctica</t>
  </si>
  <si>
    <t>CATENA</t>
  </si>
  <si>
    <t>Antarctic Peninsula; Digital Soil Mapping; Soil chemistry; Soil forming factors; Spatial prediction</t>
  </si>
  <si>
    <t>SOUTH-SHETLAND ISLANDS; KING-GEORGE ISLAND; JAMES-ROSS-ISLAND; ORGANIC-CARBON STOCKS; MARITIME ANTARCTICA; LIVINGSTON ISLAND; BYERS PENINSULA; TERRESTRIAL ECOSYSTEMS; ORNITHOGENIC SOILS; SPATIAL PREDICTION</t>
  </si>
  <si>
    <t>Digital Soil Mapping includes quantitative estimations of soil attributes in areas with little or no soil information, being important in remote landscapes such as the Antarctic ice-free areas. Our objective was to predict the spatial distribution of major soil chemical attributes in two important Antarctic Peninsula regions; as well as to identify the main environmental drivers of these attributes. For this, we compiled one of the largest soil databases of Antarctica and applied the machine learning algorithm Random Forest to predict seven soil chemical attributes. We also used covariates selection and partial dependence analysis to better understand the relationships of the attributes with the environmental covariates. Bases sum was the attribute which presented the highest prediction performance, whereas Na and P predictions presented the lowest. Both accuracy and uncertainty indicators showed the difficulties of Random Forest in handling natural outliers. The soil attributes distribution was related to the mean annual temperature and annual precipitation, multispectral bands and indexes related to the vegetation response, rookeries distance expressing the birds' activity, and topographic attributes. The attributes showed a climatic gradient, with higher values of bases sum, pH, and Na in Northern Antarctic Peninsula, and higher total organic carbon, H + Al and P in Maritime Antarctic. This shows the climate covariates influence the soil variability in a macroscale, whereas terrain predictors control the soil at local scales. This study showed the Digital Soil Mapping potential to surpass the limitations of conventional mapping and indicated the feasibility in obtaining interpretable predictions which can be directly associated with the soil forming factors. Finally, the data generated can be used as reference to monitor the impacts of the climate changes on the soils of Antarctica.</t>
  </si>
  <si>
    <t>[Siqueira, Rafael G.; Moquedace, Cassio M.; Fernandes-Filho, Elpidio I.; Schaefer, Carlos E. G. R.; Francelino, Marcio R.; Sacramento, Iorrana F.] Univ Fed Vicosa, Dept Solos, Av PH Rolfs S-N, BR-36570000 Vicosa, MG, Brazil; [Michel, Roberto F. M.] Univ Estadual Santa Cruz, Dept Ciencias Agr &amp; Ambientais, Rodovia Jorge Amado,Km 16, BR-45662900 Ilheus, BA, Brazil; [Siqueira, Rafael G.] Univ Fed Vicosa, Soil Sci Dept, Av PH Rolfs S-N, Vicosa, MG, Brazil</t>
  </si>
  <si>
    <t>Universidade Federal de Vicosa; Universidade Estadual de Santa Cruz; Universidade Federal de Vicosa</t>
  </si>
  <si>
    <t>Siqueira, RG (corresponding author), Univ Fed Vicosa, Soil Sci Dept, Av PH Rolfs S-N, Vicosa, MG, Brazil.</t>
  </si>
  <si>
    <t>rafael.g.siqueira@ufv.br</t>
  </si>
  <si>
    <t>Francelino, Marcio Rocha/AAS-4224-2020; dos Santos, Cássio Marques Moquedace/AAW-3406-2020</t>
  </si>
  <si>
    <t>Francelino, Marcio Rocha/0000-0001-8837-1372; dos Santos, Cássio Marques Moquedace/0000-0002-7673-4524; Fernandes-Filho, Elpidio/0000-0002-9484-1411; Siqueira, Rafael Gomes/0000-0003-2779-136X</t>
  </si>
  <si>
    <t>Coordenacao de Aperfeicoamento de Pessoal de Nivel Superior -Brasil (CAPES) [001]; 'Programa de Pos-Graduacao em Solos e Nutricao de Plantas - PPGSNP' of the Soil Department of the Federal University of Vicosa (UFV), Brazil; Programa Brasileiro Antartico (PROANTAR); Cluster UFV</t>
  </si>
  <si>
    <t>Coordenacao de Aperfeicoamento de Pessoal de Nivel Superior -Brasil (CAPES)(Coordenacao de Aperfeicoamento de Pessoal de Nivel Superior (CAPES)); 'Programa de Pos-Graduacao em Solos e Nutricao de Plantas - PPGSNP' of the Soil Department of the Federal University of Vicosa (UFV), Brazil; Programa Brasileiro Antartico (PROANTAR); Cluster UFV</t>
  </si>
  <si>
    <t>This study was financed in part by the Coordenacao de Aperfeicoamento de Pessoal de Nivel Superior - Brasil (CAPES) - Finance Code 001. We thank the 'Programa de Pos-Graduacao em Solos e Nutricao de Plantas - PPGSNP' of the Soil Department of the Federal University of Vicosa (UFV), Brazil and Programa Brasileiro Antartico (PROANTAR) for the financial and material support. We also thank all authors who were willing to provide their data, or even publish it in a reproducible form, for use by third parties. This work is a contribution of Permaclima and Terrantar Groups and was developed at the Geoprocessing and Pedometrics Laboratory (LabGeo - UFV) with support of the Cluster UFV.</t>
  </si>
  <si>
    <t>0341-8162</t>
  </si>
  <si>
    <t>1872-6887</t>
  </si>
  <si>
    <t>Catena</t>
  </si>
  <si>
    <t>10.1016/j.catena.2023.107677</t>
  </si>
  <si>
    <t>Geosciences, Multidisciplinary; Soil Science; Water Resources</t>
  </si>
  <si>
    <t>Geology; Agriculture; Water Resources</t>
  </si>
  <si>
    <t>Z2JX9</t>
  </si>
  <si>
    <t>WOS:001110403500001</t>
  </si>
  <si>
    <t>Benñitez, CY; Lorente-Aznar, T; Labaka, I; Soteras, I; Baselga, M; Morishita, K; Ribeiro, M Jr; Güemes, A</t>
  </si>
  <si>
    <t>Bennitez, Carlos Yanez; Lorente-Aznar, Teofilo; Labaka, Idurre; Soteras, Inigo; Baselga, Marta; Morishita, Koji; Ribeiro, Marcelo; Guemes, Antonio</t>
  </si>
  <si>
    <t>Extremity Tourniquet Self-Application by Antarctica Zodiac Crew Members</t>
  </si>
  <si>
    <t>DISASTER MEDICINE AND PUBLIC HEALTH PREPAREDNESS</t>
  </si>
  <si>
    <t>tourniquets; immersion suits; extreme cold weather; Antarctic regions</t>
  </si>
  <si>
    <t>COLD-WATER IMMERSION; CARE</t>
  </si>
  <si>
    <t>Search and rescue teams and Antarctic research groups use protective cold-water anti-exposure suits (AES) when cruising on Zodiacs. Extremity tourniquet (ET) self-application (SA) donned with AESs has not been previously studied. Our study therefore assessed the SA of 5 commercial ETs (CAT, OMNA, RATS, RMT, and SWAT-T) among 15 volunteers who donned these suits. Tourniquet's SA ability, ease of SA, tolerance, and tourniquet preference were measured. All ETs tested were self-applied to the upper extremity except for the SWAT, which was self-applied with the rest to the lower extremity. Ease- of- SA mean values were compared using the Friedman and Durbin-Conover post hoc tests (P &lt; 0.001). Regarding the upper extremity, OMNA achieved the highest score of 8.5 out of 10, while RMT, and SWAT received lower scores than other options (P &lt; 0.001). For lower extremities, SWAT was found to be inferior to other options (P &lt; 0.01). Overall, OMNA was the best performer. The RATS showed significantly lower tolerance than the other groups in repeated- measures ANOVA with a Tukey post hoc test (P &lt; 0.01). Additionally, out of the 5 ETs tested, 60% of subjects preferred OMNA. The study concluded that SA commercial ETs are feasible over cold-water anti-exposure suits in the Antarctic climate.</t>
  </si>
  <si>
    <t>[Bennitez, Carlos Yanez] San Jorge Univ Hosp, Dept Gen GI &amp; Acute Care Surg, Huesca, Spain; [Lorente-Aznar, Teofilo] Jaca Hlth Ctr, Dept Primary Care Med, Antarctic Expedit, Huesca, Spain; [Labaka, Idurre] Donostia Univ Hosp, Emergency Med, Donostia San Sebastian, Spain; [Soteras, Inigo] Univ Girona, Dept Med Sci, Emergency Med Syst SEM, Girona, Spain; [Baselga, Marta] Univ Zaragoza, Inst Hlth Res Aragon, Surg Clin &amp; Expt Res Grp, Zaragoza, Spain; [Morishita, Koji] Tokyo Med &amp; Dent Univ Hosp Med, Dept Acute Crit Care &amp; Disaster Med, Tokyo, Japan; [Ribeiro, Marcelo] Dept Trauma Crit Care &amp; Acute Care Surg, Sheikh Shakhbout Med City, Abu Dhabi, U Arab Emirates; [Guemes, Antonio] Lozano Blesa Univ Hosp, Dept Gen Surg, Zaragoza, Spain</t>
  </si>
  <si>
    <t>Hospital Universidad San Jorge; University Hospital Donostia; Universitat de Girona; University of Zaragoza; Tokyo Medical &amp; Dental University (TMDU); Lozano Blesa University Clinical Hospital</t>
  </si>
  <si>
    <t>Benñitez, CY (corresponding author), San Jorge Univ Hosp, Dept Gen GI &amp; Acute Care Surg, Huesca, Spain.</t>
  </si>
  <si>
    <t>carlosyb1@gmail.com</t>
  </si>
  <si>
    <t>; Fontenelle Ribeiro Junior, Marcelo Augusto/D-9862-2014</t>
  </si>
  <si>
    <t>Yanez, Carlos/0000-0003-4998-5915; Fontenelle Ribeiro Junior, Marcelo Augusto/0000-0001-9826-4722; Lorente-Aznar, Teofilo/0000-0003-4584-9000</t>
  </si>
  <si>
    <t>Spanish polar research program of the Marine Technology Unit (UTM); Scientific Research Council (CSIC)</t>
  </si>
  <si>
    <t>The authors acknowledge the Spanish Antarctic Base (BAE) members' support and approval for this activity. Likewise, the Spanish polar research program of the Marine Technology Unit (UTM), part of the Scientific Research Council (CSIC), for supporting the research expedition. Our thanks to Mercedes Munoz and Visitacion Ortega Riba, information specialists, for their assistance with the literature search; Carlos Yanez Sr. PhD, for his proofreading and suggestions; and Ilaria Biondi, the medical illustrator.</t>
  </si>
  <si>
    <t>1935-7893</t>
  </si>
  <si>
    <t>1938-744X</t>
  </si>
  <si>
    <t>DISASTER MED PUBLIC</t>
  </si>
  <si>
    <t>Dis. Med. Public Health Prep.</t>
  </si>
  <si>
    <t>NOV 8</t>
  </si>
  <si>
    <t>e561</t>
  </si>
  <si>
    <t>10.1017/dmp.2023.179</t>
  </si>
  <si>
    <t>CI3A4</t>
  </si>
  <si>
    <t>WOS:001124572500001</t>
  </si>
  <si>
    <t>Santiago, G; Carvalho, MD; Ramos, RRC; Scheffler, SM</t>
  </si>
  <si>
    <t>Santiago, Gustavo; Carvalho, Marcelo de Araujo; Ramos, Renato Rodriguez Cabral; Scheffler, Sandro Marcelo</t>
  </si>
  <si>
    <t>Paleoenvironmental changes recorded in the Santa Marta Formation (Santonian-Campanian, Upper Cretaceous), James Ross Island, Antarctica, inferred from palynofacies analyses</t>
  </si>
  <si>
    <t>CRETACEOUS RESEARCH</t>
  </si>
  <si>
    <t>Palynofacies; Santonian-Campanian; Antarctic Peninsula; Paleoenvironments</t>
  </si>
  <si>
    <t>SEDIMENTARY ORGANIC-MATTER; LARSEN-BASIN; STRATIGRAPHY; CARBONATES; EVOLUTION; RECONSTRUCTION; LITHOFACIES; ASSEMBLAGES; SUCCESSION; PENINSULA</t>
  </si>
  <si>
    <t>The Santa Marta Formation (Santonian-Campanian; James Ross Island, Antarctic Peninsula) is part of one of the most complete sedimentary sequences in the Southern Hemisphere. Paleoenvironmental changes recorded in the formation are reflected in the stratigraphic distribution of sedimentary organic matter in the Lachman Crags and Herbert Sound members. Fifty-three samples from the Lachman Crags section and ten samples from the Herbert Sound section were prepared using standard non-oxidative methods for palynofacies. Analyses were performed using transmitted white light and fluorescence microscopy to identify the groups and subgroups of sedimentary organic matter: non-opaque non-biostructured and biostructured opaque particles, membrane fragments, degraded and non-degraded cuticles, spores, pollen grains, fungal spores, Botryococcus, Palambages, dinoflagellates cysts, amorphous organic matter, pseudoamorphous (product of disintegration of macrophyte tissues) and resins. Three palynofacies associations are distinguished: terrestrial, opaque, and marine palynomorphs. Based on stratigraphically restricted cluster analysis (CONISS), three intervals have been identified: Interval 1, at the base of the Lachman Crags section, conspicuously dominated by the terrestrial palynofacies association. Interval 2, the middle portion of the Lachman Crags section, is marked by alternating terrestrial and opaque palynofacies associations. Interval 3, which coincides with the Herbert Sound section, is distinguished by an abrupt increase in marine elements. The composite section shows progressive transgression, accompanied by a decrease in continental elements, culminating in an open marine environment towards the top of the section.(c) 2023 Elsevier Ltd. All rights reserved.</t>
  </si>
  <si>
    <t>[Santiago, Gustavo; Carvalho, Marcelo de Araujo] Univ Fed Rio de Janeiro, Dept Geol &amp; Paleontol, Lab Paleoecol Vegetal LAPAV, Museu Nacl, BR-20940040 Rio De Janeiro, Brazil; [Ramos, Renato Rodriguez Cabral] Univ Fed Rio de Janeiro, Dept Geol &amp; Paleontol, Museu Nacl, Setor Estratigra fia, Rio De Janeiro, Brazil; [Scheffler, Sandro Marcelo] Univ Fed Rio deJaneiro, Dept Geol &amp; Paleontol, Lab Paleoinvertebrados LAPIN, Museu Nacl, BR-20940040 Rio De Janeiro, Brazil; [Santiago, Gustavo; Carvalho, Marcelo de Araujo; Ramos, Renato Rodriguez Cabral; Scheffler, Sandro Marcelo] CNPq PROANTAR, FLORANTAR, Projeto Paleoflora Peninsula Antartica, Brasilia, DF, Brazil</t>
  </si>
  <si>
    <t>Universidade Federal do Rio de Janeiro; Universidade Federal do Rio de Janeiro</t>
  </si>
  <si>
    <t>Santiago, G (corresponding author), Univ Fed Rio de Janeiro, Dept Geol &amp; Paleontol, Lab Paleoecol Vegetal LAPAV, Museu Nacl, BR-20940040 Rio De Janeiro, Brazil.</t>
  </si>
  <si>
    <t>gustavo.santiago@ymail.com</t>
  </si>
  <si>
    <t>Brazilian National Council for Scientific and Technological Development (Conselho Nacional de Desenvolvimento Cientifico e Tecnologico [CNPq]) [557347/2005-0, 442765/2018-5]</t>
  </si>
  <si>
    <t>Brazilian National Council for Scientific and Technological Development (Conselho Nacional de Desenvolvimento Cientifico e Tecnologico [CNPq])(Conselho Nacional de Desenvolvimento Cientifico e Tecnologico (CNPQ))</t>
  </si>
  <si>
    <t>This project was primarily funded by the Brazilian National Council for Scientific and Technological Development (Conselho Nacional de Desenvolvimento Cientifico e Tecnologico [CNPq] grant nos. 557347/2005-0 and 442765/2018-5) . We wish to thank the Brazilian Navy for logistical and technical support during the expedition to Antarctica. The authors thank the anonymous reviewer and Editor for helpful suggestions.</t>
  </si>
  <si>
    <t>0195-6671</t>
  </si>
  <si>
    <t>1095-998X</t>
  </si>
  <si>
    <t>CRETACEOUS RES</t>
  </si>
  <si>
    <t>Cretac. Res.</t>
  </si>
  <si>
    <t>10.1016/j.cretres.2023.105718</t>
  </si>
  <si>
    <t>Geology; Paleontology</t>
  </si>
  <si>
    <t>Z3ZE3</t>
  </si>
  <si>
    <t>WOS:001111485200001</t>
  </si>
  <si>
    <t>Balestrieri, ML; Olivetti, V; Chew, D; Zurli, L; Zattin, M; Drakou, F; Cornamusini, G; Perotti, M</t>
  </si>
  <si>
    <t>Balestrieri, Maria Laura; Olivetti, Valerio; Chew, David; Zurli, Luca; Zattin, Massimiliano; Drakou, Foteini; Cornamusini, Gianluca; Perotti, Matteo</t>
  </si>
  <si>
    <t>Recurrent E - W oscillations of the ice flow confluence of the East and West Antarctic ice sheets in the central Ross Sea, Antarctica, from the Middle Miocene to the present day</t>
  </si>
  <si>
    <t>Provenance study; Apatite and ZirconU-Pb dating; Antarctica; Middle Miocene-Quaternary glaciomarine sed-iments; Ice-sheet flows; DSDP Site 271; Site 272</t>
  </si>
  <si>
    <t>VICTORIA LAND; PLATE MARGIN; GEOCHRONOLOGY; PROVENANCE; CLIMATE; SIGNATURE; EVOLUTION; SHELF; CO2; GEOCHEMISTRY</t>
  </si>
  <si>
    <t>We present a multidisciplinary provenance study on legacy cores drilled in the 1970s during DSDP Leg 28 at sites 271 and 272, in the central Ross Sea, Antarctica. The two sites combined provide a discontinuous glaciomarine sedimentary record covering 18 myr, from the Middle Miocene to the present day.The two boreholes are located on the continental shelf and near the edge of the Ross Ice Shelf, in the middle of the Ross Sea, at a key site close at 180 degrees longitude that is considered to represent the present confluence between ice flows fed by West Antarctica and East Antarctica. The study employs U-Pb dating of detrital zircons and apatites, coupled with apatite fission-track dating and trace element and REE compositions. Based on the sedi-mentary provenance, our data show a recurrent E-W oscillation of the confluence of the West Antarctica and East Antarctica ice flows, allowing phases of advance and retreat of the West Antarctic Ice Sheet to be inferred.</t>
  </si>
  <si>
    <t>[Balestrieri, Maria Laura] CNR, Ist Geosci &amp; Georisorse, Sede Firenze, Florence, Italy; [Olivetti, Valerio; Zattin, Massimiliano] Univ Padua, Geosci Dept, Padua, Italy; [Chew, David; Drakou, Foteini] Univ Dublin, Trinity Coll Dublin, Dept Geol, Dublin, Ireland; [Zurli, Luca; Cornamusini, Gianluca; Perotti, Matteo] Univ Siena, Dept Phys Earth &amp; Environm Sci, Siena, Italy</t>
  </si>
  <si>
    <t>Consiglio Nazionale delle Ricerche (CNR); Istituto di Geoscienze e Georisorse (IGG-CNR); University of Padua; Trinity College Dublin; University of Siena</t>
  </si>
  <si>
    <t>Olivetti, V (corresponding author), Univ Padua, Geosci Dept, Padua, Italy.</t>
  </si>
  <si>
    <t>valerio.olivetti@unipd.it</t>
  </si>
  <si>
    <t>Zurli, Luca/AGQ-5087-2022</t>
  </si>
  <si>
    <t>Zurli, Luca/0000-0002-7669-7305</t>
  </si>
  <si>
    <t>Italian Programma Nazionale di Ricerche in Antartide [PNRA18_00233]; JRU EPOS Italia; Science Foundation Ireland (SFI) [13/RC/2092_P2]; Padova Geosciences Department [BIRD_182501]</t>
  </si>
  <si>
    <t>Italian Programma Nazionale di Ricerche in Antartide(Ministry of Education, Universities and Research (MIUR)); JRU EPOS Italia; Science Foundation Ireland (SFI)(Science Foundation Ireland); Padova Geosciences Department</t>
  </si>
  <si>
    <t>This work is dedicated to Franco M. Talarico, who has been a constant source of inspiration for all of us, and above all a good friend. This work used archival Deep Sea Drilling Project (DSDP) samples provided by the International Ocean Discovery Program (IODP) . We are grateful to two anonymous reviewers for their very constructive comments and to the Journal Editor, Mary Elliot. The research was carried out with the financial support of the Italian Programma Nazionale di Ricerche in Antartide (Grant number PNRA18_00233) . MLB acknowledges support from JRU EPOS Italia. DC and FD acknowledge support from a research grant from Science Foundation Ireland (SFI) under grant number 13/RC/2092_P2 (iCRAG, the SFI Research Centre in Applied Geosciences) . VO and MZ were supported also by Padova Geosciences Department funding (BIRD_182501) .</t>
  </si>
  <si>
    <t>10.1016/j.palaeo.2023.111885</t>
  </si>
  <si>
    <t>Z3DB1</t>
  </si>
  <si>
    <t>WOS:001110901300001</t>
  </si>
  <si>
    <t>Abás, E; Marina-Montes, C; Perez-Marín, C; Puimedón, J; Anzano, J</t>
  </si>
  <si>
    <t>Abas, E.; Marina-Montes, C.; Perez-Marin, C.; Puimedon, J.; Anzano, J.</t>
  </si>
  <si>
    <t>A combined study of gamma spectrometry and inductively coupled plasma spectroscopy reveals persistent anthropogenic radioactive pollution on Deception Island, Antarctica</t>
  </si>
  <si>
    <t>MICROCHEMICAL JOURNAL</t>
  </si>
  <si>
    <t>Antarctic region; Environmental studies; Radionuclides; ICP-MS; Gamma spectrometry</t>
  </si>
  <si>
    <t>RADIONUCLIDES; SOIL; U-238; K-40; DISEQUILIBRIUM; CS-137; SNOW; SHETLAND; RA-226; PB-210</t>
  </si>
  <si>
    <t>A comprehensive measurement of the concentrations of natural and anthropogenic radionuclides in soil, water, and air was carried out during the austral summer Antarctic campaign 2018-2019 in different locations around the Spanish Research Station Gabriel de Castilla (Deception Island, South Shetland Islands, Antarctica). Limited information is available on radionuclide contamination in the Antarctic region. This study was conducted to evaluate Deception Island's capacity to remove and self-clean its environment. For this reason, samples from soil, water, and air were collected and analysed by gamma spectrometry, inductively coupled plasma mass spectrometry, and inductively coupled plasma optical emission spectroscopy. The obtained results revealed significant levels of 210Pb and anthropogenic 137Cs, in soil samples close to old human settlements and facilities. In terms of water samples, although more renovation was expected than Antarctic soil, human impact was confirmed again since significant levels of both anthropogenic radionuclides, 137Cs and 60Co, are still detectable in old hunting areas. Air quality studies are not totally conclusive because the obtained results are significantly higher than those previously reported, a fact that potentially points to resuspension processes.</t>
  </si>
  <si>
    <t>[Abas, E.; Marina-Montes, C.; Anzano, J.] Univ Zaragoza, Laser Lab, Chem &amp; Environm Grp, Fac Sci,Dept Analyt Chem, Pedro Cerbuna 12, Zaragoza 50009, Spain; [Perez-Marin, C.; Puimedon, J.] Univ Zaragoza, Ctr Astroparticulas &amp; Fis Altas Energias CAPA, LABAC, Pedro Cerbuna 12, Zaragoza 50009, Spain</t>
  </si>
  <si>
    <t>University of Zaragoza; University of Zaragoza</t>
  </si>
  <si>
    <t>Anzano, J (corresponding author), Univ Zaragoza, Laser Lab, Chem &amp; Environm Grp, Fac Sci,Dept Analyt Chem, Pedro Cerbuna 12, Zaragoza 50009, Spain.</t>
  </si>
  <si>
    <t>janzano@unizar.es</t>
  </si>
  <si>
    <t>Marina-Montes, Cesar/AEU-5508-2022; Puimedon, Jorge/K-5421-2014</t>
  </si>
  <si>
    <t>Marina-Montes, Cesar/0000-0001-5652-3677; Puimedon, Jorge/0000-0001-8732-8196; Abas-Benedi, Elisa/0000-0002-6674-7364</t>
  </si>
  <si>
    <t>University of Zaragoza [UZ2021-CIE-01]; Departamento de Ciencia, Universidad y Sociedad del Conocimiento del Gobierno de Aragon [E49_23R, E27_20R]; Ministry of Science and Innovation of Spain [CTM2017-82929-R]; Spanish government [PRE2018-085309]</t>
  </si>
  <si>
    <t>University of Zaragoza; Departamento de Ciencia, Universidad y Sociedad del Conocimiento del Gobierno de Aragon; Ministry of Science and Innovation of Spain(Spanish Government); Spanish government(Spanish Government)</t>
  </si>
  <si>
    <t>The authors gratefully acknowledge the University of Zaragoza (UZ2021-CIE-01) , the Departamento de Ciencia, Universidad y Sociedad del Conocimiento del Gobierno de Aragon (E49_23R) and E27_20R) , and the Ministry of Science and Innovation of Spain (CTM2017-82929-R) . C. M.-M.'s work was funded by a postdoctoral contract (PRE2018-085309) granted by the Spanish government.</t>
  </si>
  <si>
    <t>0026-265X</t>
  </si>
  <si>
    <t>1095-9149</t>
  </si>
  <si>
    <t>MICROCHEM J</t>
  </si>
  <si>
    <t>Microchem J.</t>
  </si>
  <si>
    <t>10.1016/j.microc.2023.109575</t>
  </si>
  <si>
    <t>Chemistry, Analytical</t>
  </si>
  <si>
    <t>Z3CM1</t>
  </si>
  <si>
    <t>WOS:001110886100001</t>
  </si>
  <si>
    <t>Hoffmann-Abdi, K; Meyer, H; Fernandoy, F; Freitag, J; Shaw, FM; Werner, M; Thomas, ER; Mcconnell, JR; Schneider, C</t>
  </si>
  <si>
    <t>Hoffmann-Abdi, Kirstin; Meyer, Hanno; Fernandoy, Francisco; Freitag, Johannes; Shaw, Fyntan M.; Werner, Martin; Thomas, Elizabeth R.; Mcconnell, Joseph R.; Schneider, Christoph</t>
  </si>
  <si>
    <t>Deciphering stable water isotope records of firn cores from a strongly maritime, high-accumulation site on the Antarctic Peninsula</t>
  </si>
  <si>
    <t>accumulation; Antarctic glaciology; ice/atmosphere interactions; polar firn; snow and ice chemistry</t>
  </si>
  <si>
    <t>WEST ANTARCTICA; SEA-ICE; REGIONAL CLIMATE; SURFACE SNOW; DEUTERIUM EXCESS; KOHNEN STATION; ANNULAR MODES; BLACK CARBON; ADELIE LAND; VARIABILITY</t>
  </si>
  <si>
    <t>Stable water isotope records of six firn cores retrieved from two adjacent plateaus on the northern Antarctic Peninsula between 2014 and 2016 are presented and investigated for their connections with firn-core glacio-chemical data, meteorological records and modelling results. Average annual accumulation rates of 2500 kg m-2 a-1 largely reduce the modification of isotopic signals in the snowpack by post-depositional processes, allowing excellent signal preservation in space and time. Comparison of firn-core and ECHAM6-wiso modelled delta 18O and d-excess records reveals a large agreement on annual and sub-annual scales, suggesting firn-core stable water isotopes to be representative of specific synoptic situations. The six firn cores exhibit highly similar isotopic patterns in the overlapping period (2013), which seem to be related to temporal changes in moisture sources rather than local near-surface air temperatures. Backward trajectories calculated with the HYSPLIT model suggest that prominent delta 18O minima in 2013 associated with elevated sea salt concentrations are related to long-range moisture transport dominated by westerly winds during positive SAM phases. In contrast, a broad delta 18O maximum in the same year accompanied by increased concentrations of black carbon and mineral dust corresponds to the advection of more locally derived moisture with northerly flow components (South America) when the SAM is negative.</t>
  </si>
  <si>
    <t>[Hoffmann-Abdi, Kirstin; Meyer, Hanno; Shaw, Fyntan M.] Alfred Wegener Inst, Helmholtz Ctr Polar &amp; Marine Res, Res Unit Potsdam, D-14473 Potsdam, Germany; [Hoffmann-Abdi, Kirstin; Schneider, Christoph] Humboldt Univ, Geog Dept, Unter Linden 6, D-10099 Berlin, Germany; [Fernandoy, Francisco] Univ Nacl Andres Bello, Fac Ingn, Vina Del Mar 2531015, Chile; [Freitag, Johannes; Werner, Martin] AlfredWegener Inst, Helmholtz Ctr Polar &amp; Marine Res, D-27568 Bremerhaven, Germany; [Thomas, Elizabeth R.] British Antarctic Survey, Ice Dynam &amp; Paleoclimate, Cambridge CB3 0ET, England; [Mcconnell, Joseph R.] Desert Res Inst, Div Hydrol Sci, Reno, NV 89512 USA</t>
  </si>
  <si>
    <t>Helmholtz Association; Alfred Wegener Institute, Helmholtz Centre for Polar &amp; Marine Research; Humboldt University of Berlin; Universidad Andres Bello; Helmholtz Association; Alfred Wegener Institute, Helmholtz Centre for Polar &amp; Marine Research; UK Research &amp; Innovation (UKRI); Natural Environment Research Council (NERC); NERC British Antarctic Survey; Nevada System of Higher Education (NSHE); Desert Research Institute NSHE</t>
  </si>
  <si>
    <t>Hoffmann-Abdi, K (corresponding author), Alfred Wegener Inst, Helmholtz Ctr Polar &amp; Marine Res, Res Unit Potsdam, D-14473 Potsdam, Germany.;Hoffmann-Abdi, K (corresponding author), Humboldt Univ, Geog Dept, Unter Linden 6, D-10099 Berlin, Germany.</t>
  </si>
  <si>
    <t>Kirstin.Hoffmann@awi.de</t>
  </si>
  <si>
    <t>Schneider, Christoph/0000-0002-9914-3217; Thomas, Elizabeth/0000-0002-3010-6493</t>
  </si>
  <si>
    <t>FONDECYT [11121551]; state of Berlin, Germany; Chilean government, i.e. the Instituto Antrtico Chileno (INACH)</t>
  </si>
  <si>
    <t>FONDECYT(Comision Nacional de Investigacion Cientifica y Tecnologica (CONICYT)CONICYT FONDECYT); state of Berlin, Germany; Chilean government, i.e. the Instituto Antrtico Chileno (INACH)</t>
  </si>
  <si>
    <t>The presented work was partially funded by the FONDECYT project 11121551. Kirstin Hoffmann-Abdi was funded by an Elsa-Neumann Ph.D. scholarship awarded by the state of Berlin, Germany. We thank the Chilean government, i.e. the Instituto Antartico Chileno (INACH) and the Fuerza Aerea de Chile (FACH) for their support in the organization of field campaigns and for providing logistical facilities. We highly acknowledge the support of Delia Rodriguez Oroz and Dieter Tetzner in carrying out fieldwork and the support of the involved laboratory personnel at AWI, UNAB, BAS and DRI. We thank Sina Spors for her help with HYSPLIT backward trajectory modelling. We also thank two anonymous referees for their constructive comments that helped to substantially improve the manuscript.</t>
  </si>
  <si>
    <t>2023 NOV 8</t>
  </si>
  <si>
    <t>10.1017/jog.2023.79</t>
  </si>
  <si>
    <t>X5BI8</t>
  </si>
  <si>
    <t>WOS:001098597600001</t>
  </si>
  <si>
    <t>Stubblefield, AG; Meyer, CR; Siegfried, MR; Sauthoff, W; Spiegelman, M</t>
  </si>
  <si>
    <t>Stubblefield, Aaron G.; Meyer, Colin R.; Siegfried, Matthew R.; Sauthoff, Wilson; Spiegelman, Marc</t>
  </si>
  <si>
    <t>Reconstructing subglacial lake activity with an altimetry-based inverse method</t>
  </si>
  <si>
    <t>Antarctic glaciology; ice-sheet modeling; subglacial lakes; subglacial processes</t>
  </si>
  <si>
    <t>ICE STREAM; WEST ANTARCTICA; THWAITES GLACIER; EAST ANTARCTICA; FLOW SPEED; SURFACE; BENEATH; DRAINAGE; WHILLANS; SYSTEM</t>
  </si>
  <si>
    <t>Subglacial lake water-volume changes produce ice-elevation anomalies that provide clues about water flow beneath glaciers and ice sheets. Significant challenges remain in the quantitative interpretation of these elevation-change anomalies because the surface expression of subglacial lake activity depends on basal conditions, rate of water-volume change, and ice rheology. To address these challenges, we introduce an inverse method that reconstructs subglacial lake activity from altimetry data while accounting for the effects of viscous ice flow. We use a linearized approximation of a Stokes ice-flow model under the assumption that subglacial lake activity only induces small perturbations relative to a reference ice-flow state. We validate this assumption by accurately reconstructing lake activity from synthetic data that are produced with a fully nonlinear model. We then apply the method to estimate the water-volume changes of several active subglacial lakes in Antarctica by inverting data from NASA's Ice, Cloud, and land Elevation Satellite 2 (ICESat-2) laser altimetry mission. The results show that there can be substantial discrepancies (20% or more) between the inversion and traditional estimation methods due to the effects of viscous ice flow. The inverse method will help refine estimates of subglacial water transport and further constrain the role of subglacial hydrology in ice-sheet evolution.</t>
  </si>
  <si>
    <t>[Stubblefield, Aaron G.; Meyer, Colin R.] Dartmouth Coll, Thayer Sch Engn, Hanover, NH 03755 USA; [Siegfried, Matthew R.] Colorado Sch Mines, Dept Geophys, Golden, CO USA; [Siegfried, Matthew R.; Sauthoff, Wilson] Colorado Sch Mines, Hydrol Sci &amp; Engn Program, Golden, CO USA; [Spiegelman, Marc] Columbia Univ, Lamont Doherty Earth Observ, Palisades, NY USA; [Spiegelman, Marc] Columbia Univ, Dept Appl Phys &amp; Appl Math, New York, NY USA</t>
  </si>
  <si>
    <t>Dartmouth College; Colorado School of Mines; Colorado School of Mines; Columbia University; Columbia University</t>
  </si>
  <si>
    <t>Stubblefield, AG (corresponding author), Dartmouth Coll, Thayer Sch Engn, Hanover, NH 03755 USA.</t>
  </si>
  <si>
    <t>aaron.g.stubblefield@dartmouth.edu</t>
  </si>
  <si>
    <t>Sauthoff, Wilson/AAP-4898-2020</t>
  </si>
  <si>
    <t>Sauthoff, Wilson/0000-0001-9683-1578</t>
  </si>
  <si>
    <t>Aaron Stubblefield thanks Jonathan Kingslake, Meredith Nettles, Ian Hewitt, and Brent Minchew for discussions about the inverse problem. Aaron Stubblefield was supported by NSF (2012958). Colin Meyer was supported by NSF (2012958); ARO (78811EG); and NASA [2012958]; NSF [78811EG]; ARO [80NSSC21K0912]; NASA</t>
  </si>
  <si>
    <t>Aaron Stubblefield thanks Jonathan Kingslake, Meredith Nettles, Ian Hewitt, and Brent Minchew for discussions about the inverse problem. Aaron Stubblefield was supported by NSF (2012958). Colin Meyer was supported by NSF (2012958); ARO (78811EG); and NASA; NSF(National Science Foundation (NSF)); ARO; NASA(National Aeronautics &amp; Space Administration (NASA))</t>
  </si>
  <si>
    <t>Aaron Stubblefield thanks Jonathan Kingslake, Meredith Nettles, Ian Hewitt, and Brent Minchew for discussions about the inverse problem. Aaron Stubblefield was supported by NSF (2012958). Colin Meyer was supported by NSF (2012958); ARO (78811EG); and NASA (80NSSC21M0329). Matthew Siegfried and Wilson Sauthoff were supported by NASA (80NSSC21K0912).</t>
  </si>
  <si>
    <t>10.1017/jog.2023.90</t>
  </si>
  <si>
    <t>X2WM1</t>
  </si>
  <si>
    <t>WOS:001097109200001</t>
  </si>
  <si>
    <t>Haid, V; Timmermann, R; Gürses, O; Hellmer, HH</t>
  </si>
  <si>
    <t>Haid, Verena; Timmermann, Ralph; Guerses, Oezguer; Hellmer, Hartmut H.</t>
  </si>
  <si>
    <t>On the drivers of regime shifts in the Antarctic marginal seas, exemplified by the Weddell Sea</t>
  </si>
  <si>
    <t>PINE ISLAND GLACIER; ICE-SHELF CAVITY; MODEL; CIRCULATION; SHEET</t>
  </si>
  <si>
    <t>Recent studies have found evidence for a potential future tipping point, when the density of Antarctic continental shelf waters, specifically in the southern Weddell Sea, will allow for the onshore flow of warm waters of open ocean origin. A cold-to-warm regime shift in the adjacent ice shelf cavities entails a strong enhancement of ice shelf basal melt rates and could trigger instabilities in the ice sheet. From a suite of numerical experiments, aimed to force such a regime shift on the continental shelf, we identified the density balance between the shelf waters formed by sea ice production and the warmer water at the shelf break as the defining element of a tipping into a warm state. In our experiments, this process is reversible but there is evidence for hysteresis behaviour. Using HadCM3 20th-century output as atmospheric forcing, the resulting state of the Filchner-Ronne cavity depends on the initial state. In contrast, ERA Interim forcing pushes even a warm-initialized cavity into a cold state, i.e. it pushes the system back across the reversal threshold to the cold side. However, it turns out that for forcing data perturbations of a realistic magnitude, a unique and universal recipe for triggering a regime shift in Antarctic marginal seas was not found; instead, various ocean states can lead to an intrusion of off-shelf waters onto the continental shelf and into the cavities. Whether or not any given forcing or perturbation yields a density imbalance and thus allows for the inflow of warm water depends on the complex interplay between bottom topography, mean ocean state, sea ice processes, and atmospheric conditions.</t>
  </si>
  <si>
    <t>[Haid, Verena; Timmermann, Ralph; Hellmer, Hartmut H.] Helmholtz Ctr Polar &amp; Marine Res, Phys Oceanog Polar Seas, Alfred Wegener Inst, Bremerhaven, Germany; [Guerses, Oezguer] Helmholtz Ctr Polar &amp; Marine Res, Jr Grp Marine Carbon &amp; Ecosyst Feedbacks Earth Sys, Alfred Wegener Inst, Bremerhaven, Germany</t>
  </si>
  <si>
    <t>Helmholtz Association; Alfred Wegener Institute, Helmholtz Centre for Polar &amp; Marine Research; Helmholtz Association; Alfred Wegener Institute, Helmholtz Centre for Polar &amp; Marine Research</t>
  </si>
  <si>
    <t>Haid, V (corresponding author), Helmholtz Ctr Polar &amp; Marine Res, Phys Oceanog Polar Seas, Alfred Wegener Inst, Bremerhaven, Germany.</t>
  </si>
  <si>
    <t>verena.haid@awi.de</t>
  </si>
  <si>
    <t>Gurses, Ozgur/0000-0002-0646-5760</t>
  </si>
  <si>
    <t>North German Supercomputing Alliance (HLRN)</t>
  </si>
  <si>
    <t>The work relied heavily on computational resources provided by the North German Supercomputing Alliance (HLRN). We acknowledge the TiPACCs project and thank all its participants. We thank our reviewers and our editor for their work and their helpful comments on the article.</t>
  </si>
  <si>
    <t>NOV 7</t>
  </si>
  <si>
    <t>10.5194/os-19-1529-2023</t>
  </si>
  <si>
    <t>IV0U4</t>
  </si>
  <si>
    <t>WOS:001169002200001</t>
  </si>
  <si>
    <t>Kotov, D; Bogomaz, O</t>
  </si>
  <si>
    <t>Kotov, Dmytro; Bogomaz, Oleksandr</t>
  </si>
  <si>
    <t>Hydrogen atoms near the exobase are cold: independent observations do not support the hot exosphere concept (vol 10, 1200959, 2023)</t>
  </si>
  <si>
    <t>FRONTIERS IN ASTRONOMY AND SPACE SCIENCES</t>
  </si>
  <si>
    <t>atomic hydrogen; exobase; hot atoms; cold atoms; independent observations</t>
  </si>
  <si>
    <t>[Kotov, Dmytro; Bogomaz, Oleksandr] Inst Ionosphere, Kharkiv, Ukraine; [Bogomaz, Oleksandr] Minist Educ &amp; Sci Ukraine, State Inst, Natl Antarctic Sci Ctr, Kiev, Ukraine</t>
  </si>
  <si>
    <t>Kotov, D (corresponding author), Inst Ionosphere, Kharkiv, Ukraine.</t>
  </si>
  <si>
    <t>dmitrykotoff@gmail.com</t>
  </si>
  <si>
    <t>2296-987X</t>
  </si>
  <si>
    <t>FRONT ASTRON SPACE</t>
  </si>
  <si>
    <t>Front. Astron. Space Sci.</t>
  </si>
  <si>
    <t>10.3389/fspas.2023.1320143</t>
  </si>
  <si>
    <t>IV3T1</t>
  </si>
  <si>
    <t>WOS:001169079300001</t>
  </si>
  <si>
    <t>Martinez-Varela, A; Casas, G; Berrojalbiz, N; Lundin, D; Piña, B; Dachs, J; Vila-Costa, M</t>
  </si>
  <si>
    <t>Martinez-Varela, Alicia; Casas, Gemma; Berrojalbiz, Naiara; Lundin, Daniel; Pina, Benjamin; Dachs, Jordi; Vila-Costa, Maria</t>
  </si>
  <si>
    <t>Metatranscriptomic responses and microbial degradation of background polycyclic aromatic hydrocarbons in the coastal Mediterranean and Antarctica</t>
  </si>
  <si>
    <t>Polycyclic aromatic hydrocarbons (PAH); Metatranscriptomics; 16S amplicon sequencing; PAH biodegradation rates; Antarctica; Mediterranean</t>
  </si>
  <si>
    <t>MOBILE GENETIC ELEMENTS; HORIZON OIL-SPILL; DEGRADING BACTERIA; MARINE BACTERIOPLANKTON; COMMUNITY RESPONSE; BIODEGRADATION; METAGENOME; ALIGNMENT; REVEALS; BUDGET</t>
  </si>
  <si>
    <t>Although microbial degradation is a key sink of polycyclic aromatic hydrocarbons (PAH) in surface seawaters, there is a dearth of field-based evidences of regional divergences in biodegradation and the effects of PAHs on site-specific microbial communities. We compared the magnitude of PAH degradation and its impacts in short-term incubations of coastal Mediterranean and the Maritime Antarctica microbiomes with environmentally relevant concentrations of PAHs. Mediterranean bacteria readily degraded the less hydrophobic PAHs, with rates averaging 4.72 +/- 0.5 ng L h-1. Metatranscriptomic responses showed significant enrichments of genes associated to horizontal gene transfer, stress response, and PAH degradation, mainly harbored by Alphaproteobacteria. Community composition changed and increased relative abundances of Bacteroidota and Flavobacteriales. In Antarctic waters, there was no degradation of PAH, and minimal metatranscriptome responses were observed. These results provide evidence for factors such as geographic region, community composition, and pre-exposure history to predict PAH biodegradation in seawater.</t>
  </si>
  <si>
    <t>[Martinez-Varela, Alicia; Casas, Gemma; Berrojalbiz, Naiara; Pina, Benjamin; Dachs, Jordi; Vila-Costa, Maria] CSIC, Dept Environm Chem, Inst Environm Assessment &amp; Water Res, IDAEA, C-Jordi Girona 18-26, Barcelona 08034, Catalunya, Spain; [Lundin, Daniel] Linnaeus Univ, Ctr Ecol &amp; Evolut Microbial Model Syst, EEMiS, S-35195 Kalmar, Sweden</t>
  </si>
  <si>
    <t>Consejo Superior de Investigaciones Cientificas (CSIC); CSIC - Centro de Investigacion y Desarrollo Pascual Vila (CID-CSIC); CSIC - Instituto de Diagnostico Ambiental y Estudios del Agua (IDAEA); Linnaeus University</t>
  </si>
  <si>
    <t>Vila-Costa, M (corresponding author), CSIC, Dept Environm Chem, Inst Environm Assessment &amp; Water Res, IDAEA, C-Jordi Girona 18-26, Barcelona 08034, Catalunya, Spain.</t>
  </si>
  <si>
    <t>maria.vila@idaea.csic.es</t>
  </si>
  <si>
    <t>Casas, Gemma/JYP-3405-2024; Berrojalbiz, Naiara/R-4832-2016; Vila-Costa, Maria/L-4833-2014</t>
  </si>
  <si>
    <t>Vila-Costa, Maria/0000-0003-1730-8418</t>
  </si>
  <si>
    <t>CRUE-CSIC agreement; Springer Nature; Spanish Ministry of Science and Innovation [CTM2015-70535-P, CTM2015-65691-R, 2017SGR800]; Catalan Government [CEX2018-000794-S]</t>
  </si>
  <si>
    <t>CRUE-CSIC agreement; Springer Nature; Spanish Ministry of Science and Innovation(Spanish Government); Catalan Government</t>
  </si>
  <si>
    <t>Open Access funding provided thanks to the CRUE-CSIC agreement with Springer Nature. This work was supported by Spanish Ministry of Science and Innovation to GC and AMV through pre-doctoral fellowships, and through projects SENTINEL (CTM2015-70535-P) and ISOMICS (CTM2015-65691-R). The research group of Global Change and Genomic Biogeochemistry receives support from the Catalan Government (2017SGR800). IDAEA-CSIC is a Centre of Excellence Severo Ochoa (Spanish Ministry of Science and Innovation, Project CEX2018-000794-S).</t>
  </si>
  <si>
    <t>10.1007/s11356-023-30650-1</t>
  </si>
  <si>
    <t>EH5V9</t>
  </si>
  <si>
    <t>WOS:001100586300004</t>
  </si>
  <si>
    <t>Sun, YJ; Robinson, LF; Parkinson, IJ; Stewart, JA; Lu, WY; Hardisty, DS; Liu, Q; Kershaw, J; Lavigne, M; Horner, TJ</t>
  </si>
  <si>
    <t>Sun, Yun-Ju; Robinson, Laura F.; Parkinson, Ian J.; Stewart, Joseph A.; Lu, Wanyi; Hardisty, Dalton S.; Liu, Qian; Kershaw, James; Lavigne, Michele; Horner, Tristan J.</t>
  </si>
  <si>
    <t>Iodine-to-calcium ratios in deep-sea scleractinian and bamboo corals</t>
  </si>
  <si>
    <t>biogenic carbonate; iodate incorporation; seawater oxygenation proxy; dissolved oxygen; marine redox state</t>
  </si>
  <si>
    <t>DISSOLVED IODINE; ARABIAN SEA; REDOX PROXY; OCEAN; SEAWATER; IODATE; TEMPERATURES; ATMOSPHERE; CHEMISTRY; ARAGONITE</t>
  </si>
  <si>
    <t>The distribution of dissolved iodine in seawater is sensitive to multiple biogeochemical cycles, including those of nitrogen and oxygen. The iodine-to-calcium ratio (I/Ca) of marine carbonates, such as bulk carbonate or foraminifera, has emerged as a potential proxy for changes in past seawater oxygenation. However, the utility of the I/Ca proxy in deep-sea corals, natural archives of seawater chemistry with wide spatial coverage and radiometric dating potential, remains unexplored. Here, we present the first I/Ca data obtained from modern deep-sea corals, specifically scleractinian and bamboo corals, collected from the Atlantic, Eastern Pacific, and Southern Oceans, encompassing a wide range of seawater oxygen concentrations (10-280 mu mol/kg). In contrast to thermodynamic predictions, we observe higher I/Ca ratios in aragonitic corals (scleractinian) compared to calcitic corals (bamboo). This observation suggests a strong biological control during iodate incorporation into deep-sea coral skeletons. For the majority of scleractinian corals, I/Ca exhibits a covariation with local seawater iodate concentrations, which is closely related to seawater oxygen content. Scleractinian corals also exhibit notably lower I/Ca below a seawater oxygen threshold of approximately 160 mu mol/kg. In contrast, no significant differences in I/Ca are found among bamboo corals across the range of oxygen concentrations encountered (15-240 mu mol/kg). In the North Atlantic, several hydrographic factors, such as temperature and/or salinity, may additionally affect coral I/Ca. Our results highlight the potential of I/Ca ratios in deep-sea scleractinian corals to serve as an indicator of past seawater iodate concentrations, providing valuable insights into historical seawater oxygen levels.</t>
  </si>
  <si>
    <t>[Sun, Yun-Ju; Robinson, Laura F.; Parkinson, Ian J.; Stewart, Joseph A.; Liu, Qian; Kershaw, James] Univ Bristol, Sch Earth Sci, Bristol, Gloucestershire, England; [Robinson, Laura F.] Univ York, Dept Environm &amp; Geog, York, N Yorkshire, England; [Lu, Wanyi] Woods Hole Oceanog Inst, Dept Geol &amp; Geophys, Woods Hole, MA 02543 USA; [Hardisty, Dalton S.] Michigan State Univ, Dept Earth &amp; Environm Sci, E Lansing, MI 48823 USA; [Lavigne, Michele] Bowdoin Coll, Dept Earth &amp; Oceanog Sci, Brunswick, ME 04011 USA; [Horner, Tristan J.] Woods Hole Oceanog Inst, Dept Marine Chem &amp; Geochem, Woods Hole, MA USA</t>
  </si>
  <si>
    <t>University of Bristol; University of York - UK; Woods Hole Oceanographic Institution; Michigan State University; Bowdoin College; Woods Hole Oceanographic Institution</t>
  </si>
  <si>
    <t>Sun, YJ (corresponding author), Univ Bristol, Sch Earth Sci, Bristol, Gloucestershire, England.</t>
  </si>
  <si>
    <t>yj.sun@bristol.ac.uk</t>
  </si>
  <si>
    <t>Liu, Qian/JMB-0169-2023</t>
  </si>
  <si>
    <t>Liu, Qian/0000-0001-9033-0879; Stewart, Joseph/0000-0003-3092-5058; Horner, Tristan/0000-0003-1784-0391</t>
  </si>
  <si>
    <t>The author(s) declare financial support was received for the research, authorship, and/or publication of this article. Funding for this work was provided by a bursary from Antarctic Science Ltd. and a Government Scholarship Program for overseas stu; Antarctic Science Ltd.; Ministry of Education, Taiwan [NE/S001743/1, NE/R005117/1, NE/N003861/1, NE/X00127X/1]; NERC [678371]; European Research Council; Woods Hole Oceanographic Institution's President's Innovation Fund; Breene M. Kerr Early Career Scientist Endowment Fund [1829406]; NSF CO award</t>
  </si>
  <si>
    <t>The author(s) declare financial support was received for the research, authorship, and/or publication of this article. Funding for this work was provided by a bursary from Antarctic Science Ltd. and a Government Scholarship Program for overseas stu; Antarctic Science Ltd.; Ministry of Education, Taiwan(Ministry of Education, Taiwan); NERC(UK Research &amp; Innovation (UKRI)Natural Environment Research Council (NERC)); European Research Council(European Research Council (ERC)); Woods Hole Oceanographic Institution's President's Innovation Fund; Breene M. Kerr Early Career Scientist Endowment Fund; NSF CO award</t>
  </si>
  <si>
    <t>The author(s) declare financial support was received for the research, authorship, and/or publication of this article. Funding for this work was provided by a bursary from Antarctic Science Ltd. and a Government Scholarship Program for overseas study from the Ministry of Education, Taiwan awarded to Y-J.S, and NERC grants awarded to LR (NE/S001743/1; NE/R005117/1; NE/N003861/1; NE/X00127X/1). Cruise DY081 was funded by the European Research Council starting grant ICY-LAB (Grant Agreement 678371). TH acknowledges support from the Woods Hole Oceanographic Institution's President's Innovation Fund and The Breene M. Kerr Early Career Scientist Endowment Fund. DH thanks NSF CO award # 1829406.r The author(s) declare financial support was received for the research, authorship, and/or publication of this article. Funding for this work was provided by a bursary from Antarctic Science Ltd. and a Government Scholarship Program for overseas study from the Ministry of Education, Taiwan awarded to Y-J.S, and NERC grants awarded to LR (NE/S001743/1; NE/R005117/1; NE/N003861/1; NE/X00127X/1). Cruise DY081 was funded by the European Research Council starting grant ICY-LAB (Grant Agreement 678371). TH acknowledges support from the Woods Hole Oceanographic Institution's President's Innovation Fund and The Breene M. Kerr Early Career Scientist Endowment Fund. DH thanks NSF CO award # 1829406.</t>
  </si>
  <si>
    <t>10.3389/fmars.2023.1264380</t>
  </si>
  <si>
    <t>Y3LJ1</t>
  </si>
  <si>
    <t>WOS:001104313800001</t>
  </si>
  <si>
    <t>Shahateet, K; Navarro, F; Seehaus, T; Fürst, JJ; Braun, M</t>
  </si>
  <si>
    <t>Shahateet, Kaian; Navarro, Francisco; Seehaus, Thorsten; Fuerst, Johannes J.; Braun, Matthias</t>
  </si>
  <si>
    <t>Estimating ice discharge of the Antarctic Peninsula using different ice-thickness datasets</t>
  </si>
  <si>
    <t>Antarctic glaciology; glacier discharge; ice thickness measurements</t>
  </si>
  <si>
    <t>ELEVATION MODEL; GLACIER; SHELF; GREENLAND; WIDE; FLOW; BED</t>
  </si>
  <si>
    <t>The Antarctic Peninsula Ice Sheet (APIS) has become a significant contributor to sea-level rise over recent decades. Accurately estimating the ice discharge from the outlet glaciers of the APIS is crucial to quantify the mass balance of the Antarctic Peninsula. We here compute the ice discharge from the outlet glaciers of the APIS north of 70(circle)S for the five most widely used ice-thickness reconstructions, using a common surface velocity field and a common set of flux gates, so the differences in ice discharge can be solely attributed to the differences in ice thickness at the flux gates. The total volumetric ice discharge for 2015-2017 ranges within 45-141 km3 a(-1), depending on the ice-thickness model, with a mean of 87 +/- 44 km3 a(-1). The substantial differences between the ice-discharge results, and a multi-model normalized root-mean-squared deviation of 0.91 for the whole data set, reveal large differences and inconsistencies between the ice-thickness models, giving an indication of the large uncertainty in the current ice-discharge estimates for the APIS. This manifests a fundamental problem of the region: the scarcity of appropriate ice-thickness measurements and the difficulty of the current models to reconstruct the ice-thickness distribution in this complex region.</t>
  </si>
  <si>
    <t>[Shahateet, Kaian; Navarro, Francisco] Univ Politecn Madrid, Dept Matemat Aplicada TIC, ETSI Telecomunicac, Madrid, Spain; [Seehaus, Thorsten; Fuerst, Johannes J.; Braun, Matthias] Friedrich Alexander Univ Erlangen Nurnberg, Inst Geog, Erlangen, Germany</t>
  </si>
  <si>
    <t>Universidad Politecnica de Madrid; University of Erlangen Nuremberg</t>
  </si>
  <si>
    <t>Shahateet, K (corresponding author), Univ Politecn Madrid, Dept Matemat Aplicada TIC, ETSI Telecomunicac, Madrid, Spain.</t>
  </si>
  <si>
    <t>k.fernandes@upm.es</t>
  </si>
  <si>
    <t>Shahateet, Kaian/KHD-4312-2024; Navarro, Francisco Jose/L-2941-2014</t>
  </si>
  <si>
    <t>Shahateet, Kaian/0000-0003-0033-0483; Seehaus, Thorsten/0000-0001-5055-8959; Furst, Johannes/0000-0003-3988-5849; Navarro, Francisco Jose/0000-0002-5147-0067</t>
  </si>
  <si>
    <t>This research was funded by grant PID2020-113051RB-C31 from MCIN / AEI / 10.13039/501100011033 / FEDER, UE. K. S. was funded by the German Academic Exchange Service (DAAD) under grant 91828107. T. S. was funded by the ESA Living Planet Fellowship MIT-AP an [PID2020-113051RB-C31]; FEDER, UE - German Academic Exchange Service (DAAD) [91828107]; ESA Living Planet Fellowship MIT-AP [IDP M3OCCA]</t>
  </si>
  <si>
    <t>This research was funded by grant PID2020-113051RB-C31 from MCIN / AEI / 10.13039/501100011033 / FEDER, UE. K. S. was funded by the German Academic Exchange Service (DAAD) under grant 91828107. T. S. was funded by the ESA Living Planet Fellowship MIT-AP an; FEDER, UE - German Academic Exchange Service (DAAD); ESA Living Planet Fellowship MIT-AP</t>
  </si>
  <si>
    <t>This research was funded by grant PID2020-113051RB-C31 from MCIN / AEI / 10.13039/501100011033 / FEDER, UE. K. S. was funded by the German Academic Exchange Service (DAAD) under grant 91828107. T. S. was funded by the ESA Living Planet Fellowship MIT-AP and the Elite Network of Bavaria grant IDP M3OCCA. We thank Jonathan Carrivick for providing us the ice-thickness map of AP generated using the VOLTA model, as well as Matthias Huss and Daniel Farinotti, and the authors of DeepBedMap, Bedmap2 and Bedmachine v2 for making their results publicly available. We thank the scientific editor, Christine Hvidberg, and two anonymous reviewers for their valuable suggestions to improve the manuscript.</t>
  </si>
  <si>
    <t>2023 NOV 7</t>
  </si>
  <si>
    <t>10.1017/aog.2023.67</t>
  </si>
  <si>
    <t>X1LX9</t>
  </si>
  <si>
    <t>WOS:001096142300001</t>
  </si>
  <si>
    <t>Lilien, DA; Rathmann, NM; Hvidberg, CS; Grinsted, A; Ershadi, MR; Drews, R; Dahl-Jensen, D</t>
  </si>
  <si>
    <t>Lilien, David A.; Rathmann, Nicholas M.; Hvidberg, Christine S.; Grinsted, Aslak; Ershadi, M. Reza; Drews, Reinhard; Dahl-Jensen, Dorthe</t>
  </si>
  <si>
    <t>Simulating higher-order fabric structure in a coupled, anisotropic ice-flow model: application to Dome C</t>
  </si>
  <si>
    <t>Anisotropic ice flow; ice-sheet modeling; recrystallization</t>
  </si>
  <si>
    <t>CRYSTALLOGRAPHIC PREFERRED ORIENTATIONS; LARGE POLYCRYSTALLINE MASSES; POLAR ICE; ANTARCTIC ICE; RECRYSTALLIZATION PROCESSES; DYNAMIC RECRYSTALLIZATION; MICROSTRUCTURAL FEATURES; TEXTURE DEVELOPMENT; SHEAR MARGIN; SHEET</t>
  </si>
  <si>
    <t>Ice-crystal fabric can induce mechanical anisotropy that significantly affects flow, but ice-flow models generally do not include fabric development or its effect upon flow. Here, we incorporate a new spectral expansion of fabric, and more complete description of its evolution, into the ice-flow model Elmer/Ice. This approach allows us to model the effect of both lattice rotation and migration recrystallization on large-scale ice flow. The fabric evolution is coupled to flow using an unapproximated non-linear orthotropic rheology that better describes deformation when the stress and fabric states are misaligned. These improvements are most relevant for simulating dynamically interesting areas, where recrystallization can be important, tuning data are scarce and rapid flow can lead to misalignment between stress and fabric. We validate the model by comparing simulated fabric to ice-core and phase-sensitive radar measurements on a transect across Dome C, East Antarctica. With appropriately tuned rates for recrystallization, the model is able to reproduce observations of fabric. However, these tuned rates differ from those previously derived from laboratory experiments, suggesting a need to better understand how recrystallization acts differently in the laboratory compared to natural settings.</t>
  </si>
  <si>
    <t>[Lilien, David A.; Dahl-Jensen, Dorthe] Univ Manitoba, Ctr Earth Observat Sci, Winnipeg, MB, Canada; [Lilien, David A.; Rathmann, Nicholas M.; Hvidberg, Christine S.; Grinsted, Aslak; Dahl-Jensen, Dorthe] Univ Copenhagen, Niels Bohr Inst, Phys Ice Climate &amp; Earth, Copenhagen, Denmark; [Ershadi, M. Reza; Drews, Reinhard] Univ Tubingen, Dept Geosci, Tubingen, Germany</t>
  </si>
  <si>
    <t>University of Manitoba; University of Copenhagen; Niels Bohr Institute; Eberhard Karls University of Tubingen</t>
  </si>
  <si>
    <t>Lilien, DA (corresponding author), Univ Manitoba, Ctr Earth Observat Sci, Winnipeg, MB, Canada.;Lilien, DA (corresponding author), Univ Copenhagen, Niels Bohr Inst, Phys Ice Climate &amp; Earth, Copenhagen, Denmark.</t>
  </si>
  <si>
    <t>david.lilien@umanitoba.ca</t>
  </si>
  <si>
    <t>Dahl-Jensen, Dorthe/AAO-6951-2020; Rathmann, Nicholas/P-5442-2015</t>
  </si>
  <si>
    <t>Dahl-Jensen, Dorthe/0000-0002-1474-1948; Hvidberg, Christine S./0000-0002-9665-1339; Lilien, David/0000-0001-8667-8020; Rathmann, Nicholas/0000-0001-7140-0931; Ershadi, Mohammadreza/0000-0002-8929-1638; Drews, Reinhard/0000-0002-2328-294X; Grinsted, Aslak/0000-0003-1634-6009</t>
  </si>
  <si>
    <t>David Lilien, Nicholas Rathmann, Christine Hvidberg, Aslak Grinsted and Dorthe Dahl-Jensen were supported by the Villum Foundation through the IceFlow project (No. 16572). David Lilien and Dorthe Dahl-Jensen were further supported by funding from the Canad [16572]; Villum Foundation; Canada Excellence Research Chairs Program [DR 822/3-1]; German Research Foundation (DFG) Emmy Noether grant</t>
  </si>
  <si>
    <t>David Lilien, Nicholas Rathmann, Christine Hvidberg, Aslak Grinsted and Dorthe Dahl-Jensen were supported by the Villum Foundation through the IceFlow project (No. 16572). David Lilien and Dorthe Dahl-Jensen were further supported by funding from the Canad; Villum Foundation(Villum Fonden); Canada Excellence Research Chairs Program(Canada Research Chairs); German Research Foundation (DFG) Emmy Noether grant(German Research Foundation (DFG))</t>
  </si>
  <si>
    <t>David Lilien, Nicholas Rathmann, Christine Hvidberg, Aslak Grinsted and Dorthe Dahl-Jensen were supported by the Villum Foundation through the IceFlow project (No. 16572). David Lilien and Dorthe Dahl-Jensen were further supported by funding from the Canada Excellence Research Chairs Program. Reza Ershadi and Reinhard Drews were supported by German Research Foundation (DFG) Emmy Noether grant No. DR 822/3-1. The authors thank editors Ralph Greve and Sergio Faria and two anonymous reviewers for valuable comments that improved the clarity of the manuscript and robustness of the results.</t>
  </si>
  <si>
    <t>10.1017/jog.2023.78</t>
  </si>
  <si>
    <t>X1NS7</t>
  </si>
  <si>
    <t>WOS:001096189200001</t>
  </si>
  <si>
    <t>Menviel, LC; Spence, P; Kiss, AE; Chamberlain, MA; Hayashida, H; England, MH; Waugh, D</t>
  </si>
  <si>
    <t>Menviel, Laurie C.; Spence, Paul; Kiss, Andrew E.; Chamberlain, Matthew A.; Hayashida, Hakase; England, Matthew H.; Waugh, Darryn</t>
  </si>
  <si>
    <t>Enhanced Southern Ocean CO 2 outgassing as a result of stronger and poleward shifted southern hemispheric westerlies</t>
  </si>
  <si>
    <t>BIOGEOSCIENCES</t>
  </si>
  <si>
    <t>GLOBAL OCEAN; ATMOSPHERIC CO2; CARBON UPTAKE; ANNULAR MODE; CLIMATE; CIRCULATION; EDDIES; TRENDS; IMPACT; CYCLE</t>
  </si>
  <si>
    <t>While the Southern Ocean (SO) provides the largest oceanic sink of carbon, some observational studies have suggested that the SO total CO2 (tCO(2)) uptake exhibited large (similar to 0.3 GtC yr(-1)) decadal-scale variability over the last 30 years, with a similar SO tCO(2) uptake in 2016 as in the early 1990s. Here, using an eddy-rich ocean, sea-ice, carbon cycle model, with a nominal resolution of 0.1(degrees), we explore the changes in total, natural and anthropogenic SO CO2 fluxes over the period 1980-2021 and the processes leading to the CO2 flux variability. The simulated tCO(2) flux exhibits decadal-scale variability with an amplitude of similar to 0.1 GtC yr(-1) globally in phase with observations. Notably, two stagnations in tCO(2) uptake are simulated: between 1982 and 2000, and between 2003 and 2011, while re-invigorations are simulated between 2000 and 2003, as well as since 2012. This decadal-scale variability is primarily due to changes in natural CO2 (nCO(2)) fluxes south of the polar front associated with variability in the Southern Annular Mode (SAM). Positive phases of the SAM, i.e. stronger and poleward shifted southern hemispheric (SH) westerlies, lead to enhanced SO nCO(2) outgassing due to higher surface natural dissolved inorganic carbon (DIC) brought about by a combination of Ekman-driven vertical advection and DIC diffusion at the base of the mixed layer. The pattern of the CO2 flux anomalies indicate a dominant control of the interaction between the mean flow south of the polar front and the main topographic features. While positive phases of the SAM also lead to enhanced anthropogenic CO2 (aCO(2)) uptake south of the polar front, the amplitude of the changes in aCO(2) fluxes is only 25 % of the changes in nCO(2) fluxes. Due to the larger nCO(2) outgassing compared to aCO(2) uptake as the SH westerlies strengthen and shift poleward, the SO tCO(2) uptake capability thus reduced since 1980 in response to the shift towards positive phases of the SAM. Our results indicate that, even in an eddy-rich ocean model, a strengthening and/or poleward shift of the SH westerlies enhance CO2 outgassing. The projected poleward strengthening of the SH westerlies over the coming century will, thus, reduce the capability of the SO to mitigate the increase in atmospheric CO2.</t>
  </si>
  <si>
    <t>[Menviel, Laurie C.] Univ New South Wales, Climate Change Res Ctr, Sydney, NSW 2052, Australia; [Menviel, Laurie C.; Spence, Paul; England, Matthew H.] Univ New South Wales, Australian Ctr Excellence Antarctic Sci, Sydney, NSW 2052, Australia; [Spence, Paul; Chamberlain, Matthew A.; Hayashida, Hakase] Univ Tasmania, Inst Marine &amp; Antarctic Studies, Hobart, Australia; [Spence, Paul; Chamberlain, Matthew A.; Hayashida, Hakase] Univ Tasmania, Australian Antarctic Program Partnership, Hobart, Australia; [Kiss, Andrew E.] Australian Natl Univ, Res Sch Earth Sci, Canberra, Australia; [Kiss, Andrew E.] Australian Res Council, Ctr Excellence Climate Extremes, Canberra, Australia; [Chamberlain, Matthew A.] CSIRO Oceans &amp; Atmosphere, Hobart, Australia; [Hayashida, Hakase] Japan Agcy Marine Earth Sci &amp; Technol, Applicat Lab, Yokohama, Japan; [England, Matthew H.] Univ New South Wales, Ctr Marine Sci &amp; Innovat CMSI, Sydney, NSW 2052, Australia; [Waugh, Darryn] Univ New South Wales, Sch Math &amp; Stat, Sydney, NSW 2052, Australia; [Waugh, Darryn] Johns Hopkins Univ, Dept Earth &amp; Planetary Sci, Baltimore, MD USA</t>
  </si>
  <si>
    <t>University of New South Wales Sydney; University of New South Wales Sydney; University of Tasmania; University of Tasmania; Australian National University; Commonwealth Scientific &amp; Industrial Research Organisation (CSIRO); Japan Agency for Marine-Earth Science &amp; Technology (JAMSTEC); University of New South Wales Sydney; University of New South Wales Sydney; Johns Hopkins University</t>
  </si>
  <si>
    <t>Menviel, LC (corresponding author), Univ New South Wales, Climate Change Res Ctr, Sydney, NSW 2052, Australia.;Menviel, LC (corresponding author), Univ New South Wales, Australian Ctr Excellence Antarctic Sci, Sydney, NSW 2052, Australia.</t>
  </si>
  <si>
    <t>l.menviel@unsw.edu.au</t>
  </si>
  <si>
    <t>England, Matthew/A-7539-2011; Hayashida, Hakase/AAY-4151-2020; Menviel, Laurie/D-6902-2013; Waugh, Darryn/K-3688-2016; Kiss, Andrew/E-7733-2016</t>
  </si>
  <si>
    <t>England, Matthew/0000-0001-9696-2930; Hayashida, Hakase/0000-0002-6349-4947; Menviel, Laurie/0000-0002-5068-1591; Waugh, Darryn/0000-0001-7692-2798; Kiss, Andrew/0000-0001-8960-9557</t>
  </si>
  <si>
    <t>Australian Research Council; Australian Government</t>
  </si>
  <si>
    <t>Australian Research Council(Australian Research Council); Australian Government(Australian Government)</t>
  </si>
  <si>
    <t>The authors thank the Consortium for Ocean-Sea Ice Modelling in Australia (COSIMA; http://www.cosima.org.au, last access: 1 September 2023) for making the ACCESS-OM2 suite of models available at https://github.com/COSIMA/access-om2, last access: 1 September 2023. Model runs were undertaken with the assistance of resources from the National Computational Infrastructure (NCI), which is supported by the Australian Government. The authors thank Kial Stewart for sharing the code to calculate the SAM index from the JRA-55do dataset.</t>
  </si>
  <si>
    <t>1726-4170</t>
  </si>
  <si>
    <t>1726-4189</t>
  </si>
  <si>
    <t>Biogeosciences</t>
  </si>
  <si>
    <t>NOV 6</t>
  </si>
  <si>
    <t>10.5194/bg-20-4413-2023</t>
  </si>
  <si>
    <t>JC5U1</t>
  </si>
  <si>
    <t>WOS:001170978200001</t>
  </si>
  <si>
    <t>Seehaus, T; Sommer, C; Dethinne, T; Malz, P</t>
  </si>
  <si>
    <t>Seehaus, Thorsten; Sommer, Christian; Dethinne, Thomas; Malz, Philipp</t>
  </si>
  <si>
    <t>Mass changes of the northern Antarctic Peninsula Ice Sheet derived from repeat bi-static synthetic aperture radar acquisitions for the period 2013-2017</t>
  </si>
  <si>
    <t>REFERENCE ELEVATION MODEL; OUTLET GLACIERS; FLEMING GLACIER; CLIMATE; SHELF; BALANCE; LARSEN; DISINTEGRATION; OCEAN; LAND</t>
  </si>
  <si>
    <t>Some of the highest specific mass change rates in Antarctica are reported for the Antarctic Peninsula. However, the existing estimates for the northern Antarctic Peninsula ( &lt; 70 S-degrees) are either spatially limited or are affected by considerable uncertainties. The complex topography, frequent cloud cover, limitations in ice thickness information, boundary effects, and uncertain glacial-isostatic adjustment estimates affect the ice sheet mass change estimates using altimetry, gravimetry, or the input-output method. Within this study, the first assessment of the geodetic mass balance throughout the ice sheet of the northern Antarctic Peninsula is carried out employing bi-static synthetic aperture radar (SAR) data from the TanDEM-X satellite mission. Repeat coverages from the austral winters of 2013 and 2017 are employed. Overall, coverage of 96.4 % of the study area by surface elevation change measurements and a total mass budget of - 24.1 +/- 2.8 Gt a (- 1) are revealed. The spatial distribution of the surface elevation and mass changes points out that the former ice shelf tributary glaciers of the Prince Gustav Channel, Larsen A and B, and Wordie ice shelves are the hotspots of ice loss in the study area and highlights the long-lasting dynamic glacier adjustments after the ice shelf break-up events. The highest mass change rate is revealed for the Airy-Seller-Fleming glacier system at - 4.9 +/- 0.6 Gt a( - 1) , and the highest average surface elevation change rate of - 2.30 +/- 0.03 ma( - 1) is observed at Drygalski Glacier. The comparison of the ice mass budget with anomalies in the climatic mass balance indicates, that for wide parts of the southern section of the study area, the mass changes can be partly attributed to changes in the climatic mass balance. However, imbalanced high ice discharge drives the overall ice loss. The previously reported connection between mid-ocean warming along the southern section of the west coast and increased frontal glacier recession does not repeat in the pattern of the observed glacier mass losses, excluding in Wordie Bay. The obtained results provide information on ice surface elevation and mass changes for the entire northern Antarctic Peninsula on unprecedented spatially detailed scales and with high precision and will be beneficial for subsequent analysis and modeling.</t>
  </si>
  <si>
    <t>[Seehaus, Thorsten; Sommer, Christian; Malz, Philipp] Friedrich Alexander Univ Erlangen Nurnberg, Inst Geog, D-91058 Erlangen, Germany; [Dethinne, Thomas] Univ Liege, Lab Climatol, Liege, Belgium; [Dethinne, Thomas] Univ Liege, Ctr Spatial Liege, Liege, Belgium</t>
  </si>
  <si>
    <t>University of Erlangen Nuremberg; University of Liege; University of Liege</t>
  </si>
  <si>
    <t>Seehaus, T (corresponding author), Friedrich Alexander Univ Erlangen Nurnberg, Inst Geog, D-91058 Erlangen, Germany.</t>
  </si>
  <si>
    <t>thorsten.seehaus@fau.de</t>
  </si>
  <si>
    <t>Sommer, Christian/0000-0002-6641-0681; Seehaus, Thorsten/0000-0001-5055-8959</t>
  </si>
  <si>
    <t>European Space Agency (Living Planet Fellowship MIT-AP); Elitenetzwerk Bayern; Deutsche Forschungsgemeinschaft; [IDP M3OCCA]; [DFG BR2105/14-2]</t>
  </si>
  <si>
    <t>European Space Agency (Living Planet Fellowship MIT-AP)(European Space Agency); Elitenetzwerk Bayern; Deutsche Forschungsgemeinschaft(German Research Foundation (DFG)); ;</t>
  </si>
  <si>
    <t>This research has been supported by the European Space Agency (Living Planet Fellowship MIT-AP), the Elitenetzwerk Bayern (grant no. IDP M3OCCA), and the Deutsche Forschungsgemeinschaft (grant no. DFG BR2105/14-2).</t>
  </si>
  <si>
    <t>10.5194/tc-17-4629-2023</t>
  </si>
  <si>
    <t>JA1M0</t>
  </si>
  <si>
    <t>WOS:001170337000001</t>
  </si>
  <si>
    <t>Li, J; Matsuoka, A; Hooker, SB; Maritorena, S; Pang, XP; Babin, M</t>
  </si>
  <si>
    <t>Li, Juan; Matsuoka, Atsushi; Hooker, Stanford B.; Maritorena, Stephane; Pang, Xiaoping; Babin, Marcel</t>
  </si>
  <si>
    <t>A tuned ocean color algorithm for the Arctic Ocean: a solution for waters with high CDM content</t>
  </si>
  <si>
    <t>OPTICS EXPRESS</t>
  </si>
  <si>
    <t>APPARENT OPTICAL-PROPERTIES; CANADIAN BEAUFORT SEA; BIOOPTICAL PROPERTIES; DERIVE A(CDOM)(440); GLOBAL OPTIMIZATION; MARINE PARTICLES; SATELLITE DATA; PERFORMANCE; COASTAL; RIVER</t>
  </si>
  <si>
    <t>The Arctic Ocean (AO) is the most river-influenced ocean. Located at the land-sea interface wherein phytoplankton blooms are common, Arctic coastal waterbodies are among the most affected regions by climate change. Given phytoplankton are critical for energy transfer supporting marine food webs, accurate estimation of chlorophyll a concentration (Chl), which is frequently used as a proxy of phytoplankton biomass, is critical for improving our knowledge of the Arctic marine ecosystem and its response to the ongoing climate change. Due to the unique and complex bio-optical properties of the AO, efforts are still needed to obtain more accurate Chl estimates, especially for coastal waters with high colored detrital material (CDM) content. In this study, we optimized the the Garver-Siegel-Mar itorena (GSM) algorithm, using an Arctic bio-optical dataset comprised of seven wavelengths (the original GSM wavelengths plus 625 nm). Results suggested that our tuned algorithm, denoted GSMA, outperformed an alternative AO GSM algorithm denoted AO.GSM, but the accuracy of Chl estimates was only improved by 8%. In addition, GSMA showed appreciable robustness when assessed using a satellite image and two non-Arctic coastal datasets.</t>
  </si>
  <si>
    <t>[Li, Juan; Pang, Xiaoping] Wuhan Univ, Chinese Antarctic Ctr Surveying &amp; Mapping, Wuhan 430079, Peoples R China; [Li, Juan; Pang, Xiaoping; Babin, Marcel] CNRS, Takuvik Joint Int Lab, Paris, France; [Matsuoka, Atsushi] Univ Laval, Dept Biol, ULaval Canada, Pavillon Alexandre Vachon, Local 2064,1045,Ave Med, Quebec City, PQ G1V 0A6, Canada; [Li, Juan; Pang, Xiaoping] Minist Nat Resources Peoples Republ China, Key Lab Polar Surveying &amp; Mapping, Wuhan 430079, Peoples R China; [Matsuoka, Atsushi] Univ New Hampshire, Inst Study Earth Oceans &amp; Space, Durham, NH 03824 USA; [Hooker, Stanford B.] NASA Goddard Space Flight Ctr, Ocean Ecol Lab, Greenbelt, MD 20771 USA; [Maritorena, Stephane] Univ Calif Santa Barbara, Earth Res Inst, Santa Barbara, CA 93106 USA</t>
  </si>
  <si>
    <t>Wuhan University; Centre National de la Recherche Scientifique (CNRS); Laval University; Ministry of Natural Resources of the People's Republic of China; University System Of New Hampshire; University of New Hampshire; National Aeronautics &amp; Space Administration (NASA); NASA Goddard Space Flight Center; University of California System; University of California Santa Barbara</t>
  </si>
  <si>
    <t>Babin, M (corresponding author), CNRS, Takuvik Joint Int Lab, Paris, France.</t>
  </si>
  <si>
    <t>marcel.babin@takuvik.ulaval.ca</t>
  </si>
  <si>
    <t>Li, Juan/0000-0002-2964-039X</t>
  </si>
  <si>
    <t>Canada First Research Excellence Fund; ArcticNet; Natural Sciences and Engineering Research Council of Canada; NASA ROSES project [1658689]; Japan Aerospace Exploration Agency [22RT000298]; Strategie de Mesure Autonome, Agile, Robuste et Transdisciplinaire (SMAART)</t>
  </si>
  <si>
    <t>Canada First Research Excellence Fund; ArcticNet; Natural Sciences and Engineering Research Council of Canada(Natural Sciences and Engineering Research Council of Canada (NSERC)CGIAR); NASA ROSES project; Japan Aerospace Exploration Agency; Strategie de Mesure Autonome, Agile, Robuste et Transdisciplinaire (SMAART)</t>
  </si>
  <si>
    <t>Canada First Research Excellence Fund; ArcticNet; Strategie de Mesure Autonome, Agile, Robuste et Transdisciplinaire (SMAART); Natural Sciences and Engineering Research Council of Canada; NASA ROSES project (1658689); Japan Aerospace Exploration Agency (22RT000298).</t>
  </si>
  <si>
    <t>Optica Publishing Group</t>
  </si>
  <si>
    <t>2010 MASSACHUSETTS AVE NW, WASHINGTON, DC 20036 USA</t>
  </si>
  <si>
    <t>1094-4087</t>
  </si>
  <si>
    <t>OPT EXPRESS</t>
  </si>
  <si>
    <t>Opt. Express</t>
  </si>
  <si>
    <t>10.1364/OE.500340</t>
  </si>
  <si>
    <t>Y8ZO1</t>
  </si>
  <si>
    <t>WOS:001108090500005</t>
  </si>
  <si>
    <t>Meseguer-Ruiz, O; Serrano-Notivoli, R; Aránguiz-Acuña, A; Fuentealba, M; Nuñez-Hidalgo, I; Sarricolea, P; Gerreaud, R</t>
  </si>
  <si>
    <t>Meseguer-Ruiz, Oliver; Serrano-Notivoli, Roberto; Aranguiz-Acuna, Adriana; Fuentealba, Magdalena; Nunez-Hidalgo, Ignacio; Sarricolea, Pablo; Gerreaud, Rene</t>
  </si>
  <si>
    <t>Comparing SPI and SPEI to detect different precipitation and temperature regimes in Chile throughout the last four decades</t>
  </si>
  <si>
    <t>Chile; Climate modes; Megadrought; SPI; SPEI</t>
  </si>
  <si>
    <t>SPATIOTEMPORAL VARIABILITY; DROUGHT EVOLUTION; SOUTHERN CHILE; NORTHERN CHILE; TRENDS; BASINS; INDEX; HYDROCLIMATE; MEGADROUGHT; FREQUENCY</t>
  </si>
  <si>
    <t>Droughts are one of the main environmental challenges facing the world this century. The latitudinal and orographic characteristics of continental Chile leads different areas within it to experience very different regimes of precipitation and temperature, resulting in a wide variation in the occurrence and severity of droughts. Using the CR2Met 5 x 5 km resolution gridded monthly dataset covering the years from 1979 to 2019, we calculated the Standardized Precipitation Index (SPI) and the Standardized Precipitation Evaporation Index (SPEI) of March and September at 3-, 6-, 9-, 12- and 24-months to: 1) relate them with different climate modes, and 2) determine their temporal evolution. We found that the Pacific Decadal Oscillation shows low positive correlations with SPI but no significant correlations with SPEI. The Multivariate El Nin similar to o Southern Oscillation shows different correlations in northern Chile, as well as El Nin similar to o 1 + 2 and the Antarctic Oscillation, for both SPI and SPEI. Both SPI and SPEI show negative (drier) trends in the north and center of Chile, while positive (wetter) trends appear in the south. SPEI shows stronger and more significant negative trends, influenced by the overall warming of the country. Warming trends are lower on the coast, so SPI could be a good indicator for coastal areas, while SPEI could be a good indicator for inland areas. Climate modes are useful for monthly and annual predictions, and by being a good drought predictor, they can help inform key public policies. These results are expected to help Chilean decision makers dealing with the challenges facing water management in the immediate future.</t>
  </si>
  <si>
    <t>[Meseguer-Ruiz, Oliver; Aranguiz-Acuna, Adriana] Millenium Nucleus Andean Peatlands AndesPeat, Arica, Chile; [Meseguer-Ruiz, Oliver] Univ Tarapaca, Fac Educ &amp; Humanidades, Dept Ciencias Histor &amp; Geog, 18 Septiembre 2222, Arica 1010069, Chile; [Serrano-Notivoli, Roberto] Univ Zaragoza, Environm Sci Inst IUCA, Dept Geog &amp; Reg Planning, Zaragoza, Spain; [Aranguiz-Acuna, Adriana] Univ Tarapaca, Dept Recursos Ambientales, Fac Ciencias Agron, Arica, Chile; [Fuentealba, Magdalena] Pontificia Univ Catolica, Inst Geog, Providencia, Chile; [Nunez-Hidalgo, Ignacio] Pontificia Univ Catolica Chile, Fac Ciencias Biol, Santiago, Chile; [Sarricolea, Pablo] Univ Chile, Fac Arquitectura &amp; Urbanismo, Dept Geog, Santiago, Chile; [Sarricolea, Pablo; Gerreaud, Rene] Univ Chile, Ctr Climate &amp; Resilience Res, Santiago, Chile; [Gerreaud, Rene] Univ Chile, Dept Geophys, Santiago, Chile</t>
  </si>
  <si>
    <t>Universidad de Tarapaca; University of Zaragoza; Universidad de Tarapaca; Pontificia Universidad Catolica de Chile; Universidad de Chile; Universidad de Chile; Universidad de Chile</t>
  </si>
  <si>
    <t>Meseguer-Ruiz, O (corresponding author), Millenium Nucleus Andean Peatlands AndesPeat, Arica, Chile.;Meseguer-Ruiz, O (corresponding author), Univ Tarapaca, Fac Educ &amp; Humanidades, Dept Ciencias Histor &amp; Geog, 18 Septiembre 2222, Arica 1010069, Chile.</t>
  </si>
  <si>
    <t>omeseguer@academicos.uta.cl</t>
  </si>
  <si>
    <t>Nuñez-Hidalgo, Ignacio/O-6585-2015</t>
  </si>
  <si>
    <t>Nuñez-Hidalgo, Ignacio/0000-0002-8337-2840; Aranguiz-Acuna, Adriana/0000-0002-9409-1147; Fuentealba, Magdalena/0000-0003-2321-6069</t>
  </si>
  <si>
    <t>ANID FONDECYT from the Chilean Government [1200681]</t>
  </si>
  <si>
    <t>ANID FONDECYT from the Chilean Government</t>
  </si>
  <si>
    <t>This work was supported by the ANID FONDECYT Project 1200681 from the Chilean Government.</t>
  </si>
  <si>
    <t>10.1016/j.atmosres.2023.107085</t>
  </si>
  <si>
    <t>Z5ZG1</t>
  </si>
  <si>
    <t>WOS:001112846800001</t>
  </si>
  <si>
    <t>Grun, R; Samanta, M; Ellwood, MJ</t>
  </si>
  <si>
    <t>Grun, Robin; Samanta, Moneesha; Ellwood, Michael J.</t>
  </si>
  <si>
    <t>Variability in zinc:phosphorous and zinc:silicon ratios and zinc isotope fractionation in Southern Ocean diatoms: Observations from laboratory and field experiments</t>
  </si>
  <si>
    <t>MARINE CHEMISTRY</t>
  </si>
  <si>
    <t>Southern Ocean; Phytoplankton; Zinc isotopes; Zinc quota; Iron limitation</t>
  </si>
  <si>
    <t>IRON LIMITATION; PHYTOPLANKTON; SPECIATION; CADMIUM; SILICON; BIOGEOGRAPHY; DEFICIENCY; COMPLEXES; SEDIMENTS; SECTOR</t>
  </si>
  <si>
    <t>We studied the impact of iron limitation on zinc uptake and the zinc isotope (delta 66Zn) composition for Southern Ocean phytoplankton. We undertook laboratory culture and field incubation experiments, and linked these to in situ depth profiles of dissolved (dZn) and particulate (pZn) zinc collected from three sites in the Southern Ocean. For the laboratory experiments, diatom growth rates, cellular zinc accumulation, and delta 66Zn all responded to changes in iron and zinc bioavailability. A significant increase in the cellular quota for zinc (expressed as zinc: phosphorous (Zn:P)) occurred upon iron limitation and zinc enrichment. At the same time, delta 66Zn for organic tissues became isotopically light under high zinc and low iron concentrations. The opposite occurred for frustule delta 66Zn values. Here delta 66Znfrustule-organic for cultured phytoplankton became isotopically heavier under high zinc and low iron concentrations. For senescing and dead cells, Zn:P declined and delta 66Zn increased, indicating a loss of isotopically light zinc from organic matter. For field incubation experiments, delta 66Znfrustule was isotopically heavier than seawater, except for added zinc treatments. The percentage of zinc associated with frustule material for laboratory and field incubations encompassed a wide range with values between 1 and 57%. Depth profiles of delta 66Zn for dZn and pZn varied, with dZn being isotopically lighter than pZn in low dZn concentration subantarctic waters, whereas the opposite occurred in polar waters where dZn was isotopically heavier than pZn at higher dZn concentrations. Our results show that iron and zinc availability regulates the zinc content of phytoplankton and the delta 66Zn composition of the Southern Ocean, which is propagated to other parts of the world ocean.</t>
  </si>
  <si>
    <t>[Grun, Robin; Samanta, Moneesha; Ellwood, Michael J.] Australian Natl Univ, Res Sch Earth Sci, Canberra, ACT, Australia; [Ellwood, Michael J.] Australian Natl Univ, Australian Ctr Excellence Antarctic Sci, Res Sch Earth Sci, Canberra, ACT, Australia</t>
  </si>
  <si>
    <t>Ellwood, MJ (corresponding author), Australian Natl Univ, Res Sch Earth Sci, Canberra, ACT, Australia.</t>
  </si>
  <si>
    <t>michael.ellwood@anu.edu.au</t>
  </si>
  <si>
    <t>Ellwood, Michael/0000-0003-4288-8530</t>
  </si>
  <si>
    <t>Australia's Marine National Facility [IN2020_V08]; Australian Research Council [SR200100008, DP170102108, DP220100289]; Australian Antarctic Program Partnership (AAPP) [IN2020_V08]; Australia's Marine National Facility</t>
  </si>
  <si>
    <t>Australia's Marine National Facility; Australian Research Council(Australian Research Council); Australian Antarctic Program Partnership (AAPP); Australia's Marine National Facility</t>
  </si>
  <si>
    <t>The Australian Centre for Excellence in Antarctic Science is a Special Research Initiative funded by the Australian Research Council (SR200100008) . Financial support for this work came from the Australian Research Council (DP170102108 and DP220100289) . RSES and ANU scholarships to Robin Grun and Moneesha Samanta are also acknowledged. The Australian Antarctic Program Partnership (AAPP) for supporting the IN2020_V08 voyage. Ship time for this research was financially supported by Australia's Marine National Facility. The authors are grateful to the officers, crew, and research staff of the Marine National Facility and the R.V. Investigator for their help with sample collection and generation of hydrochemistry data on voyages IN2019_V02 and IN2020_V08. The authors wish to thank Chief Scientist Philip Boyd for allowing the ANU Team to be part of the IN2020_V08 voyage. We thank the comments from two reviewers that helped to improve the manuscript.</t>
  </si>
  <si>
    <t>0304-4203</t>
  </si>
  <si>
    <t>1872-7581</t>
  </si>
  <si>
    <t>MAR CHEM</t>
  </si>
  <si>
    <t>Mar. Chem.</t>
  </si>
  <si>
    <t>10.1016/j.marchem.2023.104330</t>
  </si>
  <si>
    <t>Chemistry, Multidisciplinary; Oceanography</t>
  </si>
  <si>
    <t>Chemistry; Oceanography</t>
  </si>
  <si>
    <t>Z4DS6</t>
  </si>
  <si>
    <t>WOS:001111604300001</t>
  </si>
  <si>
    <t>Liu, ML; Wang, ZM; Zhang, BJ; Li, CJ; Song, XY; An, JC</t>
  </si>
  <si>
    <t>Liu, Mingliang; Wang, Zemin; Zhang, Baojun; Li, Chuanjin; Song, Xiangyu; An, Jiachun</t>
  </si>
  <si>
    <t>The great calving in 2017 did not have a significant impact on the Larsen C Ice Shelf in the short term</t>
  </si>
  <si>
    <t>GEO-SPATIAL INFORMATION SCIENCE</t>
  </si>
  <si>
    <t>Larsen-C Ice Shelf (LIS); 2017 calving event; basal channel; basal melt rate; dynamic change</t>
  </si>
  <si>
    <t>BASAL MELT RATES; SURFACE MELT; ANTARCTIC PENINSULA; ELEVATION MODEL; BENEATH; CHANNELS; DRIVEN; WATER</t>
  </si>
  <si>
    <t>The stability of the Larsen C Ice Shelf (LIS) has been widely studied due to its surface lowering, calving, and warming. In this study, we combined multisource remote-sensing data, calculated the long-term series of surface elevation above basal channels and basal melt rate, and analyzed the dynamic changes in the LIS before and after calving in 2017. We found that the basal channels were mainly concentrated in the southern LIS, and the basal melt rate was higher in the south. The Weddell Sea warm water mass entered the bottom of the LIS through the sea trough and promoted basal melting. There was an abnormal basal channel where changes in sea ice concentrations caused by wind-driven currents led to abnormal development. We did not observe significant changes in ice thickness, ice velocity and strain rate in the short term before and after the great calving in 2017. However, the basal melt rate was mainly influenced by the sea ice extent in front of the LIS from 2010 to 2020. Changes in the sea ice extent indirectly altered the proportion of High Salinity Shelf Water (HSSW) entering the ice shelf bottom water mass, which in turn promoted (or inhibited) basal melting of the LIS. In other words, we found no evidence for any dynamic changes in the LIS before and after the great calving in 2017. Since the calving area was within the Passive Shelf Ice (PSI), we have also provided additional evidence for the existence of the PSI. In addition, we speculate that the impact of calving on the LIS will not be visible in the short term, so we need to continuously observe the subsequent dynamic changes in the LIS.</t>
  </si>
  <si>
    <t>[Liu, Mingliang; Wang, Zemin; Zhang, Baojun; An, Jiachun] Wuhan Univ, Chinese Antarctic Ctr Surveying &amp; Mapping, Wuhan, Peoples R China; [Liu, Mingliang; Zhang, Baojun; Li, Chuanjin] Chinese Acad Sci, Northwest Inst Ecoenvironm &amp; Resources, State Key Lab Cryospher Sci, Lanzhou, Peoples R China; [Liu, Mingliang; Wang, Zemin; Zhang, Baojun; An, Jiachun] Wuhan Univ, Key Lab Polar Environm Monitoring &amp; Publ Governanc, Minist Educ, Wuhan, Peoples R China; [Li, Chuanjin] Polar Res Inst China, Key Lab Polar Sci, Minist Nat Resources MNR, Shanghai, Peoples R China; [Song, Xiangyu] Shijiazhuang Tiedao Univ, Sch Civil Engn, Shijiazhuang, Peoples R China</t>
  </si>
  <si>
    <t>Wuhan University; Chinese Academy of Sciences; Wuhan University; Polar Research Institute of China; Ministry of Natural Resources of the People's Republic of China; Shijiazhuang Tiedao University</t>
  </si>
  <si>
    <t>Zhang, BJ (corresponding author), Wuhan Univ, Chinese Antarctic Ctr Surveying &amp; Mapping, Wuhan, Peoples R China.;Zhang, BJ (corresponding author), Chinese Acad Sci, Northwest Inst Ecoenvironm &amp; Resources, State Key Lab Cryospher Sci, Lanzhou, Peoples R China.;Zhang, BJ (corresponding author), Wuhan Univ, Key Lab Polar Environm Monitoring &amp; Publ Governanc, Minist Educ, Wuhan, Peoples R China.</t>
  </si>
  <si>
    <t>bjzhang@whu.edu.cn</t>
  </si>
  <si>
    <t>Zhang, Baojun/0000-0001-5438-8723; An, Jiachun/0000-0002-3106-0714</t>
  </si>
  <si>
    <t>National Natural Science Foundation of China [41941010, 42006184]; State Key Laboratory of Cryospheric Science, Northwest Institute of Eco-Environment and Resources, Chinese Academy Sciences [SKLCS-OP-2021-07]; Fundamental Research Funds for the Central Universities [2042022kf1068]</t>
  </si>
  <si>
    <t>National Natural Science Foundation of China(National Natural Science Foundation of China (NSFC)); State Key Laboratory of Cryospheric Science, Northwest Institute of Eco-Environment and Resources, Chinese Academy Sciences; Fundamental Research Funds for the Central Universities(Fundamental Research Funds for the Central Universities)</t>
  </si>
  <si>
    <t>This work is supported by The National Natural Science Foundation of China [grant number 41941010 and 42006184], State Key Laboratory of Cryospheric Science, Northwest Institute of Eco-Environment and Resources, Chinese Academy Sciences [grant number SKLCS-OP-2021-07], and the Fundamental Research Funds for the Central Universities [grant number 2042022kf1068]. We thank S.R.M. Ligtenberg for providing IMAU-FDM.</t>
  </si>
  <si>
    <t>1009-5020</t>
  </si>
  <si>
    <t>1993-5153</t>
  </si>
  <si>
    <t>GEO-SPAT INF SCI</t>
  </si>
  <si>
    <t>Geo-Spat. Inf. Sci.</t>
  </si>
  <si>
    <t>2023 NOV 6</t>
  </si>
  <si>
    <t>10.1080/10095020.2023.2274136</t>
  </si>
  <si>
    <t>Y3TK9</t>
  </si>
  <si>
    <t>WOS:001104523700001</t>
  </si>
  <si>
    <t>Stevens, CM; Lilien, DA; Conway, H; Fudge, TJ; Koutnik, MR; Waddington, ED</t>
  </si>
  <si>
    <t>Stevens, C. Max; Lilien, David A.; Conway, Howard; Fudge, T. J.; Koutnik, Michelle R.; Waddington, Edwin D.</t>
  </si>
  <si>
    <t>A new model of dry firn-densification constrained by continuous strain measurements near South Pole</t>
  </si>
  <si>
    <t>Antarctic glaciology; glaciological instruments and methods; polar firn; snow/ice surface processes; snow rheology</t>
  </si>
  <si>
    <t>PHYSICAL SNOWPACK MODEL; ICE CORE; THICKNESS CHANGE; ACCUMULATION; GREENLAND; ANTARCTICA</t>
  </si>
  <si>
    <t>Converting measurements of ice-sheet surface elevation change to mass change requires measurements of accumulation and knowledge of the evolution of the density profile in the firn. Most firn-densification models are tuned using measured depth-density profiles, a method which is based on an assumption that the density profile in the firn is invariant through time. Here we present continuous measurements of firn-compaction rates in 12 boreholes near the South Pole over a 2 year period. To our knowledge, these are the first continuous measurements of firn compaction on the Antarctic plateau. We use the data to derive a new firn-densification algorithm framed as a constitutive relationship. We also compare our measurements to compaction rates predicted by several existing firn-densification models. Results indicate that an activation energy of 60 kJ mol-1, a value within the range used by current models, best predicts the seasonal cycle in compaction rates on the Antarctic plateau. Our results suggest models can predict firn-compaction rates with at best 7% uncertainty and cumulative firn compaction on a 2 year timescale with at best 8% uncertainty.</t>
  </si>
  <si>
    <t>[Stevens, C. Max; Lilien, David A.; Conway, Howard; Fudge, T. J.; Koutnik, Michelle R.; Waddington, Edwin D.] Univ Washington, Dept Earth &amp; Space Sci, Seattle, WA 98195 USA; [Stevens, C. Max] Univ Maryland, Earth Syst Sci Interdisciplinary Ctr, College Pk, MD 20742 USA; [Stevens, C. Max] NASA, Cryospher Sci Lab, Goddard Space Flight Ctr, Greenbelt, MD 20771 USA; [Lilien, David A.] Univ Manitoba, Ctr Earth Observat Sci, Winnipeg, MB, Canada</t>
  </si>
  <si>
    <t>University of Washington; University of Washington Seattle; University System of Maryland; University of Maryland College Park; National Aeronautics &amp; Space Administration (NASA); NASA Goddard Space Flight Center; University of Manitoba</t>
  </si>
  <si>
    <t>Stevens, CM (corresponding author), Univ Washington, Dept Earth &amp; Space Sci, Seattle, WA 98195 USA.;Stevens, CM (corresponding author), Univ Maryland, Earth Syst Sci Interdisciplinary Ctr, College Pk, MD 20742 USA.;Stevens, CM (corresponding author), NASA, Cryospher Sci Lab, Goddard Space Flight Ctr, Greenbelt, MD 20771 USA.</t>
  </si>
  <si>
    <t>maxstev@uw.edu</t>
  </si>
  <si>
    <t>Lilien, David A./H-1716-2018</t>
  </si>
  <si>
    <t>Lilien, David A./0000-0001-8667-8020; Waddington, Edwin/0000-0003-4947-3223; Fudge, Tyler/0000-0002-6818-7479; Stevens, Christopher Max/0000-0003-2005-0876</t>
  </si>
  <si>
    <t>This work was funded by US National Science Foundation Grant 1443471. We thank Elizabeth Morton, Mike Waskiewicz and the US Ice Drilling Program for supporting borehole drilling and core recovery. We thank David Clemens-Sewall and Maurice Conway for their [1443471]; US National Science Foundation</t>
  </si>
  <si>
    <t>This work was funded by US National Science Foundation Grant 1443471. We thank Elizabeth Morton, Mike Waskiewicz and the US Ice Drilling Program for supporting borehole drilling and core recovery. We thank David Clemens-Sewall and Maurice Conway for their; US National Science Foundation(National Science Foundation (NSF))</t>
  </si>
  <si>
    <t>This work was funded by US National Science Foundation Grant 1443471. We thank Elizabeth Morton, Mike Waskiewicz and the US Ice Drilling Program for supporting borehole drilling and core recovery. We thank David Clemens-Sewall and Maurice Conway for their efforts in the field. We thank Thomas Nylen and UNAVCO personnel for designing and building a field power system. We thank Michael MacFerrin for fruitful discussions on measuring firn compaction. We acknowledge the Antarctic Support Contractor and the Air National Guard for logistical support. We thank Scientific Editor Fanny Brun and two anonymous reviewers for their thoughtful critiques, which improved the paper.</t>
  </si>
  <si>
    <t>10.1017/jog.2023.87</t>
  </si>
  <si>
    <t>W9WP3</t>
  </si>
  <si>
    <t>WOS:001095064500001</t>
  </si>
  <si>
    <t>Dutta, A; Sivankutty, R; Neena, JM</t>
  </si>
  <si>
    <t>Dutta, Arijeet; Sivankutty, Rahul; Neena, J. M.</t>
  </si>
  <si>
    <t>Investigating the Atlantic-Indian monsoon teleconnection pathways in PMIP3 last millennium simulations</t>
  </si>
  <si>
    <t>CLIMATE DYNAMICS</t>
  </si>
  <si>
    <t>SUMMER MONSOON; MULTIDECADAL OSCILLATION; SURFACE-TEMPERATURE; CLIMATE; VARIABILITY; RAINFALL; ENSO; FLUCTUATIONS; IMPACTS; MODELS</t>
  </si>
  <si>
    <t>The Atlantic multidecadal oscillation (AMO) is considered as one of the major drivers of Indian Summer monsoon (ISM) multidecadal variability. The teleconnection is thought to take place via two dominant pathways-by generating upper-level circulation and heating responses across Eurasia and via the Atlantic-Pacific atmospheric bridge mechanism and associated modulations of Hadley-Walker circulations. Using the PMIP3 Last millennium (LM) simulations, the current study investigates these pathways in five models which exhibit a significant positive correlation between AMO and ISM. In all the models, the upper-level wave responses associated with the AMO are found to be inadequate to induce positive tropospheric temperature (TT) anomalies over the ISM domain. In the four models which capture the AMO modulation of summer North Atlantic Oscillation (SNAO) variability, major discrepancies are observed in the SNAO downstream TT responses. The extratropical-tropical Pacific SST gradient is a critical aspect of the Atlantic-Pacific atmospheric bridge mechanism. A positive correlation is observed between the AMO and the Pacific SST gradient in all the models and the associated Walker circulation response is also captured in the LM simulations. Thus while the upper-level circulation and TT responses involved in the Eurasian pathway, are not captured by most of the models, the Pacific pathway emerges as a better represented teleconnection pathway in the LM simulations. Reliability of decadal climate predictions of ISM largely depends on the fidelity of global models in simulating these teleconnection mechanisms and the current study highlights some of the main deficiencies in the model simulated teleconnection processes.</t>
  </si>
  <si>
    <t>[Dutta, Arijeet; Neena, J. M.] Indian Inst Sci Educ &amp; Res Pune, Earth &amp; Climate Sci, Pune, India; [Sivankutty, Rahul] British Antarctic Survey, Cambridge, England</t>
  </si>
  <si>
    <t>Indian Institute of Science Education &amp; Research (IISER) Pune; UK Research &amp; Innovation (UKRI); Natural Environment Research Council (NERC); NERC British Antarctic Survey</t>
  </si>
  <si>
    <t>Neena, JM (corresponding author), Indian Inst Sci Educ &amp; Res Pune, Earth &amp; Climate Sci, Pune, India.</t>
  </si>
  <si>
    <t>neena@iiserpune.ac.in</t>
  </si>
  <si>
    <t>Dutta, Arijeet/0000-0002-5305-5203</t>
  </si>
  <si>
    <t>AD acknowledges the INSPIRE research fellowship from Department of Science and Technology, Government of India, for funding his doctoral research work. This work constitutes a part of his PhD thesis work. NJM acknowledges the DST Climate Change grant for f; Department of Science and Technology, Government of India; DST Climate Change grant; IISER Pune</t>
  </si>
  <si>
    <t>AD acknowledges the INSPIRE research fellowship from Department of Science and Technology, Government of India, for funding his doctoral research work. This work constitutes a part of his PhD thesis work. NJM acknowledges the DST Climate Change grant for f; Department of Science and Technology, Government of India(Department of Science &amp; Technology (India)); DST Climate Change grant; IISER Pune</t>
  </si>
  <si>
    <t>AD acknowledges the INSPIRE research fellowship from Department of Science and Technology, Government of India, for funding his doctoral research work. This work constitutes a part of his PhD thesis work. NJM acknowledges the DST Climate Change grant for funding her research and IISER Pune for the infrastructure and support. RS acknowledges the British Antarctic Survey.</t>
  </si>
  <si>
    <t>0930-7575</t>
  </si>
  <si>
    <t>1432-0894</t>
  </si>
  <si>
    <t>CLIM DYNAM</t>
  </si>
  <si>
    <t>Clim. Dyn.</t>
  </si>
  <si>
    <t>10.1007/s00382-023-06994-2</t>
  </si>
  <si>
    <t>LW8B9</t>
  </si>
  <si>
    <t>WOS:001095280100002</t>
  </si>
  <si>
    <t>Thomas, CM; de Cerff, C; Maniel, GAV; Oyatoye, AE; Rocke, E; Marco, HG; Pillay, D</t>
  </si>
  <si>
    <t>Thomas, C. M.; de Cerff, C.; Maniel, G. A. V.; Oyatoye, A. E.; Rocke, E.; Marco, H. G.; Pillay, D.</t>
  </si>
  <si>
    <t>Water filtration by endobenthic sandprawns enhances resilience against eutrophication under experimental global change conditions</t>
  </si>
  <si>
    <t>CLIMATE-CHANGE; TRENDS; POPULATIONS; ECOSYSTEMS; IMPACTS; DISEASE; BIOMASS; CORAL; STATE; CYCLE</t>
  </si>
  <si>
    <t>Identifying processes that confer resilience against global change is a scientific challenge but is central to managing ecosystem functionality in future. Detecting resilience-enhancing mechanisms is especially relevant in coastal ecosystems, where multi-stressor interactions can drive degradation over time. Here, we quantify the resilience-conferring potential of endobenthic sandprawns against eutrophication, including under high temperatures. We show using a global change mesocosm experiment that sandprawn presence was associated with declines in phytoplankton biomass, particularly under eutrophic conditions, where sandprawns reduced phytoplankton biomass by approximately 74% and prevented a shift to extreme eutrophy. Eutrophic waters were nanophytoplankton-dominated, but sandprawn presence countered this, resulting in even contributions of pico- and nanophytoplankton. Our findings highlight the potential for sandprawns to increase resilience against eutrophication by limiting phytoplankton blooms, preventing extreme eutrophy and counteracting nanophytoplankton dominance. Incorporating endobenthic crustaceans into resilience-based management practices can assist in arresting future water quality declines in coastal ecosystems.</t>
  </si>
  <si>
    <t>[Thomas, C. M.; de Cerff, C.; Oyatoye, A. E.; Rocke, E.; Marco, H. G.; Pillay, D.] Univ Cape Town, Dept Biol Sci Marine &amp; Antarctic Res Ctr Innovat &amp;, ZA-7701 Cape Town, South Africa; [de Cerff, C.] Atlantic Technol Univ, Marine &amp; Freshwater Res Ctr, Galway, Ireland; [Maniel, G. A. V.] Museum Natl Hist Nat, Lab Biol Organismes &amp; Ecosyst Aquat UMR BOREA 8067, 61 rue Buffon, F-75005 Paris, France</t>
  </si>
  <si>
    <t>University of Cape Town; Atlantic Technological University (ATU); Museum National d'Histoire Naturelle (MNHN)</t>
  </si>
  <si>
    <t>Pillay, D (corresponding author), Univ Cape Town, Dept Biol Sci Marine &amp; Antarctic Res Ctr Innovat &amp;, ZA-7701 Cape Town, South Africa.</t>
  </si>
  <si>
    <t>Deena.Pillay@uct.ac.za</t>
  </si>
  <si>
    <t>Rocke, Emma/0000-0001-9514-9788; de Cerff, Carla/0000-0002-6019-8608</t>
  </si>
  <si>
    <t>The City of Cape Town is thanked for research support and granting permission to work in the Zandvlei Estuary. This work is based on the research supported in part by the National Research Foundation of South Africa (Grant Number: 111712) and the Universit [111712]; National Research Foundation of South Africa; University of Cape Town</t>
  </si>
  <si>
    <t>The City of Cape Town is thanked for research support and granting permission to work in the Zandvlei Estuary. This work is based on the research supported in part by the National Research Foundation of South Africa (Grant Number: 111712) and the Universit; National Research Foundation of South Africa(National Research Foundation - South Africa); University of Cape Town</t>
  </si>
  <si>
    <t>The City of Cape Town is thanked for research support and granting permission to work in the Zandvlei Estuary. This work is based on the research supported in part by the National Research Foundation of South Africa (Grant Number: 111712) and the University of Cape Town. We are grateful to Cameron van den Burgh and Melissa Jo Rankin for assistance with laboratory and fieldwork.</t>
  </si>
  <si>
    <t>NOV 4</t>
  </si>
  <si>
    <t>10.1038/s41598-023-46168-y</t>
  </si>
  <si>
    <t>X6QB2</t>
  </si>
  <si>
    <t>WOS:001099663700055</t>
  </si>
  <si>
    <t>Le Page, M</t>
  </si>
  <si>
    <t>Le Page, Michael</t>
  </si>
  <si>
    <t>Bird flu reaches the Antarctic and could cause devastation</t>
  </si>
  <si>
    <t>NEW SCIENTIST</t>
  </si>
  <si>
    <t>News Item</t>
  </si>
  <si>
    <t>NEW SCIENTIST LTD</t>
  </si>
  <si>
    <t>25 BEDFORD ST, LONDON, ENGLAND</t>
  </si>
  <si>
    <t>0262-4079</t>
  </si>
  <si>
    <t>NEW SCI</t>
  </si>
  <si>
    <t>New Sci.</t>
  </si>
  <si>
    <t>X4QX6</t>
  </si>
  <si>
    <t>WOS:001098324600016</t>
  </si>
  <si>
    <t>Zhang, FY; Lei, RB; Zhai, MX; Pang, XP; Li, N</t>
  </si>
  <si>
    <t>Zhang, Fanyi; Lei, Ruibo; Zhai, Mengxi; Pang, Xiaoping; Li, Na</t>
  </si>
  <si>
    <t>The impacts of anomalies in atmospheric circulations on Arctic sea ice outflow and sea ice conditions in the Barents and Greenland seas: case study in 2020</t>
  </si>
  <si>
    <t>OCEAN; VARIABILITY; CLIMATE; MODEL; OSCILLATION; TEMPERATURE; THICKNESS; TRENDS; RECORD</t>
  </si>
  <si>
    <t>Arctic sea ice outflow to the Atlantic Ocean is essential to the Arctic sea ice mass budget and the marine environments in the Barents and Greenland seas (BGS). With the extremely positive Arctic Oscillation (AO) in winter (JFM) 2020, the feedback mechanisms of anomalies in Arctic sea ice outflow and their impacts on winter-spring sea ice and other marine environmental conditions in the subsequent months until early summer in the BGS were investigated. The results reveal that the total sea ice area flux (SIAF) through the Fram Strait, the Svalbard-Franz Josef Land passageway, and the Franz Josef Land-Novaya Zemlya passageway in winter and June 2020 was higher than the 1988-2020 climatology. The relatively large total SIAF, which was dominated by that through the Fram Strait (77.6 %), can be significantly related to atmospheric circulation anomalies, especially with the positive phases of the winter AO and the winter-spring relatively high air pressure gradient across the western and eastern Arctic Ocean. Such abnormal winter atmospheric circulation patterns have induced wind speeds anomalies that accelerate sea ice motion (SIM) in the Atlantic sector of Transpolar Drift, subsequently contributing to the variability in the SIAF ( R = + 0.86 , P &lt; 0.001 ). The abnormally large Arctic sea ice outflow led to increased sea ice area (SIA) and thickness in the BGS, which has been observed since March 2020, especially in May-June. The increased SIA impeded the warming of the sea surface temperature (SST), with a significant negative correlation between April SIA and synchronous SST as well as the lagging SST of 1-3 months based on the historic data from 1982-2020. Therefore, this study suggests that winter-spring Arctic sea ice outflow can be considered a predictor of changes in sea ice and other marine environmental conditions in the BGS in the subsequent months, at least until early summer. The results promote our understanding of the physical connection between the central Arctic Ocean and the BGS.</t>
  </si>
  <si>
    <t>[Zhang, Fanyi; Lei, Ruibo; Pang, Xiaoping] Wuhan Univ, Chinese Antarctic Ctr Surveying &amp; Mapping, Wuhan 430079, Peoples R China; [Zhang, Fanyi; Lei, Ruibo; Zhai, Mengxi; Li, Na] Minist Nat Resources, Polar Res Inst China, Key Lab Polar Sci, Shanghai 200136, Peoples R China</t>
  </si>
  <si>
    <t>Wuhan University; Ministry of Natural Resources of the People's Republic of China; Polar Research Institute of China</t>
  </si>
  <si>
    <t>Lei, RB (corresponding author), Wuhan Univ, Chinese Antarctic Ctr Surveying &amp; Mapping, Wuhan 430079, Peoples R China.;Lei, RB (corresponding author), Minist Nat Resources, Polar Res Inst China, Key Lab Polar Sci, Shanghai 200136, Peoples R China.</t>
  </si>
  <si>
    <t>leiruibo@pric.org.cn</t>
  </si>
  <si>
    <t>Li, Na/0000-0003-3246-0039</t>
  </si>
  <si>
    <t>NOV 3</t>
  </si>
  <si>
    <t>10.5194/tc-17-4609-2023</t>
  </si>
  <si>
    <t>JB0Q2</t>
  </si>
  <si>
    <t>WOS:001170579500001</t>
  </si>
  <si>
    <t>Al-Attar, D; Syvret, F; Crawford, O; Mitrovica, JX; Lloyd, AJ</t>
  </si>
  <si>
    <t>Al-Attar, D.; Syvret, F.; Crawford, O.; Mitrovica, J. X.; Lloyd, A. J.</t>
  </si>
  <si>
    <t>Reciprocity and sensitivity kernels for sea level fingerprints</t>
  </si>
  <si>
    <t>Loading of the Earth; Sea level change; Inverse theory</t>
  </si>
  <si>
    <t>ANTARCTIC ICE-SHEET; ALTIMETRY ERA; MASS-BALANCE; EARTH; VARIABILITY; GREENLAND; TRENDS; SPACE; MODEL; TIME</t>
  </si>
  <si>
    <t>Reciprocity theorems are established for the elastic sea level fingerprint problem including rotational feedbacks. In their simplest form, these results show that the sea level change at a location x due to melting a unit point mass of ice at x ' is equal to the sea level change at x ' due to melting a unit point mass of ice at x. This identity holds irrespective of the shoreline geometry or of lateral variations in elastic Earth structure. Using the reciprocity theorems, sensitivity kernels for sea level and related observables with respect to the ice load can be readily derived. It is notable that calculation of the sensitivity kernels is possible using standard fingerprint codes, though for some types of observable a slight generalization to the fingerprint problem must be considered. These results are of use within coastal hazard assessment and have a range of applications within studies of modern-day sea level change. To illustrate the latter point, we use sensitivity kernels to investigate two widely used methods for estimating, respectively, ice sheet mass loss from satellite gravity, and rates of global mean sea level rise from satellite altimetry. Though our analysis is idealized in some respects, we identify systematic errors of order 5 per cent due to the use of simplified sea level physics. Crucially, calculation of the relevant sensitivity kernels provides not only a means for understanding sources of bias in existing methods, but will aid in the design of new and improved data-assimilation techniques.</t>
  </si>
  <si>
    <t>[Al-Attar, D.; Syvret, F.; Crawford, O.] Univ Cambridge, Bullard Labs, Madingley Rd, Cambridge CB3 OEZ, England; [Mitrovica, J. X.] Harvard Univ, Dept Earth &amp; Planetary Sci, 20 Oxford St, Cambridge, MA 02138 USA; Columbia Univ, Lamont Doherty Earth Observ, Palisades, NY 10964 USA</t>
  </si>
  <si>
    <t>University of Cambridge; Harvard University; Columbia University</t>
  </si>
  <si>
    <t>Al-Attar, D (corresponding author), Univ Cambridge, Bullard Labs, Madingley Rd, Cambridge CB3 OEZ, England.</t>
  </si>
  <si>
    <t>da380@cam.ac.uk</t>
  </si>
  <si>
    <t>Natural Environment Research Council; Natural Environment Research Council [NE/V010433/1]; FS through the Natural Environment Research Council; CASE award from the British Antarctic Survey; Harvard University; MacArthur Foundation [NSF-EAR-2002352, OPP-2142592]; National Science Foundation</t>
  </si>
  <si>
    <t>Natural Environment Research Council(UK Research &amp; Innovation (UKRI)Natural Environment Research Council (NERC)); Natural Environment Research Council(UK Research &amp; Innovation (UKRI)Natural Environment Research Council (NERC)); FS through the Natural Environment Research Council; CASE award from the British Antarctic Survey; Harvard University; MacArthur Foundation; National Science Foundation(National Science Foundation (NSF))</t>
  </si>
  <si>
    <t>DA has been supported through the Natural Environment Research Council grant numbers NE/V010433/1 and NE/X013804/1. FS through the Natural Environment Research Council grant number NE/V010433/1. OC was supported by a Natural Environment Research Council studentship and a CASE award from the British Antarctic Survey. JXM acknowledges support from Harvard University and the MacArthur Foundation. AJL has been supported by the National Science Foundation under grants: NSF-EAR-2002352 and OPP-2142592. We thank the Editor, Prof Bert Vermeersen, Prof Jeroen Tromp and an anonymous reviewer for their helpful comments.</t>
  </si>
  <si>
    <t>10.1093/gji/ggad434</t>
  </si>
  <si>
    <t>CI9S9</t>
  </si>
  <si>
    <t>WOS:001124747600012</t>
  </si>
  <si>
    <t>Krechik, VA; Kapustina, MV; Frey, DI; Dvoeglazova, NV; Muratova, AA; Bashirova, LD; Dorokhova, EV; Morozov, EG</t>
  </si>
  <si>
    <t>Krechik, Viktor A.; Kapustina, Maria V.; Frey, Dmitry I.; Dvoeglazova, Nadezhda V.; Muratova, Alexandra A.; Bashirova, Leyla D.; Dorokhova, Evgenia V.; Morozov, Eugene G.</t>
  </si>
  <si>
    <t>Properties of Antarctic Bottom Water in the Western Gap (Azores-Gibraltar Fracture Zone, Northeast Atlantic) in 2021</t>
  </si>
  <si>
    <t>CTD; LADCP; Direct measurements; Hydrochemical tracers of Antarctic Bottom; Water; Madeira Basin; Iberian Basin; Discovery Gap</t>
  </si>
  <si>
    <t>DISCOVERY GAP; DEEP-WATER; ERROR FIELDS; FLOW; VARIABILITY; TRANSPORT; PASSAGES; CRUISE; RIDGE</t>
  </si>
  <si>
    <t>We present the results of measurements of thermohaline and dynamical structures, as well as hydrochemical parameters of near-bottom water in the Western Gap (Azores-Gibraltar Fracture Zone, Northeast Atlantic). The data were collected during cruise 59 of the research vessel Akademik Ioffe in October 2021. The results of the analysis showed that water with potential temperatures lower than 2.00 degrees C had crossed the Entrance Sill, but was not detected inside the interior basin of the Western Gap. The velocities of currents at the Entrance Sill were high (up to 30 cm/s) leading to mixing of the water overflowing the sill. While Antarctic Bottom Water (AABW) flows from the Entrance Sill to the Exit Sill it is subjected to modification. Bottom water becomes less dense after the sill due to mixing during overflow and in addition not all cold water overflows the sill. The dissolved oxygen concentration in the bottom layer increases from the Entrance Sill (239-242 mu mol/kg) to the Exit Sill (241-248 mu mol/kg) indicating the transformation of AABW as it circulates in the Western Gap and mixes with North Atlantic Deep Water propagating from the north. All velocity measurements indicate that north velocity component is a characteristic property of the bottom flow. Thus, water with specific chemical composition of AABW is transported to the Iberian Basin despite that its potential temperature becomes higher than 2 degrees C.</t>
  </si>
  <si>
    <t>[Krechik, Viktor A.; Kapustina, Maria V.; Frey, Dmitry I.; Dvoeglazova, Nadezhda V.; Muratova, Alexandra A.; Bashirova, Leyla D.; Dorokhova, Evgenia V.; Morozov, Eugene G.] Russian Acad Sci, Shirshov Inst Oceanol, Nakhimovsky 36, Moscow 117997, Russia; [Krechik, Viktor A.; Dvoeglazova, Nadezhda V.; Muratova, Alexandra A.; Bashirova, Leyla D.; Dorokhova, Evgenia V.] Immanuel Kant Balt Fed Univ, Lab Marine Environm Management, Str Aleksandra Nevskogo 14, Kaliningrad 236041, Russia; [Frey, Dmitry I.] Russian Acad Sci, Marine Hydrophys Inst, Kapitanskaya Str 2, Sevastopol 299011, Russia</t>
  </si>
  <si>
    <t>Russian Academy of Sciences; Shirshov Institute of Oceanology; Immanuel Kant Baltic Federal University; Marine Hydrophysical Institute of RAS; Russian Academy of Sciences</t>
  </si>
  <si>
    <t>Kapustina, MV (corresponding author), Russian Acad Sci, Shirshov Inst Oceanol, Nakhimovsky 36, Moscow 117997, Russia.</t>
  </si>
  <si>
    <t>kapustina.mariya@ya.ru</t>
  </si>
  <si>
    <t>Russian Science Foundation [FMWE-2021-0012]; [21-77-20004]</t>
  </si>
  <si>
    <t>The field research, hydrochemical analysis and its interpretation were carried out with a support of the state assignment of IO RAS [theme No. FMWE-2021-0012] . Hydrophysical data processing and interpreta-tion were supported by the Russian Science Foundation [grant No. 21-77-20004] .</t>
  </si>
  <si>
    <t>10.1016/j.dsr.2023.104191</t>
  </si>
  <si>
    <t>Y7VK8</t>
  </si>
  <si>
    <t>WOS:001107298500001</t>
  </si>
  <si>
    <t>Hu, J; Xue, SY; Zhao, J; Han, ZB; Li, D; Zhang, HF; Yu, PS; Zheng, MH; Pan, JM; Sun, YG</t>
  </si>
  <si>
    <t>Hu, Ji; Xue, Siyou; Zhao, Jun; Han, Zhengbing; Li, Dong; Zhang, Haifeng; Yu, Peisong; Zheng, Minhui; Pan, Jianming; Sun, Yongge</t>
  </si>
  <si>
    <t>Dynamics of chromophoric dissolved organic matter in a highly productive Amundsen Sea polynya</t>
  </si>
  <si>
    <t>Chromophoric dissolved organic matter; Microbial degradation; Polynya; Amundsen Sea; Antarctica</t>
  </si>
  <si>
    <t>EMISSION MATRIX FLUORESCENCE; PARALLEL FACTOR-ANALYSIS; SURFACE ACCUMULATION; MARINE; PHYTOPLANKTON; EXCITATION; SEAWATER; DOM; ENVIRONMENTS; VARIABILITY</t>
  </si>
  <si>
    <t>Dissolved organic carbon (DOC) is the largest organic carbon pool in the ocean, and is the most active component in respect to the ocean carbon cycling. However, its study in Antarctica has been limited due to challenges associated with sample collection. In this study, we conduct an investigation on the chromophoric dissolved organic matter (CDOM) in a highly productive Amundsen Sea Polynya (ASP), where phytoplankton blooms occur annually during the austral summer, serving as the primary source of DOC and CDOM. The relative abundances of CDOM, as indicated by the absorption coefficient at 254 nm (a254), exhibit significant variability, reaching up to 6.34 m-1. Four fluorescent components, including two humic-like components (C1 and C4) and two protein-like components (C2 and C3), are identified by excitation emission matrix coupled with parallel factor analysis (EEM-PARAFAC). Our findings suggest that heterotrophic metabolism primarily contributes to the formation of humic-like fluorescent components and DOC removal. Water mass, solar radiation, primary productivity as well as microbial degradation are identified as the main factors influencing CDOM dynamics in ASP. This study bears significant implications for advancing our understandings of the CDOM and DOC dynamics in the coastal polynyas of Antarctica, thus facilitating improved evaluation of carbon cycle in the Antarctica.</t>
  </si>
  <si>
    <t>[Hu, Ji; Xue, Siyou; Zhao, Jun; Han, Zhengbing; Li, Dong; Zhang, Haifeng; Yu, Peisong; Zheng, Minhui; Pan, Jianming] Minist Nat Resources, Inst Oceanog 2, Key Lab Marine Ecosyst Dynam, Hangzhou, Peoples R China; [Xue, Siyou] Xiamen Univ, Coll Ocean &amp; Earth Sci, Xiamen, Peoples R China; [Sun, Yongge] Zhejiang Univ, Sch Earth Sci, Organ Geochem Unit, Hangzhou, Peoples R China</t>
  </si>
  <si>
    <t>Ministry of Natural Resources of the People's Republic of China; Xiamen University; Zhejiang University</t>
  </si>
  <si>
    <t>Pan, JM (corresponding author), Minist Nat Resources, Inst Oceanog 2, Key Lab Marine Ecosyst Dynam, Hangzhou, Peoples R China.</t>
  </si>
  <si>
    <t>jmpan@sio.org.cn</t>
  </si>
  <si>
    <t>Zhao, Jun/AAA-3317-2022; Chen, Jin/KBQ-0163-2024; zheng, Li/JVN-7465-2024</t>
  </si>
  <si>
    <t>Zhao, Jun/0000-0002-1003-412X; Chen, Jin/0009-0005-5844-635X;</t>
  </si>
  <si>
    <t>National Natural Science Foundation of China [42276255, 41976227]; IRASCC [01-01-02A, 02-02-05]; Scientific Research Fund of the Second Institute of Oceanography, MNR [JG1715]</t>
  </si>
  <si>
    <t>National Natural Science Foundation of China(National Natural Science Foundation of China (NSFC)); IRASCC; Scientific Research Fund of the Second Institute of Oceanography, MNR</t>
  </si>
  <si>
    <t>The author thanks the Polar Research Institute of China (PRIC) and the crew of R/V Xuelong for their assistance in sample collection and analysis on board. This research was funded by the National Natural Science Foundation of China (No. 42276255 and 41976227) , project Impact and Response of Antarctic Seas to Climate Change, IRASCC 2020-2022 (No. 01-01-02A and 02-02-05) , and the Scientific Research Fund of the Second Institute of Oceanography, MNR, grand No. JG1715.</t>
  </si>
  <si>
    <t>10.1016/j.marchem.2023.104329</t>
  </si>
  <si>
    <t>Y9GB6</t>
  </si>
  <si>
    <t>WOS:001108260000001</t>
  </si>
  <si>
    <t>Galbán-Malagón, C; Gómez-Aburto, VA; Hirmas-Olivares, A; Luarte, T; Berrojalbiz, N; Dachs, J</t>
  </si>
  <si>
    <t>Galban-Malagon, Cristobal; Gomez-Aburto, Victoria Antonieta; Hirmas-Olivares, Andrea; Luarte, Thais; Berrojalbiz, Naiara; Dachs, Jordi</t>
  </si>
  <si>
    <t>Dichlorodiphenyltrichloroethane (DDT) and Dichlorodiphenyldichloroethylene (DDE) levels in air and surface sea waters along the Antarctic Peninsula</t>
  </si>
  <si>
    <t>DDT; Organochlorine pesticides; Secondary sources; Enantiomeric ratios; Antarctica</t>
  </si>
  <si>
    <t>PERSISTENT ORGANIC POLLUTANTS; LONG-RANGE TRANSPORT; ORGANOCHLORINE PESTICIDES; SOUTHERN-OCEAN; BIOGEOCHEMICAL CONTROLS; CHLORINATED PESTICIDES; CLIMATE-CHANGE; PCBS; ATMOSPHERE; SEDIMENTS</t>
  </si>
  <si>
    <t>Persistent organic pollutants (POPs) are widespread worldwide, even reaching polar regions. Among POPs, dichlorodiphenyltrichloroethane (DDT) and their metabolites have been reported scarcely in the Antarctic environment. Here we report the levels of p,p '-DDT, o,p '-DDT, p,p '-DDE, and o,p '-DDE in air and water samples collected during austral summer 2009. The levels found ranged from 0.25 to 4.26 pg m-3 in the atmospheric samples while in the water samples ranged from 0.07 to 0.25 pg L-1. These concentrations were within the range of the reported concentrations in the last 20 years in Antarctica. However, the source ratio showed that most of p, p '-DDT comes from fresh applications and Dicofol formulations. The back-trajectories estimated for the air masses revealed that most of the p,p '-DDT came from the continental Antarctic peninsula and surrounding waters. The diffusive exchange direction showed that Antarctic surface waters are the final sink of the studied compounds during the survey period.</t>
  </si>
  <si>
    <t>[Galban-Malagon, Cristobal; Gomez-Aburto, Victoria Antonieta; Hirmas-Olivares, Andrea; Luarte, Thais] Univ Mayor, GEMA Ctr Genom Ecol &amp; Environm, Camino Piramide 5750, Huechuraba, Santiago, Chile; [Galban-Malagon, Cristobal] Anillo Ciencia &amp; Tecnol Antart POLARIX, Santiago, Chile; [Galban-Malagon, Cristobal] Florida Int Univ, Inst Environm, Miami, FL USA; [Luarte, Thais] Univ Andres Bello, Fac Ciencias Vida, PhD Program Conservat Med, Santiago, Chile; [Berrojalbiz, Naiara; Dachs, Jordi] Inst Environm Assessment &amp; Water Res IDAEA CSIC, Dept Environm Chem, Barcelona, Spain</t>
  </si>
  <si>
    <t>Universidad Mayor; State University System of Florida; Florida International University; Universidad Andres Bello; Consejo Superior de Investigaciones Cientificas (CSIC); CSIC - Centro de Investigacion y Desarrollo Pascual Vila (CID-CSIC); CSIC - Instituto de Diagnostico Ambiental y Estudios del Agua (IDAEA)</t>
  </si>
  <si>
    <t>Galbán-Malagón, C (corresponding author), Univ Mayor, GEMA Ctr Genom Ecol &amp; Environm, Camino Piramide 5750, Huechuraba, Santiago, Chile.</t>
  </si>
  <si>
    <t>cristobal.galban@umayor.cl</t>
  </si>
  <si>
    <t>Berrojalbiz, Naiara/R-4832-2016; Galbán-Malagón, Cristobal/B-2170-2017; Gómez, Victoria Antonieta/HCG-8836-2022; Galban Malagon, Cristobal/J-2384-2015</t>
  </si>
  <si>
    <t>Gómez, Victoria Antonieta/0000-0001-6343-762X; Galban Malagon, Cristobal/0000-0001-8397-5804</t>
  </si>
  <si>
    <t>ANID FONDECYT REGULAR [1210946]; INACH REGULAR [ANID-PIA-INACH-ACT192057]; ANID FONDECYT POSTDOC [RT_12_17]; INACH [3230076]; ATOS project of the Spanish Ministry of Science and Innovation [DG_02_21]</t>
  </si>
  <si>
    <t>ANID FONDECYT REGULAR; INACH REGULAR; ANID FONDECYT POSTDOC; INACH; ATOS project of the Spanish Ministry of Science and Innovation</t>
  </si>
  <si>
    <t>CGM acknowledges funding from the ANID FONDECYT REGULAR 1210946, ANID-PIA-INACH-ACT192057, and INACH REGULAR RT_12_17; VG is supported through an ANID FONDECYT POSTDOC 3230076; TL is supported through the INACH DG_02_21. The authors acknowledge the R/V Hesperides crew. This work was also funded by the ATOS project of the Spanish Ministry of Science and Innovation.</t>
  </si>
  <si>
    <t>10.1016/j.marpolbul.2023.115699</t>
  </si>
  <si>
    <t>Y7HN6</t>
  </si>
  <si>
    <t>WOS:001106936000001</t>
  </si>
  <si>
    <t>Hodgson, AJ; Kelly, N; Peel, D</t>
  </si>
  <si>
    <t>Hodgson, Amanda J.; Kelly, Nat; Peel, David</t>
  </si>
  <si>
    <t>Drone images afford more detections of marine wildlife than real-time observers during simultaneous large-scale surveys</t>
  </si>
  <si>
    <t>Drone; UAV; Unoccupied aerial system; Dugong; Aerial survey; Imagery; Abundance; Detection probability; Environmental covariates; Aerial photography</t>
  </si>
  <si>
    <t>UNMANNED AERIAL VEHICLES; SHARK BAY; EXMOUTH GULF; ABUNDANCE; DUGONG; NINGALOO; DOLPHINS; WHALES</t>
  </si>
  <si>
    <t>There are many advantages to transitioning from conducting marine wildlife surveys via human observers onboard light-aircraft, to capturing aerial imagery using drones. However, it is important to maintain the validity of long-term data series whilst transitioning from observer to imagery surveys. We need to understand how the detection rates of target species in images compare to those collected from observers in piloted aircraft, and the factors influencing detection rates from each platform. We conducted trial ScanEagle drone surveys of dugongs in Shark Bay, Western Australia, covering the full extent of the drone's range (similar to 100 km), concurrently with observer surveys, with the drone flying above or just behind the piloted aircraft. We aimed to test the assumption that drone imagery could provide comparable detection rates of dugongs to human observers when influenced by same environmental conditions. Overall, the dugong sighting rate (i.e., count of individual dugongs) was 1.3 (95% CI [0.98-1.84]) times higher from the drone images than from the observers. The group sighting rate was similar for the two platforms, however the group sizes detected within the drone images were significantly larger than those recorded by the observers, which explained the overall difference in sighting rates. Cloud cover appeared to be the only covariate affecting the two platforms differently; the incidence of cloud cover resulted in smaller group sizes being detected by both platforms, but the observer group sizes dropped much more dramatically (by 71% (95% CI [31-88]) compared to no cloud) than the group sizes detected in the drone images (14% (95% CI [-28-57])). Water visibility and the Beaufort sea state also affected dugong counts and group sizes, but in the same way for both platforms. This is the first direct simultaneous comparison between sightings from observers in piloted aircraft and a drone and demonstrates the potential for drone surveys over a large spatial-scale.</t>
  </si>
  <si>
    <t>[Hodgson, Amanda J.] Edith Cowan Univ, Sch Sci, Joondalup, WA, Australia; [Hodgson, Amanda J.] Murdoch Univ, Harry Butler Inst, Murdoch, WA, Australia; [Kelly, Nat] Australian Antarctic Div, Kingston, Tas, Australia; [Peel, David] CSIRO, Data 61, Hobart, Tas, Australia</t>
  </si>
  <si>
    <t>Edith Cowan University; Murdoch University; Australian Antarctic Division; Commonwealth Scientific &amp; Industrial Research Organisation (CSIRO)</t>
  </si>
  <si>
    <t>Hodgson, AJ (corresponding author), Edith Cowan Univ, Sch Sci, Joondalup, WA, Australia.;Hodgson, AJ (corresponding author), Murdoch Univ, Harry Butler Inst, Murdoch, WA, Australia.</t>
  </si>
  <si>
    <t>a.hodgson@ecu.edu.au</t>
  </si>
  <si>
    <t>Australian Marine Mammal Centre (AMMC)</t>
  </si>
  <si>
    <t>This project was funded by the Australian Marine Mammal Centre (AMMC) under the Bill Dawbin Postdoctoral Research Award granted to Amanda Hodgson. Additional funding was received from AMMC to conduct the manual image review. The funders had no role in study design, data collection and analysis, decision to publish, or preparation of the manuscript.</t>
  </si>
  <si>
    <t>e16186</t>
  </si>
  <si>
    <t>10.7717/peerj.16186</t>
  </si>
  <si>
    <t>Y9TX5</t>
  </si>
  <si>
    <t>WOS:001108623700001</t>
  </si>
  <si>
    <t>Choquet, M; Lenner, F; Cocco, A; Toullec, G; Corre, E; Toullec, JY; Wallberg, A</t>
  </si>
  <si>
    <t>Choquet, Marvin; Lenner, Felix; Cocco, Arianna; Toullec, Gaelle; Corre, Erwan; Toullec, Jean-Yves; Wallberg, Andreas</t>
  </si>
  <si>
    <t>Comparative Population Transcriptomics Provide New Insight into the Evolutionary History and Adaptive Potential of World Ocean Krill</t>
  </si>
  <si>
    <t>MOLECULAR BIOLOGY AND EVOLUTION</t>
  </si>
  <si>
    <t>krill; climate change; population genomics; comparative genomics; genetic adaptation</t>
  </si>
  <si>
    <t>AMINO-ACID SITES; ANTARCTIC KRILL; CLIMATE-CHANGE; EUPHAUSIA-VALLENTINI; SPECIES EUPHAUSIACEA; MOLECULAR ADAPTATION; PROTEIN EVOLUTION; GENETIC-STRUCTURE; MODEL SELECTION; CHAPERONIN CCT</t>
  </si>
  <si>
    <t>Genetic variation is instrumental for adaptation to changing environments but it is unclear how it is structured and contributes to adaptation in pelagic species lacking clear barriers to gene flow. Here, we applied comparative genomics to extensive transcriptome datasets from 20 krill species collected across the Atlantic, Indian, Pacific, and Southern Oceans. We compared genetic variation both within and between species to elucidate their evolutionary history and genomic bases of adaptation. We resolved phylogenetic interrelationships and uncovered genomic evidence to elevate the cryptic Euphausia similis var. armata into species. Levels of genetic variation and rates of adaptive protein evolution vary widely. Species endemic to the cold Southern Ocean, such as the Antarctic krill Euphausia superba, showed less genetic variation and lower evolutionary rates than other species. This could suggest a low adaptive potential to rapid climate change. We uncovered hundreds of candidate genes with signatures of adaptive evolution among Antarctic Euphausia but did not observe strong evidence of adaptive convergence with the predominantly Arctic Thysanoessa. We instead identified candidates for cold-adaptation that have also been detected in Antarctic fish, including genes that govern thermal reception such as TrpA1. Our results suggest parallel genetic responses to similar selection pressures across Antarctic taxa and provide new insights into the adaptive potential of important zooplankton already affected by climate change.</t>
  </si>
  <si>
    <t>[Choquet, Marvin; Lenner, Felix; Cocco, Arianna; Wallberg, Andreas] Uppsala Univ, Dept Med Biochem &amp; Microbiol, Uppsala, Sweden; [Choquet, Marvin] Univ Oslo, Nat Hist Museum, Oslo, Norway; [Lenner, Felix] Uppsala Univ, Dept Immunol Genet &amp; Pathol, Uppsala, Sweden; [Toullec, Gaelle] Ecole Polytech Federale Lausanne EPFL, Sch Architecture Civil &amp; Environm Engn, Lab Biol Geochem, Lausanne, Switzerland; [Corre, Erwan] Sorbonne Univ, Stn Biol Roscoff, CNRS, FR 2424,ABiMS Platform, Roscoff, France; [Toullec, Jean-Yves] Sorbonne Univ, UMR 7144 AD2M, Stn Biol Roscoff, CNRS, Roscoff, France</t>
  </si>
  <si>
    <t>Uppsala University; University of Oslo; Uppsala University; Swiss Federal Institutes of Technology Domain; Ecole Polytechnique Federale de Lausanne; Sorbonne Universite; Centre National de la Recherche Scientifique (CNRS); Centre National de la Recherche Scientifique (CNRS); CNRS - Institute of Ecology &amp; Environment (INEE); Sorbonne Universite</t>
  </si>
  <si>
    <t>Wallberg, A (corresponding author), Uppsala Univ, Dept Med Biochem &amp; Microbiol, Uppsala, Sweden.</t>
  </si>
  <si>
    <t>andreas.wallberg@imbim.uu.se</t>
  </si>
  <si>
    <t>Wallberg, Andreas/0000-0002-9081-9663</t>
  </si>
  <si>
    <t>Swedish Research Council Vetenskapsradet [2018-04444]; Inez Johanssons scholarship; Swedish Research Council [2022-06725, 2018-05973]; French oceanographic fleet; CNRS Antarctic Workshop Zone; CNES KERTREND-SAT OSTST project led by Francesco d'Ovidio (LOCEAN); European MESOPP H2020 program; TAAF National Nature Reserve programs; Swedish Research Council [2018-04444] Funding Source: Swedish Research Council; Vinnova [2018-04444] Funding Source: Vinnova</t>
  </si>
  <si>
    <t>Swedish Research Council Vetenskapsradet(Swedish Research Council); Inez Johanssons scholarship; Swedish Research Council(Swedish Research Council); French oceanographic fleet; CNRS Antarctic Workshop Zone; CNES KERTREND-SAT OSTST project led by Francesco d'Ovidio (LOCEAN); European MESOPP H2020 program; TAAF National Nature Reserve programs; Swedish Research Council(Swedish Research Council); Vinnova(Vinnova)</t>
  </si>
  <si>
    <t>This research was supported by grants 2018-04444 from the Swedish Research Council Vetenskapsradet and an Inez Johanssons scholarship awarded to A.W. The computations were enabled by resources provided by the National Academic Infrastructure for Supercomputing in Sweden (NAISS) and the Swedish National Infrastructure for Computing (SNIC) at UPPMAX partially funded by the Swedish Research Council through grant agreements no. 2022-06725 and no. 2018-05973. We thank Dr N. Tremblay (Quebec University, Rimouski UQAR) for kindly providing Pacific Ocean krill samples, Camille Merland (Universite Pierre et Marie Curie) and Marion Thellier (LOCEAN-IPSL, CNRS) for help with species identifications, the helpful staff that supported field sampling, Julien Yann Dutheil (Max Planck Institute for Evolutionary Biology) for discussions, and Matthew Christmas (Uppsala University) for proofreading. The REPCCOAI surveys were directed by Philippe Koubbi (Roscoff Biological Station) and J.-Y.T., supported by the French oceanographic fleet, the CNRS Antarctic Workshop Zone, the CNES KERTREND-SAT OSTST project led by Francesco d'Ovidio (LOCEAN), the European MESOPP H2020 program, and the TAAF National Nature Reserve programs. We thank Philippe Koubbi for the opportunity to participate. We also thank the anonymous reviewers for their in-depth review which greatly improved our manuscript.</t>
  </si>
  <si>
    <t>0737-4038</t>
  </si>
  <si>
    <t>1537-1719</t>
  </si>
  <si>
    <t>MOL BIOL EVOL</t>
  </si>
  <si>
    <t>Mol. Biol. Evol.</t>
  </si>
  <si>
    <t>msad225</t>
  </si>
  <si>
    <t>10.1093/molbev/msad225</t>
  </si>
  <si>
    <t>X8SA1</t>
  </si>
  <si>
    <t>WOS:001101071200001</t>
  </si>
  <si>
    <t>Desvignes, T; Bista, I; Herrera, K; Landes, A; Postlethwait, JH</t>
  </si>
  <si>
    <t>Desvignes, Thomas; Bista, Iliana; Herrera, Karina; Landes, Audrey; Postlethwait, John H.</t>
  </si>
  <si>
    <t>Cold-Driven Hemoglobin Evolution in Antarctic Notothenioid Fishes Prior to Hemoglobin Gene Loss in White-Blooded Icefishes</t>
  </si>
  <si>
    <t>LA and MN hemoglobin clusters; cryonotothenioid; Eleginopsioidea; Eleginops maclovinus; adaptive evolution; thornfish</t>
  </si>
  <si>
    <t>AMINO-ACID-SEQUENCE; FUNCTIONALLY DISTINCT HEMOGLOBINS; GENOME DUPLICATION; SINGLE HEMOGLOBIN; GLOBIN GENES; TELEOST; ANTIFREEZE; ADAPTATIONS; EXPRESSION; CLIMATE</t>
  </si>
  <si>
    <t>Expression of multiple hemoglobin isoforms with differing physiochemical properties likely helps species adapt to different environmental and physiological conditions. Antarctic notothenioid fishes inhabit the icy Southern Ocean and display fewer hemoglobin isoforms, each with less affinity for oxygen than temperate relatives. Reduced hemoglobin multiplicity was proposed to result from relaxed selective pressure in the cold, thermally stable, and highly oxygenated Antarctic waters. These conditions also permitted the survival and diversification of white-blooded icefishes, the only vertebrates living without hemoglobin. To understand hemoglobin evolution during adaptation to freezing water, we analyzed hemoglobin genes from 36 notothenioid genome assemblies. Results showed that adaptation to frigid conditions shaped hemoglobin gene evolution by episodic diversifying selection concomitant with cold adaptation and by pervasive evolution in Antarctic notothenioids compared to temperate relatives, likely a continuing adaptation to Antarctic conditions. Analysis of hemoglobin gene expression in adult hematopoietic organs in various temperate and Antarctic species further revealed a switch in hemoglobin gene expression underlying hemoglobin multiplicity reduction in Antarctic fish, leading to a single hemoglobin isoform in adult plunderfishes and dragonfishes, the sister groups to icefishes. The predicted high hemoglobin multiplicity in Antarctic fish embryos based on transcriptomic data, however, raises questions about the molecular bases and physiological implications of diverse hemoglobin isoforms in embryos compared to adults. This analysis supports the hypothesis that the last common icefish ancestor was vulnerable to detrimental mutations affecting the single ancestral expressed alpha- and beta-globin gene pair, potentially predisposing their subsequent loss.</t>
  </si>
  <si>
    <t>[Desvignes, Thomas; Herrera, Karina; Landes, Audrey; Postlethwait, John H.] Univ Oregon, Inst Neurosci, Eugene, OR 97403 USA; [Bista, Iliana] Wellcome Genome Campus, Wellcome Sanger Inst, Tree Life, Hinxton CB10 1SA, England; [Bista, Iliana] LOEWE Ctr Translat Biodivers Genom, D-60325 Frankfurt, Germany; [Bista, Iliana] Senckenberg Res Inst, D-60325 Frankfurt, Germany</t>
  </si>
  <si>
    <t>University of Oregon; Wellcome Trust Sanger Institute; Senckenberg Gesellschaft fur Naturforschung (SGN)</t>
  </si>
  <si>
    <t>Desvignes, T (corresponding author), Univ Oregon, Inst Neurosci, Eugene, OR 97403 USA.</t>
  </si>
  <si>
    <t>tdesvign@uoregon.edu</t>
  </si>
  <si>
    <t>Bista, Iliana/AFM-5294-2022; Bista, Iliana/GXM-7439-2022</t>
  </si>
  <si>
    <t>Bista, Iliana/0000-0002-6155-3093;</t>
  </si>
  <si>
    <t>This work was supported by the National Science Foundation Office of Polar Program (OPP-1947040, OPP-1543383, and OPP-2232891 to J.H.P. and T.D.), the National Science Foundation Division of Biological Infrastructure (DBI-1758015 supporting K.H.), and the [OPP-1947040, OPP-1543383, OPP-2232891]; National Science Foundation Office of Polar Program [DBI-1758015]; National Science Foundation Division of Biological Infrastructure [WT207492, WT206194, WT104640, WT092096, OCI-0960354]; Wellcome Sanger Institute</t>
  </si>
  <si>
    <t>This work was supported by the National Science Foundation Office of Polar Program (OPP-1947040, OPP-1543383, and OPP-2232891 to J.H.P. and T.D.), the National Science Foundation Division of Biological Infrastructure (DBI-1758015 supporting K.H.), and the; National Science Foundation Office of Polar Program(National Science Foundation (NSF)); National Science Foundation Division of Biological Infrastructure(National Science Foundation (NSF)); Wellcome Sanger Institute(Wellcome Trust)</t>
  </si>
  <si>
    <t>This work was supported by the National Science Foundation Office of Polar Program (OPP-1947040, OPP-1543383, and OPP-2232891 to J.H.P. and T.D.), the National Science Foundation Division of Biological Infrastructure (DBI-1758015 supporting K.H.), and the Wellcome Sanger Institute (grants WT207492, WT206194, WT104640, and WT092096 supporting I.B.). This work benefited from access to the University of Oregon high-performance computer Talapas (NSF grant OCI-0960354). Authors thank Catherine Wilson for advice on transcriptomic analyses.</t>
  </si>
  <si>
    <t>msad236</t>
  </si>
  <si>
    <t>10.1093/molbev/msad236</t>
  </si>
  <si>
    <t>Y3GB1</t>
  </si>
  <si>
    <t>WOS:001104175600001</t>
  </si>
  <si>
    <t>Méndez, F; Rivero, A; Bahamonde, F; Gallardo, P; Frangopulos, M; Zolezzi, J; Inestrosa, NC; Mansilla, A</t>
  </si>
  <si>
    <t>Mendez, Fabio; Rivero, Ali; Bahamonde, Francisco; Gallardo, Pablo; Frangopulos, Maximo; Zolezzi, Juan; Inestrosa, Nibaldo C.; Mansilla, Andres</t>
  </si>
  <si>
    <t>Fatty acid composition of different morphological structures in the sub-Antarctic kelps Macrocystis pyrifera (L.) C. Agardh and Lessonia flavicans Bory of the Magellan Ecoregion: Nutritional and biomedical potentials</t>
  </si>
  <si>
    <t>JOURNAL OF APPLIED PHYCOLOGY</t>
  </si>
  <si>
    <t>Phaeophyceae; Fatty acids profile; Macrocystis thallus; Lessonia thallus; Kelp uses; Biomedical potential, Magellan region</t>
  </si>
  <si>
    <t>LIPID-COMPOSITION; BEAGLE CHANNEL; POLAR LIPIDS; MACROALGAE; SEAWEEDS; ACCLIMATION; REGION; PROFILES; PATTERNS; ECOLOGY</t>
  </si>
  <si>
    <t>The sub-Antarctic Magellan Ecoregion is a unique biogeographic area located at the southern tip of South America, which has exceptional marine flora and high endemism. Along the coastline, the ochrophytes Macrocystis pyrifera and Lessonia flavicans form vital underwater forests that serve as critical habitats, providing shelter, food and breeding grounds for a diverse marine organisms. These algal species are also important components used in the food industry and biomedicine, due to their high lipid, amino acid and fiber content. In this study, we investigated the intra-thallus variation of fatty acids among the different morphological structures (fronds, stipes and holdfast) of M. pyrifera and L. flavicans collected in Rinconada Bulnes during spring, 2021. The stipes of M. pyrifera (3.73 +/- 1.73%) and the fronds of L. flavicans (3.35 +/- 0.97%) both exhibited high lipid content. Saturated fatty acids were highest in the holdfast of M. pyrifera (37.82 +/- 0.06%) followed by the fronds of L. flavicans (34.30 +/- 0.10%). Notably, monounsaturated fatty acids showed higher levels en the holdfast of L. flavicans (46.45 +/- 0.19%) followed by the stipes of M. pyrifera (43.04 +/- 0.08%). The fronds of both M. pyrifera (32.38 +/- 0.26%) and L. flavicans (28.89 +/- 0.23%) showed high levels of polyunsaturated fatty acids. These findings provide valuable insight into the intra-thallus variation of fatty acids in different morphological structures of M. pyrifera and L. flavicans, highlighting their potential nutritional and biomedical importance as the most representative kelps in the Magellan region.</t>
  </si>
  <si>
    <t>[Mendez, Fabio; Bahamonde, Francisco; Mansilla, Andres] Univ Magellan, Fac Sci, Lab Antarctic &amp; Subantarctic Marine Ecosyst LEMAS, Punta Arenas, Chile; [Mendez, Fabio; Bahamonde, Francisco; Mansilla, Andres] Univ Magallanes, Punta Arenas, Chile; [Mendez, Fabio; Bahamonde, Francisco; Frangopulos, Maximo; Mansilla, Andres] Univ Magallanes, Cape Horn Int Ctr CHIC, Punta Arenas, Chile; [Mendez, Fabio] Univ Magellan, Programme Antarctic &amp; Subantarctic Sci, Punta Arenas, Chile; [Rivero, Ali; Gallardo, Pablo] Univ Magallanes, Fac Sci, Dept Agr &amp; Aquacultural Sci, Punta Arenas, Chile; [Bahamonde, Francisco] Univ Magallanes, Masters Program Sci Ment Management &amp; Conservat Na, Punta Arenas, Chile; [Frangopulos, Maximo] Univ Austral Chile, Millennium Inst Biodivers Antarctic &amp; Subantarctic, Punta Arenas, Chile; [Frangopulos, Maximo] Univ Magallanes, Res Ctr Gaia Antarctica, Punta Arenas, Chile; [Zolezzi, Juan; Inestrosa, Nibaldo C.] Ctr Excellence Biomed Magellan CEBIMA, Punta Arenas, Chile</t>
  </si>
  <si>
    <t>Universidad de Magallanes; Universidad de Magallanes; Universidad de Magallanes; Universidad de Magallanes; Universidad Austral de Chile; Universidad de Magallanes</t>
  </si>
  <si>
    <t>Méndez, F (corresponding author), Univ Magellan, Fac Sci, Lab Antarctic &amp; Subantarctic Marine Ecosyst LEMAS, Punta Arenas, Chile.;Méndez, F (corresponding author), Univ Magallanes, Punta Arenas, Chile.;Méndez, F (corresponding author), Univ Magallanes, Cape Horn Int Ctr CHIC, Punta Arenas, Chile.;Méndez, F (corresponding author), Univ Magellan, Programme Antarctic &amp; Subantarctic Sci, Punta Arenas, Chile.</t>
  </si>
  <si>
    <t>fabiomendezmansilla@gmail.com</t>
  </si>
  <si>
    <t>Gallardo, Pablo/0000-0002-8368-9055; frangopulos, maximo/0000-0002-6857-273X</t>
  </si>
  <si>
    <t>The present study is part of the thesis of FM, a student of the Doctoral Program in quot;Antarctic and Subantarctic Sciencesquot; at the University of Magellan, Punta Arenas, Chile. The acknowledgments go to: I) Funding from the National Agency for Resea; Punta Arenas, Chile [Doctorate/2020-Folio 21202059, ANID/BASAL FB210018]; National Agency for Research and Development; Center of Excellence in Biomedicine of Magallanes; University of Magellan (UMAG)</t>
  </si>
  <si>
    <t>The present study is part of the thesis of FM, a student of the Doctoral Program in quot;Antarctic and Subantarctic Sciencesquot; at the University of Magellan, Punta Arenas, Chile. The acknowledgments go to: I) Funding from the National Agency for Resea; Punta Arenas, Chile; National Agency for Research and Development; Center of Excellence in Biomedicine of Magallanes; University of Magellan (UMAG)</t>
  </si>
  <si>
    <t>The present study is part of the thesis of FM, a student of the Doctoral Program in &amp; quot;Antarctic and Subantarctic Sciences &amp; quot; at the University of Magellan, Punta Arenas, Chile. The acknowledgments go to: I) Funding from the National Agency for Research and Development (ANID)/ Scholarships Program/ Chilean National Doctorate/2020-Folio 21202059. II) Funding from the Cape Horn International Center (CHIC) Project ANID/BASAL FB210018. III) Center of Excellence in Biomedicine of Magallanes (CEBIMA), Punta Arenas, Chile. IV) Millennium Science Initiative Program - ICN2021_002, and V) Facilities and equipment kindly provided by the University of Magellan (UMAG), specifically the Laboratory of the Faculty of Sciences, Department of Agricultural and Aquaculture Sciences, and the Laboratory of Antarctic and Subantarctic Marine Ecosystems (LEMAS) at the University of Magallanes, Punta Arenas, Chile.</t>
  </si>
  <si>
    <t>0921-8971</t>
  </si>
  <si>
    <t>1573-5176</t>
  </si>
  <si>
    <t>J APPL PHYCOL</t>
  </si>
  <si>
    <t>J. Appl. Phycol.</t>
  </si>
  <si>
    <t>2023 NOV 3</t>
  </si>
  <si>
    <t>10.1007/s10811-023-03114-9</t>
  </si>
  <si>
    <t>Biotechnology &amp; Applied Microbiology; Marine &amp; Freshwater Biology</t>
  </si>
  <si>
    <t>X5DK8</t>
  </si>
  <si>
    <t>WOS:001098652200003</t>
  </si>
  <si>
    <t>Park, J; Kang, HJ; Gim, Y; Jang, E; Park, KT; Park, S; Jung, CH; Ceburnis, D; O'Dowd, C; Yoon, YJ</t>
  </si>
  <si>
    <t>Park, Jiyeon; Kang, Hyojin; Gim, Yeontae; Jang, Eunho; Park, Ki-Tae; Park, Sangjong; Jung, Chang Hoon; Ceburnis, Darius; O'Dowd, Colin; Yoon, Young Jun</t>
  </si>
  <si>
    <t>New particle formation leads to enhanced cloud condensation nuclei concentrations on the Antarctic Peninsula</t>
  </si>
  <si>
    <t>KING-SEJONG-STATION; AEROSOL-SIZE DISTRIBUTIONS; FORMATION EVENTS; BOUNDARY-LAYER; SEA-ICE; ATMOSPHERIC AEROSOLS; CHEMICAL-COMPOSITION; SEASONAL-VARIATIONS; DIMETHYL SULFIDE; SUMMER AEROSOL</t>
  </si>
  <si>
    <t>Few studies have investigated the impact of new particle formation (NPF) on cloud condensation nuclei (CCN) in remote Antarctica, and none has elucidated the relationship between NPF and CCN production. To address that knowledge gap, we continuously measured the number size distribution of 2.5-300 nm particles and CCN number concentrations at King Sejong Station on the Antarctic Peninsula from 1 January to 31 December 2018. Ninety-seven NPF events were detected throughout the year. Clear annual and seasonal patterns of NPF were observed: high concentration and frequency of nucleation-mode particles in summer (December-February: 53 NPF cases) and undetected nucleation-mode particles in winter (June-August: no NPF cases). We estimated the spatial scale of NPF by multiplying the time during which a distinct nucleation mode can be observed at the sampling site by the locally measured wind speed. The estimated median spatial scale of NPF around the Antarctic Peninsula was found to be approximately 155 km, indicating the large scale of NPF events. Air back-trajectory analysis revealed that 80 cases of NPF events were associated with air masses originating over the ocean, followed by sea-ice (12 cases), multiple (3 cases), and land (2 cases) regions. We present and discuss three major NPF categories: (1) marine NPF, (2) sea-ice NPF, and (3) multiple NPF. Satellite estimates for sea-surface dimethylsulfoniopropionate (DMSP; a precursor of gaseous dimethyl sulfide) data showed that the production of oceanic biogenic precursors could be a key component in marine NPF events, whereas halogen compounds released from ice-covered areas could contribute to sea-ice NPF events. Terrestrial sources (wildlife colonies, vegetation, and meltwater ponds) from Antarctica could affect aerosol production in multiple air masses. Out of 97 observed NPF events, 83 cases were characterized by the simultaneous increase in the CCN concentration by 2 %-270 % (median 44 %) in the following 1 to 36 h (median 8 h) after NPF events. Overall, Antarctic NPF events were found to be a significant source of particles with different physical characteristics and related to biogenic sources in and around the Antarctic Peninsula, which subsequently grew to cloud condensation nuclei.</t>
  </si>
  <si>
    <t>[Park, Jiyeon; Kang, Hyojin; Gim, Yeontae; Jang, Eunho; Park, Ki-Tae; Park, Sangjong; Yoon, Young Jun] Korea Polar Res Inst, 26 Songdomirae Ro, Incheon 21990, South Korea; [Kang, Hyojin; Jang, Eunho] Univ Sci &amp; Technol UST, Dept Polar Sci, 217 Gajeong Ro, Daejeon, South Korea; [Jung, Chang Hoon] Kyung in Womens Univ, Dept Hlth Management, Incheon 21041, South Korea; [Ceburnis, Darius; O'Dowd, Colin] Univ Galway, Sch Phys, Galway, Ireland; [Ceburnis, Darius; O'Dowd, Colin] Univ Galway, Ryan Inst, Ctr Climate &amp; Air Pollut Studies, Galway, Ireland</t>
  </si>
  <si>
    <t>Korea Polar Research Institute (KOPRI); University of Science &amp; Technology (UST); Ollscoil na Gaillimhe-University of Galway; Ollscoil na Gaillimhe-University of Galway</t>
  </si>
  <si>
    <t>Yoon, YJ (corresponding author), Korea Polar Res Inst, 26 Songdomirae Ro, Incheon 21990, South Korea.</t>
  </si>
  <si>
    <t>yjyoon@kopri.re.kr</t>
  </si>
  <si>
    <t>O'Dowd, Colin D/K-8904-2012</t>
  </si>
  <si>
    <t>O'Dowd, Colin D/0000-0002-3068-2212</t>
  </si>
  <si>
    <t>KOPRI project [PE23030]</t>
  </si>
  <si>
    <t>KOPRI project(Korea Polar Research Institute of Marine Research Placement (KOPRI))</t>
  </si>
  <si>
    <t>We would like to thank the many technicians and scientists of the overwintering crews. This work was supported by the KOPRI project (PE23030).</t>
  </si>
  <si>
    <t>10.5194/acp-23-13625-2023</t>
  </si>
  <si>
    <t>IV2W2</t>
  </si>
  <si>
    <t>WOS:001169056200001</t>
  </si>
  <si>
    <t>Garbe, J; Zeitz, M; Krebs-Kanzow, U; Winkelmann, R</t>
  </si>
  <si>
    <t>Garbe, Julius; Zeitz, Maria; Krebs-Kanzow, Uta; Winkelmann, Ricarda</t>
  </si>
  <si>
    <t>The evolution of future Antarctic surface melt using PISM-dEBM-simple</t>
  </si>
  <si>
    <t>PARALLEL ICE-SHEET; REGIONAL CLIMATE MODEL; MASS-BALANCE; ENERGY-BALANCE; ALBEDO FEEDBACK; TEMPERATURE VARIABILITY; BRIEF COMMUNICATION; GLACIERS; SHELVES; DRIVEN</t>
  </si>
  <si>
    <t>It is virtually certain that Antarctica's contribution to sea-level rise will increase with future warming, although competing mass balance processes hamper accurate quantification of the exact magnitudes. Today, ocean-induced melting underneath the floating ice shelves dominates mass losses, but melting at the surface will gain importance as global warming continues. Meltwater at the ice surface has crucial implications for the ice sheet's stability, as it increases the risk of hydrofracturing and ice-shelf collapse that could cause enhanced glacier outflow into the ocean. Simultaneously, positive feedbacks between ice and atmosphere can accelerate mass losses and increase the ice sheet's sensitivity to warming. However, due to long response times, it may take hundreds to thousands of years until the ice sheet fully adjusts to the environmental changes. Therefore, ice-sheet model simulations must be computationally fast and capture the relevant feedbacks, including the ones at the ice-atmosphere interface.Here we use the novel surface melt module dEBM-simple (a slightly modified version of the simple diurnal Energy Balance Model) coupled to the Parallel Ice Sheet Model (PISM, together referred to as PISM-dEBM-simple) to estimate the impact of 21st-century atmospheric warming on Antarctic surface melt and ice dynamics. As an enhancement compared to the widely adopted positive degree-day (PDD) scheme, dEBM-simple includes an implicit diurnal cycle and computes melt not only from the temperature, but also from the influence of solar radiation and changes in ice albedo, thus accounting for the melt-albedo feedback. We calibrate PISM-dEBM-simple to reproduce historical and present-day Antarctic surface melt rates given by the regional atmospheric climate model RACMO2.3p2 and use the calibrated model to assess the range of possible future surface melt trajectories under Shared Socioeconomic Pathway SSP5-8.5 warming projections until the year 2100. To investigate the committed impacts of the enhanced surface melting on the ice-sheet dynamics, we extend the simulations under fixed climatological conditions until the ice sheet has reached a state close to equilibrium with its environment. Our findings reveal a substantial surface-melt-induced speed-up in ice flow associated with large-scale elevation reductions in sensitive ice-sheet regions, underscoring the critical role of self-reinforcing ice-sheet-atmosphere feedbacks in future mass losses and sea-level contribution from the Antarctic Ice Sheet on centennial to millennial timescales.</t>
  </si>
  <si>
    <t>[Garbe, Julius; Zeitz, Maria; Winkelmann, Ricarda] Leibniz Assoc, Potsdam Inst Climate Impact Res PIK, POB 60 12 03, D-14412 Potsdam, Germany; [Garbe, Julius; Zeitz, Maria; Winkelmann, Ricarda] Univ Potsdam, Inst Phys &amp; Astron, Karl Liebknecht Str 24-25, D-14476 Potsdam, Germany; [Krebs-Kanzow, Uta] Alfred Wegener Inst, Helmholtz Ctr Polar &amp; Marine Res, Handelshafen 12, D-27570 Bremerhaven, Germany</t>
  </si>
  <si>
    <t>Potsdam Institut fur Klimafolgenforschung; University of Potsdam; Helmholtz Association; Alfred Wegener Institute, Helmholtz Centre for Polar &amp; Marine Research</t>
  </si>
  <si>
    <t>Garbe, J (corresponding author), Leibniz Assoc, Potsdam Inst Climate Impact Res PIK, POB 60 12 03, D-14412 Potsdam, Germany.;Garbe, J (corresponding author), Univ Potsdam, Inst Phys &amp; Astron, Karl Liebknecht Str 24-25, D-14476 Potsdam, Germany.</t>
  </si>
  <si>
    <t>julius.garbe@pik-potsdam.de</t>
  </si>
  <si>
    <t>Garbe, Julius/AAY-2415-2020</t>
  </si>
  <si>
    <t>Garbe, Julius/0000-0003-3140-3307; Krebs-Kanzow, Uta/0000-0002-3244-6491</t>
  </si>
  <si>
    <t>Horizon 2020 [820575, 869304]; European Union; Leibniz Association (project DominoES) [WI4556/3-1, WI4556/4-1]; Deutsche Forschungsgemeinschaft (DFG); German Fulbright Commission; Helmholtz Climate Initiative REKLIM (Regional Climate Change) [2077, 390741603]; DFG Excellence Cluster EXC [FKZ: 01LP1925D]; PalMod project; German Federal Ministry of Education and Research (BMBF) as a Research for Sustainability initiative (FONA) [20-CRYO2020-0052, 80NSSC22K0274]; NASA [OAC-2118285]; NSF; European Regional Development Fund (ERDF); German Federal Ministry of Education and Research (BMBF)</t>
  </si>
  <si>
    <t>Horizon 2020(Horizon 2020); European Union(European Union (EU)); Leibniz Association (project DominoES); Deutsche Forschungsgemeinschaft (DFG)(German Research Foundation (DFG)); German Fulbright Commission; Helmholtz Climate Initiative REKLIM (Regional Climate Change); DFG Excellence Cluster EXC(German Research Foundation (DFG)); PalMod project; German Federal Ministry of Education and Research (BMBF) as a Research for Sustainability initiative (FONA)(Federal Ministry of Education &amp; Research (BMBF)); NASA(National Aeronautics &amp; Space Administration (NASA)); NSF(National Science Foundation (NSF)); European Regional Development Fund (ERDF)(European Union (EU)); German Federal Ministry of Education and Research (BMBF)(Federal Ministry of Education &amp; Research (BMBF))</t>
  </si>
  <si>
    <t>This research was supported by the European Union's Horizon 2020 Research and Innovation Programme under grant agreement nos. 820575 (TiPACCs) and 869304 (PROTECT). We received financial support from the Leibniz Association (project DominoES) and the Deutsche Forschungsgemeinschaft (DFG grants WI4556/3-1 and WI4556/4-1). Maria Zeitz received funding from the German Fulbright Commission. Uta Krebs-Kanzow acknowledges the Helmholtz Climate Initiative REKLIM (Regional Climate Change), the research program PoF IV Changing Earth - Sustaining our Future of the Alfred Wegener Institute, and the DFG Excellence Cluster EXC 2077 The Ocean Floor - Earth's Uncharted Interface (project no. 390741603). Ricarda Winkelmann acknowledges funding from the PalMod project (FKZ: 01LP1925D) supported by the German Federal Ministry of Education and Research (BMBF) as a Research for Sustainability initiative (FONA). Development of PISM is supported by NASA grants 20-CRYO2020-0052 and 80NSSC22K0274 and NSF grant OAC-2118285. We further acknowledge the European Regional Development Fund (ERDF), the German Federal Ministry of Education and Research (BMBF), and the Land Brandenburg for supporting this project by providing resources on the high-performance computer system at the Potsdam Institute for Climate Impact Research. The authors would like to thank Melchior van Wessem for sharing the monthly RACMO2.3p2 data and Luke Trusel for kindly providing the QuikSCAT meltwater flux data. We are grateful to Ronja Reese for providing the equilibrium model state of the Antarctic Ice Sheet that was used as a basis for the simulations. We thank the editor Michiel van den Broeke for handling our manuscript as well as Ella Gilbert and the anonymous referee for their constructive comments that greatly improved the manuscript.</t>
  </si>
  <si>
    <t>10.5194/tc-17-4571-2023</t>
  </si>
  <si>
    <t>IV0T7</t>
  </si>
  <si>
    <t>WOS:001169001500001</t>
  </si>
  <si>
    <t>Knazková, M; Hrbácek, F</t>
  </si>
  <si>
    <t>Knazkova, Michaela; Hrbacek, Filip</t>
  </si>
  <si>
    <t>Interannual variability of soil thermal conductivity and moisture on the Abernethy Flats (James Ross Island) during thawing seasons 2015-2023</t>
  </si>
  <si>
    <t>Soil thermal properties; Soil thermal properties; Soil thermal regime; Soil thermal regime; Active layer thickness; Active layer thickness; Antarctic Peninsula; Antarctic Peninsula; Climate change; Climate change</t>
  </si>
  <si>
    <t>ACTIVE-LAYER; TEMPERATURES; VALLEYS; REGIMES; LAND; MAP</t>
  </si>
  <si>
    <t>The knowledge of soil thermal properties is important for determining how a soil will behave under changing climate conditions, especially in the sensitive environment of permafrost affected soils. This paper represents the first complex study of the interplay between the different parameters affecting soil thermal conductivity of soils in Antarctica. Antarctic Peninsula is currently the most rapidly warming region of the whole Antarctica, with predictions of this warming to continue in the upcoming decades. This study focuses on James Ross Island, where the Abernethy Flats automatic weather station is located in a lowland area with semi-arid climate. Air and ground temperature, soil heat flux and soil moisture during the thawing season were monitored on this site from 2015 to 2023. Moreover, two approaches to determining soil thermal conductivity were compared - laboratory measurements and calculation from field data. During this period, mean annual temperatures have increased dramatically for both air (from-6.9 degrees C in 2015/2016 to-3.8 degrees C in 2022/2023) and ground (from-6.5 degrees C to-3.2 degrees C), same as active layer thickness (from 68 cm to 95 cm). Average soil thermal conductivity for the thawing period reached values between 0.49 and 0.74 W/m.K-1 based on field data. Statistically significant relationships were found between the seasonal means of volumetric water content and several other parameters - soil thermal conductivity (r = 0.91), thawing degree days (r = -0.87) and active layer thickness (r = - 0.88). Although wetter soils generally have a higher conductivity, the increase in temperature exhibits a much stronger control over the active layer thickening, also contributing to the overall drying of the upper part of the soil profile.</t>
  </si>
  <si>
    <t>[Knazkova, Michaela] Masaryk Univ, Dept Geog, Polar Geo Lab, Kotlarska 2, Brno 61137, Czech Republic</t>
  </si>
  <si>
    <t>Masaryk University Brno</t>
  </si>
  <si>
    <t>Knazková, M (corresponding author), Masaryk Univ, Dept Geog, Polar Geo Lab, Kotlarska 2, Brno 61137, Czech Republic.</t>
  </si>
  <si>
    <t>Hrbacek, Filip/0000-0001-5032-9216</t>
  </si>
  <si>
    <t>Czech Science Foundation [GM22-28659M]; Ministry of Education, Youth and Sports of the Czech Republic project [VAN 2022]</t>
  </si>
  <si>
    <t>Czech Science Foundation(Grant Agency of the Czech Republic); Ministry of Education, Youth and Sports of the Czech Republic project</t>
  </si>
  <si>
    <t>This research was supported by Ministry of Education, Youth and Sports of the Czech Republic project (VAN 2022) and Czech Science Foundation project (GM22-28659M). The authors would like to acknowledge the staff of Czech Antarctic Johann Gregor Mendel station for help with installation and maintenance of the instrumental measurements. Furthermore, we thank Miguel Angel de Pablo and two anonymous reviewers for providing suggestions on improving this manuscript.r The authors declare the following financial interests/personal re-lationships which may be considered as potential competing interests: Filip Hrba c y ek reports financial support was provided by Czech Science Foundation. This research was supported by Ministry of Education, Youth and Sports of the Czech Republic project (VAN 2022) and Czech Science Foundation project (GM22-28659M) . The authors would like to acknowledge the staff of Czech Antarctic Johann Gregor Mendel station for help with installation and maintenance of the instrumental mea-surements. Furthermore, we thank Miguel Angel de Pablo and two anonymous reviewers for providing suggestions on improving this manuscript.</t>
  </si>
  <si>
    <t>10.1016/j.catena.2023.107640</t>
  </si>
  <si>
    <t>HA3H9</t>
  </si>
  <si>
    <t>WOS:001156721700001</t>
  </si>
  <si>
    <t>Kuok, L</t>
  </si>
  <si>
    <t>Kuok, Lynn</t>
  </si>
  <si>
    <t>China's Legal Diplomacy</t>
  </si>
  <si>
    <t>SURVIVAL</t>
  </si>
  <si>
    <t>China; exclusive economic zone (EEZ); international law; Indo-Pacific; Philippines; South China Sea; Taiwan; United Nations Convention on the Law of the Sea (UNCLOS); wolf-warrior diplomacy</t>
  </si>
  <si>
    <t>China is engaging in a broad and systematic effort to align its legal capabilities with its strategic goals in the South China Sea and the Taiwan Strait, and could do so outside of Asia, in places as far afield as the Arctic and Antarctic, in order to reshape and, in some cases, fill gaps in international law. Yet, while China's assertive 'wolf-warrior diplomacy' has received considerable attention, its legal diplomacy has largely gone under the radar. Despite their insistence on the importance of the rules-based international order, the United States and other Western powers have been less proactive and methodical in their use of international law as compared to China. In an age of great-power competition, countries are drawing on a diverse range of tools - military, diplomatic, economic, developmental and intelligence - to gain strategic advantage. Countries that fail to bolster their own legal capabilities and to integrate legal diplomacy into their national-security strategies may surrender the power of legitimacy to China, even if, particularly in the South China Sea, Chinese actions have indubitably contravened international law.</t>
  </si>
  <si>
    <t>[Kuok, Lynn] Asia Pacific Secur, Hong Kong, Peoples R China</t>
  </si>
  <si>
    <t>Kuok, L (corresponding author), Asia Pacific Secur, Hong Kong, Peoples R China.</t>
  </si>
  <si>
    <t>0039-6338</t>
  </si>
  <si>
    <t>1468-2699</t>
  </si>
  <si>
    <t>Survival</t>
  </si>
  <si>
    <t>10.1080/00396338.2023.2285610</t>
  </si>
  <si>
    <t>CS3W7</t>
  </si>
  <si>
    <t>WOS:001127201500011</t>
  </si>
  <si>
    <t>Konecky, BL; McKay, NP; Falster, GM; Stevenson, SL; Fischer, MJ; Atwood, AR; Thompson, DM; Jones, MD; Tyler, JJ; DeLong, KL; Martrat, B; Thomas, EK; Conroy, JL; Dee, SG; Jonkers, L; Churakova, OV; Kern, Z; Opel, T; Porter, TJ; Sayani, HR; Skrzypek, G</t>
  </si>
  <si>
    <t>Konecky, Bronwen L.; McKay, Nicholas P.; Falster, Georgina M.; Stevenson, Samantha L.; Fischer, Matt J.; Atwood, Alyssa R.; Thompson, Diane M.; Jones, Matthew D.; Tyler, Jonathan J.; DeLong, Kristine L.; Martrat, Belen; Thomas, Elizabeth K.; Conroy, Jessica L.; Dee, Sylvia G.; Jonkers, Lukas; Churakova (Sidorova), Olga V.; Kern, Zoltan; Opel, Thomas; Porter, Trevor J.; Sayani, Hussein R.; Skrzypek, Grzegorz</t>
  </si>
  <si>
    <t>Isok Project Members</t>
  </si>
  <si>
    <t>Globally coherent water cycle response to temperature change during the past two millennia</t>
  </si>
  <si>
    <t>NORTH-AMERICAN DROUGHT; COMMON ERA; ISOTOPES; CLIMATE; PRECIPITATION; MONSOON; RECORD; FRACTIONATION; CIRCULATION; EVAPORATION</t>
  </si>
  <si>
    <t>The response of the global water cycle to changes in global surface temperature remains an outstanding question in future climate projections and in past climate reconstructions. The stable hydrogen and oxygen isotope compositions of precipitation (dprecip), meteoric water (dMW) and seawater (dSW) integrate processes from microphysical to global scales and thus are uniquely positioned to track global hydroclimate variations. Here we evaluate global hydroclimate during the past 2,000 years using a globally distributed compilation of proxies for dprecip, dMW and dSW. We show that global mean surface temperature exerted a coherent influence on global dprecip and dMW throughout the past two millennia, driven by global ocean evaporation and condensation processes, with lower values during the Little Ice Age (1450-1850) and higher values after the onset of anthropogenic warming (similar to 1850). The Pacific Walker Circulation is a predominant source of regional variability, particularly since 1850. Our results demonstrate rapid adjustments in global precipitation and atmospheric circulation patternswithin decades-as the planet warms and cools.</t>
  </si>
  <si>
    <t>[Konecky, Bronwen L.; Falster, Georgina M.] Washington Univ, Dept Earth Environm &amp; Planetary Sci, St Louis, MO 63110 USA; [McKay, Nicholas P.] No Arizona Univ, Sch Earth &amp; Sustainabil, Flagstaff, AZ USA; [Falster, Georgina M.] Australian Natl Univ, Res Sch Earth Sci, Canberra, ACT, Australia; [Falster, Georgina M.] Australian Natl Univ, ARC Ctr Excellence Climate Extremes, Canberra, ACT, Australia; [Stevenson, Samantha L.] Univ Calif Santa Barbara, Bren Sch Environm Sci &amp; Management, Santa Barbara, CA USA; [Fischer, Matt J.] ANSTO, NST Environm, Sydney, NSW, Australia; [Atwood, Alyssa R.] Florida State Univ, Dept Earth Ocean &amp; Atmospher Sci, Tallahassee, FL USA; [Thompson, Diane M.] Univ Arizona, Dept Geosci, Tucson, AZ USA; [Jones, Matthew D.] Univ Nottingham, Sch Geog, Nottingham, England; [Tyler, Jonathan J.] Univ Adelaide, Sch Phys Chem &amp; Earth Sci, Adelaide, SA, Australia; [DeLong, Kristine L.] Louisiana State Univ, Coastal Studies Inst, Dept Geog &amp; Anthropol, Baton Rouge, LA USA; [Martrat, Belen] Inst Environm Assessment &amp; Water Res IDAEA CSIC, Dept Environm Chem, Barcelona, Spain; [Thomas, Elizabeth K.] SUNY Buffalo, Dept Geol, Buffalo, NY USA; [Conroy, Jessica L.] Univ Illinois, Dept Geol, Dept Plant Biol, Urbana, IL USA; [Dee, Sylvia G.] Rice Univ, Dept Earth Environm &amp; Planetary Sci, Houston, TX USA; [Jonkers, Lukas] Bremen Univ, MARUM Ctr Marine Environm Sci, Bremen, Germany; [Churakova (Sidorova), Olga V.] Siberian Fed Univ, Inst Ecol &amp; Geog, Krasnoyarsk, Russia; [Churakova (Sidorova), Olga V.] Swiss Fed Inst Forest Snow &amp; Landscape Res WSL, Dept Forest Dynam, Birmensdorf, Switzerland; [Kern, Zoltan] Eotvos Lorand Res Network, Res Ctr Astron &amp; Earth Sci, Inst Geol &amp; Geochem Res, Budapest, Hungary; [Kern, Zoltan] MTA Ctr Excellence, CSFK, Budapest, Hungary; [Opel, Thomas] Helmholtz Ctr Polar &amp; Marine Res, Alfred Wegener Inst, Polar Terr Environm Syst, Potsdam, Germany; [Porter, Trevor J.] Univ Toronto Mississauga, Dept Geog Geomat &amp; Environm, Mississauga, ON, Canada; [Sayani, Hussein R.] Georgia Inst Technol, Sch Earth &amp; Atmospher Sci, Atlanta, GA USA; [Skrzypek, Grzegorz] Univ Western Australia, Sch Biol Sci, West Australian Biogeochem Ctr, Perth, WA, Australia</t>
  </si>
  <si>
    <t>Washington University (WUSTL); Northern Arizona University; Australian National University; Australian National University; University of California System; University of California Santa Barbara; Australian Nuclear Science &amp; Technology Organisation; State University System of Florida; Florida State University; University of Arizona; University of Nottingham; University of Adelaide; Louisiana State University System; Louisiana State University; Consejo Superior de Investigaciones Cientificas (CSIC); CSIC - Centro de Investigacion y Desarrollo Pascual Vila (CID-CSIC); CSIC - Instituto de Diagnostico Ambiental y Estudios del Agua (IDAEA); State University of New York (SUNY) System; State University of New York (SUNY) Buffalo; University of Illinois System; University of Illinois Urbana-Champaign; Rice University; University of Bremen; Siberian Federal University; Swiss Federal Institutes of Technology Domain; Swiss Federal Institute for Forest, Snow &amp; Landscape Research; Hungarian Research Network; Hungarian Academy of Sciences; HUN-REN Research Centre for Astronomy &amp; Earth Sciences; Institute for Geological &amp; Geochemical Research - HAS; Hungarian Academy of Sciences; Hungarian Research Network; HUN-REN Research Centre for Astronomy &amp; Earth Sciences; Helmholtz Association; Alfred Wegener Institute, Helmholtz Centre for Polar &amp; Marine Research; University of Toronto; University Toronto Mississauga; University System of Georgia; Georgia Institute of Technology; University of Western Australia</t>
  </si>
  <si>
    <t>Konecky, BL (corresponding author), Washington Univ, Dept Earth Environm &amp; Planetary Sci, St Louis, MO 63110 USA.</t>
  </si>
  <si>
    <t>bkonecky@wustl.edu</t>
  </si>
  <si>
    <t>IPO, PAGES/JXY-7546-2024; McKay, Nicholas Paul/JYQ-5440-2024; Thompson, Diane M/O-7629-2017; Martrat, Belen/I-5952-2015; Cartapanis, Olivier/AAM-9779-2021; Jonkers, Lukas/H-6314-2011</t>
  </si>
  <si>
    <t>Martrat, Belen/0000-0001-9904-9178; Cartapanis, Olivier/0000-0001-8542-6884; Konecky, Bronwen/0000-0003-1647-2865; Churakova (Sidorova), Olga/0000-0002-1687-1201; Tyler, Jonathan/0000-0001-8046-0215; Skrzypek, Grzegorz/0000-0002-5686-2393; Jones, Matthew/0000-0001-8116-5568; Sicre, Marie-Alexandrine/0000-0002-5015-1400; Falster, Georgina/0000-0001-8567-7413; McKay, Nicholas/0000-0003-3598-5113; Orsi, Anais/0000-0001-5511-3940</t>
  </si>
  <si>
    <t>Swiss Academy of Sciences; US National Science Foundation; Chinese Academy of Sciences; NSF-AGS [1805141, PRF 1433408, 1805143]; David and Lucile Packard Foundation Fellowship in Science and Engineering; Australian Research Council [DP170100557, DP190102782, LP210300691, FT160100029]; Centre of Excellence for Climate Extremes [CE170100023]; NSF-CAREER [2145725, 1945479, 2044616, 1847791]; NSF [2103035, 2002444, 1931242, 2002460]; South Central Climate Adaptation Science Center [G19AC00086]; NSF-EAR PRF [1349595]; NSF-EAR-IF [1652274]; NSF-OPP [1504267, 1737716]; National Oceanic and Atmospheric Administration [NA18OAR4310427]; PalMod, the German palaeoclimate modelling initiative, part of the Research for Sustainable Development initiative - German Federal Ministry of Education and Research (BMBF) [01LP1922A]; RSF [21-1700006]; German Research Foundation [OP217/21, OP217/3-1, OP217/4-1]; Natural Sciences and Engineering Research Council of Canada Discovery Grant [RGPIN-2016-06730, RGPIN-2021-03888]; Special Research Initiative for the Australian Centre for Excellence in Antarctic Science [SR200100008]; Australian Antarctic Science (AAS) [757, 4061, 4062, 4537]; [NSF-1948746]; [NSF-OCE-2202794]; [NSF-2102931]; [NSF-1805702]; [RYC-2013-14073]; [LINKA20102]; [CEX2018-000794-S]</t>
  </si>
  <si>
    <t>Swiss Academy of Sciences; US National Science Foundation(National Science Foundation (NSF)); Chinese Academy of Sciences(Chinese Academy of Sciences); NSF-AGS; David and Lucile Packard Foundation Fellowship in Science and Engineering; Australian Research Council(Australian Research Council); Centre of Excellence for Climate Extremes; NSF-CAREER(National Science Foundation (NSF)NSF - Office of the Director (OD)); NSF(National Science Foundation (NSF)); South Central Climate Adaptation Science Center; NSF-EAR PRF; NSF-EAR-IF(National Science Foundation (NSF)NSF - Directorate for Geosciences (GEO)); NSF-OPP(National Science Foundation (NSF)NSF - Directorate for Geosciences (GEO)); National Oceanic and Atmospheric Administration(National Oceanic Atmospheric Admin (NOAA) - USA); PalMod, the German palaeoclimate modelling initiative, part of the Research for Sustainable Development initiative - German Federal Ministry of Education and Research (BMBF)(Federal Ministry of Education &amp; Research (BMBF)); RSF(Russian Science Foundation (RSF)); German Research Foundation(German Research Foundation (DFG)); Natural Sciences and Engineering Research Council of Canada Discovery Grant(Natural Sciences and Engineering Research Council of Canada (NSERC)); Special Research Initiative for the Australian Centre for Excellence in Antarctic Science; Australian Antarctic Science (AAS); ; ; ; ; ; ;</t>
  </si>
  <si>
    <t>Iso2k is a contribution to Phase 3 and 4 of the PAGES 2k Network. PAGES received support from the Swiss Academy of Sciences, the US National Science Foundation and the Chinese Academy of Sciences. Support for this work includes NSF-AGS 1805141, NSF-AGS PRF 1433408 and a David and Lucile Packard Foundation Fellowship in Science and Engineering to B.L.K.; NSF-1948746 to N.P.M.; Australian Research Council through a Discovery Project (DP170100557) and the Centre of Excellence for Climate Extremes (CE170100023) to G.M.F.; NSF-AGS 1805143 and NSF-OCE-2202794 to S.L.S.; NSF-CAREER 2145725, NSF 2103035 and NSF 2002444 to A.R.A.; NSF-CAREER 1945479, NSF 1931242 and NSF 2002460 to D.M.T.; Australian Research Council Discovery Project DP190102782 to J.J.T.; South Central Climate Adaptation Science Center Cooperative Agreement G19AC00086, NSF-2102931 and NSF-1805702 to K.L.D.; RYC-2013-14073 programme and LINKA20102 and CEX2018-000794-S projects to B.M.; NSF-EAR PRF 1349595, NSF-EAR-IF 1652274, NSF-OPP 1504267, NSF-OPP 1737716 and NSF-CAREER 2044616 to E.K.T.; NSF-CAREER 1847791 to J.L.C.; National Oceanic and Atmospheric Administration award number NA18OAR4310427 to S.G.D.; PalMod, the German palaeoclimate modelling initiative, part of the Research for Sustainable Development initiative funded by the German Federal Ministry of Education and Research (BMBF; 01LP1922A) to L.J.; RSF project 21-1700006 to O.V.C.(S.); German Research Foundation grants OP217/21, OP217/3-1, OP217/4-1 to T.O.; Natural Sciences and Engineering Research Council of Canada Discovery Grant RGPIN-2016-06730 to T.J.P.; Australian Research Council Project (LP210300691) to G.S.; Australian Research Council through a Future Fellowship (FT160100029), Special Research Initiative for the Australian Centre for Excellence in Antarctic Science (SR200100008) and the Centre of Excellence for Climate Extremes (CE170100023) to N.J.A; Natural Sciences and Engineering Research Council of Canada Discovery Grant RGPIN-2021-03888 to A.J.O.; and Australian Antarctic Science (AAS) grants 757, 4061, 4062 and 4537 to M.C. and A.M.</t>
  </si>
  <si>
    <t>10.1038/s41561-023-01291-3</t>
  </si>
  <si>
    <t>KJ0W7</t>
  </si>
  <si>
    <t>WOS:001096189800001</t>
  </si>
  <si>
    <t>Larkin, NR; Lomax, DR; Evans, M; Nicholls, E; Dey, S; Boomer, I; Copestake, P; Bown, P; Riding, JB; Withers, D; Davis, J</t>
  </si>
  <si>
    <t>Larkin, Nigel R.; Lomax, Dean R.; Evans, Mark; Nicholls, Emma; Dey, Steven; Boomer, Ian; Copestake, Philip; Bown, Paul; Riding, James B.; Withers, Darren; Davis, Joseph</t>
  </si>
  <si>
    <t>Excavating the 'Rutland Sea Dragon': The largest ichthyosaur skeleton ever found in the UK (Whitby Mudstone Formation, Toarcian, Lower Jurassic)</t>
  </si>
  <si>
    <t>PROCEEDINGS OF THE GEOLOGISTS ASSOCIATION</t>
  </si>
  <si>
    <t>Ichthyopterygia; Lower Jurassic; Temnodontosaurus; Rutland; Ichthyosaur; Toarcian</t>
  </si>
  <si>
    <t>An almost complete ichthyosaur skeleton 10 m long was discovered in January 2021 at the Rutland Water Nature Reserve in the county of Rutland, UK. This was excavated by a small team of palaeontologists in the summer of the same year. Nicknamed 'The Rutland Sea Dragon', this almost fully articulated skeleton is an example of the largebodied Early Jurassic ichthyosaur Temnodontosaurus. The specimen was analysed in situ, recorded (including a 3D scan using photogrammetry), excavated and removed from the site in a series of large plaster field jackets to preserve taphonomic information. Significantly, the specimen is the largest ichthyosaur skeleton to have been found in the UK and it may be the first recorded example of Temnodontosaurus trigonodon to be found in the country, extending its known geographic range significantly. It also represents the most complete skeleton of a large prehistoric reptile to have been found in the UK. We provide an account of the discovery and describe the methods used for excavating, recording and lifting the large skeleton which will aid palaeontologists facing similar challenges when collecting extensive remains of large and fragile fossil vertebrates. We also discuss the preliminary research findings and the global impact this discovery has had through public engagement. (c) 2023 The Geologists' Association. Published by Elsevier Ltd. This is an open access article under the CC BY license (http://creativecommons.org/licenses/by/4.0/).</t>
  </si>
  <si>
    <t>[Larkin, Nigel R.] Univ Reading, Sch Biol Sci, Reading RG6 6EX, England; [Lomax, Dean R.] Univ Manchester, Dept Earth &amp; Environm Sci, Oxford Rd, Manchester M13 9PL, England; [Lomax, Dean R.] Univ Bristol, Sch Earth Sci, Life Sci Bldg,Tyndall Ave, Bristol BS8 1TQ, England; [Evans, Mark] British Antarctic Survey, High Cross Madingley Rd, Cambridge CB3 0ET, England; [Evans, Mark] Univ Leicester, Sch Geog Geol &amp; Environm, Ctr Palaeobiol &amp; Biosphere Evolut, Leicester LE1 7RH, England; [Nicholls, Emma] Univ Oxford, Museum Nat Hist, Pk Rd, Oxford OX1 3PW, England; [Dey, Steven] ThinkSee3D, 10 Swan St, Eynsham OX29 4HU, England; [Boomer, Ian] Univ Birmingham, Sch GEES, Geosyst Res Grp, Birmingham B15 2TT, England; [Copestake, Philip] Merlin Energy Resources Ltd, Newberry House,New St, Ledbury HR8 2EJ, England; [Bown, Paul] UCL, Earth Sci, London WC1E 6BT, England; [Riding, James B.] British Geol Survey, Nottingham NG12 5GG, England; [Withers, Darren] Peterborough Geol &amp; Palaeontol Grp, Peterborough, England; [Davis, Joseph] Leicestershire &amp; Rutland Wildlife Trust, 9 Soar Ln, Leicester LE3 5DE, England</t>
  </si>
  <si>
    <t>University of Reading; University of Manchester; University of Bristol; UK Research &amp; Innovation (UKRI); Natural Environment Research Council (NERC); NERC British Antarctic Survey; University of Leicester; University of Oxford; University of Birmingham; University of London; University College London; UK Research &amp; Innovation (UKRI); Natural Environment Research Council (NERC); NERC British Geological Survey</t>
  </si>
  <si>
    <t>Lomax, DR (corresponding author), Univ Manchester, Dept Earth &amp; Environm Sci, Oxford Rd, Manchester M13 9PL, England.</t>
  </si>
  <si>
    <t>dean.lomax@manchester.ac.uk</t>
  </si>
  <si>
    <t>Bown, Paul/C-5235-2011</t>
  </si>
  <si>
    <t>Bown, Paul/0000-0001-6777-4463</t>
  </si>
  <si>
    <t>Anglian Water; Pilgrim Trust; Rutland and Leicestershire Wildlife Trust; Rutland County Council; Curry Fund of the Geologists Association; Palaeontographical Society and Museum Development East Midlands; Royal Commission</t>
  </si>
  <si>
    <t>With thanks to: Additional members of the excavation team comprising David Savory and Mick Beeson (of the Peterborough Geological and Palaeontological Group) ; Emily Swaby (the Open University) ; Paul de la Salle (The Etches Collection) ; Carol Skiggs; Dr Tom Harvey (University of Leicester) ; Natalie Turner; and Mat-thew Butler and Dawn Butler. Phil Rye made the scale drawing of the skeleton. Additional members of the team assisted with the fossil hunt in August 2022 and include Dennis Gamble, Richard Forrest, Neville Hollingworth and Sally Hollingworth. The excavation could not have taken place without the kind assistance of Vicky Ward (University of Leicester) , the Rutland and Leicestershire Wildlife Trust, Anglian Water, Rutland Water Nature Reserve and Rutland County Council. We would especially like to thank Joe Davis, Joelle Woolley, Jake Williams, Claire Hornsby, Robert Clayton and Ari Volanakis for all of their hard work and enthusiasm. Funding was provided by Anglian Water, The Pilgrim Trust, the Rutland and Leicestershire Wildlife Trust, Rutland County Council, The Curry Fund of the Geologists Association, The Palaeontographical Society and Museum Development East Midlands. James B. Riding publishes with the approval of the Director, British Geological Survey (NERC) . D.R.L. would like to acknowledge The Royal Commission for the Exhibition of 1851 for their generous funding through a Research Fellowship. Finally, many thanks to Sue Beardmore and Mike Benton who provided detailed reviews and comments that helped to improve this manuscript.</t>
  </si>
  <si>
    <t>0016-7878</t>
  </si>
  <si>
    <t>P GEOLOGIST ASSOC</t>
  </si>
  <si>
    <t>Proc. Geol. Assoc.</t>
  </si>
  <si>
    <t>OCT</t>
  </si>
  <si>
    <t>5-6</t>
  </si>
  <si>
    <t>10.1016/j.pgeola.2023.09.003</t>
  </si>
  <si>
    <t>Z0KJ6</t>
  </si>
  <si>
    <t>Green Published, hybrid, Green Accepted</t>
  </si>
  <si>
    <t>WOS:001109056100001</t>
  </si>
  <si>
    <t>Geyer, A; Di Roberto, A; Smelliec, JL; de Vries, MV; Pantere, KS; Martinf, AP; Cooperg, JR; Young, D; Pompilio, M; Kyle, PR; Blankenship, D</t>
  </si>
  <si>
    <t>Geyer, A.; Di Roberto, A.; Smelliec, J. L.; de Vries, M. Van Wyk; Pantere, K. S.; Martinf, A. P.; Cooperg, J. R.; Young, D.; Pompilio, M.; Kyle, P. R.; Blankenship, D.</t>
  </si>
  <si>
    <t>Volcanism in Antarctica: An assessment of the present state of research and future directions</t>
  </si>
  <si>
    <t>JOURNAL OF VOLCANOLOGY AND GEOTHERMAL RESEARCH</t>
  </si>
  <si>
    <t>Volcanism; Volcanic Hazard; Palaeoenvironments; Ice Sheet; Tectono-Magmatism; Geothermal heat flow; Survival of life; Glaciovolcanism</t>
  </si>
  <si>
    <t>MARIE-BYRD LAND; KING-GEORGE-ISLAND; SOUTH SHETLAND ISLANDS; LARGE IGNEOUS PROVINCE; JAMES-ROSS-ISLAND; NORTHERN VICTORIA LAND; SEA-LEVEL RISE; PENINSULA ICE-SHEET; LAVA-FED DELTAS; EREBUS VOLCANO</t>
  </si>
  <si>
    <t>Over the past decades, significant efforts have been made to understand the nature, dynamics and evolution of volcanic systems. In parallel, the continuous demographic expansion and extensive urbanization of volcanic areas have increased the exposure of our society to these natural phenomena. This increases the need to improve our capacities to accurately assess projected volcanic hazards and their potential socioeconomic and environmental impact, and Antarctica and the sub-Antarctic islands are no exception. More than a hundred volcanoes have been identified in Antarctica, some of which are entirely buried beneath the ice sheet and others as submarine volcanoes. Of these, at least eight large (basal diameters &gt; c. 20-30 km) volcanoes are known to be active and pose a considerable threat to scientific and ever-increasing tourism activities being carried out in the region. Despite the scientific and socioeconomic interest, many aspects of the past volcanic activity and magmatic processes in Antarctica, and current volcanic hazards and risks, remain unknown. Moreover, many of Antarctica's volcanoes preserve a remarkable history of the eruptive environment, from which multiple parameters of past configurations of the Antarctic ice sheet (AIS) can be deduced. Given the critical role that the AIS plays in regulating Earth's climate, Antarctica's volcanoes therefore can be regarded as the ground truth for current models of past climates derived from modelling and studies of marine sediments. Here, we provide a succinct overview of the evolution of volcanism and magmatism in Antarctica and the sub-Antarctic region over the past 200 million years. Then, we briefly review the current state of knowledge of the most crucial aspects regarding Antarctica's volcanic and magmatic processes, and the contributions volcanic studies have made to our understanding of ice sheet history and evolution, geothermal heat flow, as well as present-day and future volcanic hazard and risk. A principal objective is to highlight the problems and critical limitations of the current state of knowledge and to provide suggestions for future potential directions of volcanic-driven investigations in Antarctica. Finally, we also discuss and assess the importance and scope of education and outreach activities specifically relating to Antarctic volcanism, and within the context of broader polar sciences.</t>
  </si>
  <si>
    <t>[Geyer, A.] Geosci Barcelona CSIC, Lluis Sole Sabaris S-N, Barcelona 08028, Spain; [Di Roberto, A.; Pompilio, M.] Ist Nazl Geofis &amp; Vulcanol, Sez Pisa, Via C Battisti 53, I-56125 Pisa, Italy; [Smelliec, J. L.] Univ Leicester, Sch Geog Geol &amp; Environm, Leicester LE1 7RH, England; [de Vries, M. Van Wyk] Univ Oxford, Sch Geog &amp; Environm, Oxford OX1 3QY, England; [Pantere, K. S.] Bowling Green State Univ, Sch Earth Environm &amp; Soc, Bowling Green, OH 43403 USA; [Martinf, A. P.] GNS Sci, Private Bag 1930, Dunedin, New Zealand; [Cooperg, J. R.] Cornell Univ, Dept Earth &amp; Atmospher Sci, Ithaca, NY 14850 USA; [Young, D.; Blankenship, D.] Univ Texas Austin, Inst Geophys, Austin, TX 78758 USA; [Kyle, P. R.] New Mexico Inst Min &amp; Technol, Dept Earth &amp; Environm Sci, Socorro, NM 87801 USA</t>
  </si>
  <si>
    <t>Istituto Nazionale Geofisica e Vulcanologia (INGV); University of Leicester; University of Oxford; University System of Ohio; Bowling Green State University; GNS Science - New Zealand; Cornell University; University of Texas System; University of Texas Austin; New Mexico Institute of Mining Technology</t>
  </si>
  <si>
    <t>Geyer, A (corresponding author), Geosci Barcelona CSIC, Lluis Sole Sabaris S-N, Barcelona 08028, Spain.</t>
  </si>
  <si>
    <t>ageyer@geo3bcn.csic.es</t>
  </si>
  <si>
    <t>Geyer, Adelina/C-9490-2011; Geyer, Adelina/A-6624-2012</t>
  </si>
  <si>
    <t>Martin, A. P./0000-0002-4676-8344; Geyer, Adelina/0000-0002-8803-6504</t>
  </si>
  <si>
    <t>0377-0273</t>
  </si>
  <si>
    <t>1872-6097</t>
  </si>
  <si>
    <t>J VOLCANOL GEOTH RES</t>
  </si>
  <si>
    <t>J. Volcanol. Geotherm. Res.</t>
  </si>
  <si>
    <t>10.1016/j.jvolgeores.2023.107941</t>
  </si>
  <si>
    <t>Y9QF3</t>
  </si>
  <si>
    <t>WOS:001108526200001</t>
  </si>
  <si>
    <t>Larsen, S; Coleine, C; Albanese, D; Stegen, JC; Selbmann, L; Donati, C</t>
  </si>
  <si>
    <t>Larsen, Stefano; Coleine, Claudia; Albanese, Davide; Stegen, James C.; Selbmann, Laura; Donati, Claudio</t>
  </si>
  <si>
    <t>Geology and elevation shape bacterial assembly in Antarctic endolithic communities</t>
  </si>
  <si>
    <t>Antarctica; Endolithic microbiome; Altitude; Sandstone; Granite; Community assembly; Shotgun metagenomics</t>
  </si>
  <si>
    <t>MCMURDO DRY VALLEYS; MICROBIAL DIVERSITY; SOIL BACTERIAL; HABITABILITY; ANALOG; COLD; MARS; ICE</t>
  </si>
  <si>
    <t>Ice free areas of continental Antarctica are among the coldest and driest environments on Earth, and yet, they support surprisingly diverse and highly adapted microbial communities. Endolithic growth is one of the key adaptations to such extreme environments and often represents the dominant life-form. Despite growing scientific interest, little is known of the mechanisms that influence the assembly of endolithic microbiomes across these harsh environments. Here, we used metagenomics to examine the diversity and assembly of endolithic bacterial communities across Antarctica within different rock types and over a large elevation range. While granite supported richer and more heterogeneous communities than sandstone, elevation had no apparent effect on taxonomic richness, regardless of rock type. Conversely, elevation was clearly associated with turnover in community composition, with the deterministic process of variable selection driving microbial assembly along the elevation gradient. The turnover associated with elevation was modulated by geology, whereby for a given elevation difference, turnover was consistently larger between communities inhabiting different rock types. Overall, selection imposed by elevation and geology appeared stronger than turnover related to other spatially structured environmental drivers. Our findings indicate that at the cold-arid limit of life on Earth, geology and elevation are key determinants of endolithic bacterial heterogeneity. This also suggests that warming temperatures may threaten the persistence of such extreme-adapted organisms.</t>
  </si>
  <si>
    <t>[Larsen, Stefano; Albanese, Davide; Donati, Claudio] Fdn Edmund Mach, Res &amp; Innovat Ctr, Via E Mach 1, I-38098 San Michele All Adige, Italy; [Coleine, Claudia; Selbmann, Laura] Univ Tuscia, Dept Ecol &amp; Biol Sci, Viterbo, Italy; [Stegen, James C.] Pacific Northwest Natl Lab, Richland, WA USA; [Selbmann, Laura] Italian Antarctic Natl Museum MNA, Mycol Sect, Genoa, Italy</t>
  </si>
  <si>
    <t>Fondazione Edmund Mach; Tuscia University; United States Department of Energy (DOE); Pacific Northwest National Laboratory</t>
  </si>
  <si>
    <t>Larsen, S (corresponding author), Fdn Edmund Mach, Res &amp; Innovat Ctr, Via E Mach 1, I-38098 San Michele All Adige, Italy.</t>
  </si>
  <si>
    <t>stefano.larsen@fmach.it</t>
  </si>
  <si>
    <t>Donati, Claudio/AAF-1246-2020; Coleine, Claudia/AAE-1889-2020; Stegen, James/Q-3078-2016</t>
  </si>
  <si>
    <t>Coleine, Claudia/0000-0002-9289-6179; Stegen, James/0000-0001-9135-7424</t>
  </si>
  <si>
    <t>European Commission [702057]; Italian National Antarctic Research Program; Italian Antarctic National Museum (MNA)</t>
  </si>
  <si>
    <t>European Commission(European Union (EU)European Commission Joint Research Centre); Italian National Antarctic Research Program; Italian Antarctic National Museum (MNA)</t>
  </si>
  <si>
    <t>C.C. is supported by the European Commission under the Marie Sklodowska-Curie Grant Agreement No. 702057 (DRYLIFE). C.C. and L. S. wish to thank the Italian National Antarctic Research Program for funding sampling campaigns and research activities in Italy in the frame of PNRA projects. The Italian Antarctic National Museum (MNA) is kindly acknowledged for financial support to the Mycological Section of the MNA and for providing rock samples used in this study stored in the Culture Collection of Antarctic fungi (MNA-CCFEE), University of Tuscia, Italy. H.P Lovecraft is acknowledged for his work on Antarctic mountains.</t>
  </si>
  <si>
    <t>JAN 10</t>
  </si>
  <si>
    <t>10.1016/j.scitotenv.2023.168050</t>
  </si>
  <si>
    <t>Y8MZ0</t>
  </si>
  <si>
    <t>WOS:001107759400001</t>
  </si>
  <si>
    <t>Nguyen, PT; Lee, S; Jeong, J; Kim, J; Han, DW; Kim, IC; Lee, JH; Park, J; Kim, JH</t>
  </si>
  <si>
    <t>Nguyen, Phuong Thi; Lee, Seungyeon; Jeong, Jihye; Kim, Jihun; Han, Dong-Won; Kim, Il-Chan; Lee, Jun Hyuck; Park, Jisoo; Kim, Jin-Hyoung</t>
  </si>
  <si>
    <t>Complete mitochondrial genome of Trematomus newnesi (Perciformes, Nototheniidae)</t>
  </si>
  <si>
    <t>MITOCHONDRIAL DNA PART B-RESOURCES</t>
  </si>
  <si>
    <t>Trematomus newnesi; mitochondrial genome; Antarctic fish; Notothenoid</t>
  </si>
  <si>
    <t>GENE ORGANIZATION; ANTARCTIC FISH; CHANNICHTHYIDAE; ICEFISH; EVOLUTION</t>
  </si>
  <si>
    <t>The complete mitochondrial genome of Trematomus newnesi was sequenced using an Illumina platform. The 18,602 bp mitogenome contains 13 protein-coding genes, two rRNAs, and 23 tRNAs (tRNA(Met) is duplicated). The eight stop codons are TAA, TAG, CTT, GTA, AAT, ACT, AGG, and TTA. Two start codons ATG and GTG are present. The GC content is 44.4% and AT content is 55.6%. A phylogenetic tree was generated using 13 species from three families. The results showed that T. newnesi is closely related to Pagothenia borchgrevinki in Nototheniidae. This study provides fundamental data for further genetic evolutionary studies on T. newnesi.</t>
  </si>
  <si>
    <t>[Nguyen, Phuong Thi; Lee, Seungyeon; Jeong, Jihye; Kim, Jihun; Han, Dong-Won; Kim, Il-Chan; Kim, Jin-Hyoung] Korea Polar Res Inst, Div Life Sci, Incheon, South Korea; [Nguyen, Phuong Thi; Lee, Seungyeon; Kim, Jihun; Lee, Jun Hyuck; Park, Jisoo; Kim, Jin-Hyoung] Univ Sci &amp; Technol, Polar Sci, Daejeon, South Korea; [Lee, Jun Hyuck] Korea Polar Res Inst, Res Unit Cryogen Novel Mat, Incheon, South Korea; [Park, Jisoo] Korea Polar Res Inst, Div Ocean Sci, Inchon, South Korea</t>
  </si>
  <si>
    <t>Korea Polar Research Institute (KOPRI); University of Science &amp; Technology (UST); Korea Polar Research Institute (KOPRI); Korea Institute of Ocean Science &amp; Technology (KIOST); Korea Polar Research Institute (KOPRI)</t>
  </si>
  <si>
    <t>Kim, JH (corresponding author), Korea Polar Res Inst, Div Life Sci, Incheon, South Korea.</t>
  </si>
  <si>
    <t>kimjh@kopri.re.kr</t>
  </si>
  <si>
    <t>We thank PHYZEN Co. for their assistance with software application and analysis.</t>
  </si>
  <si>
    <t>2380-2359</t>
  </si>
  <si>
    <t>MITOCHONDRIAL DNA B</t>
  </si>
  <si>
    <t>Mitochondrial DNA Part B-Resour.</t>
  </si>
  <si>
    <t>10.1080/23802359.2023.2194456</t>
  </si>
  <si>
    <t>Genetics &amp; Heredity</t>
  </si>
  <si>
    <t>X9UU7</t>
  </si>
  <si>
    <t>WOS:001101834200001</t>
  </si>
  <si>
    <t>Wang, H; Miao, XP; Zhai, C; Chen, YL; Lin, ZZ; Zhou, XW; Guo, MD; Chai, ZY; Wang, RF; Shen, WF; Li, HB; Hu, CG</t>
  </si>
  <si>
    <t>Wang, Han; Miao, Xiaopu; Zhai, Cong; Chen, Yulu; Lin, Zuzeng; Zhou, Xiaowei; Guo, Mengdi; Chai, Zhongyan; Wang, Ruifen; Shen, Wanfu; Li, Hongbin; Hu, Chunguang</t>
  </si>
  <si>
    <t>Mechanistic Insights into the Folding Mechanism of Region V in Ice-Binding Protein Secreted by Marinomonas primoryensis Revealed by Single-Molecule Force Spectroscopy</t>
  </si>
  <si>
    <t>LANGMUIR</t>
  </si>
  <si>
    <t>RTX PROTEINS; TOXINS; TRANSLOCATION; DOMAIN; CELLS</t>
  </si>
  <si>
    <t>The Gram-negative bacteria Marinomonas primoryensis secrete an ice-binding protein (MpIBP), which is a vital bacterial adhesin facilitating the adaptation and survival of the bacteria in the harsh Antarctic environment. The C-terminal region of MpIBP, known as region V (RV), is the first domain to be exported into the Ca2+-rich extracellular environment and acts as a folding nucleus for the entire adhesin. However, the mechanisms underlying the secretion and folding of RV remain poorly understood. Here, we used optical tweezers (OT) to investigate the secretion and folding mechanisms of RV at the single-molecule level. In the absence of Ca2+, apo-RV remains unstructured, while Ca2+-bound RV folds into a mechanically stable structure. The folding of RV could occur via the formation of an intermediate state. Even though this folding intermediate is hidden during the folding process of wild type RV in vitro, it likely forms in vivo and plays an important role in facilitating protein secretion. Additionally, our results revealed that the N-terminal part of the RV can significantly stabilize its C-terminal structure. Our study paves the way for further investigations into the structure and functions of MpIBP that help bacteria survive in challenging environments.</t>
  </si>
  <si>
    <t>[Wang, Han; Miao, Xiaopu; Zhai, Cong; Chen, Yulu; Lin, Zuzeng; Zhou, Xiaowei; Guo, Mengdi; Chai, Zhongyan; Wang, Ruifen; Shen, Wanfu; Hu, Chunguang] Tianjin Univ, Sch Precis Instrument &amp; Optoelect Engn, State Key Lab Precis Measuring Technol &amp; Instrume, Tianjin 300072, Peoples R China; [Wang, Han; Li, Hongbin] Univ British Columbia, Dept Chem, Vancouver, BC V6T 1Z1, Canada</t>
  </si>
  <si>
    <t>Tianjin University; University of British Columbia</t>
  </si>
  <si>
    <t>Wang, H; Hu, CG (corresponding author), Tianjin Univ, Sch Precis Instrument &amp; Optoelect Engn, State Key Lab Precis Measuring Technol &amp; Instrume, Tianjin 300072, Peoples R China.;Wang, H; Li, HB (corresponding author), Univ British Columbia, Dept Chem, Vancouver, BC V6T 1Z1, Canada.</t>
  </si>
  <si>
    <t>hanwang93@tju.edu.cn; hongbin@chem.ubc.ca; cghu@tju.edu.cn</t>
  </si>
  <si>
    <t>Shen, Wanfu/V-1933-2017</t>
  </si>
  <si>
    <t>Shen, Wanfu/0000-0002-3932-5457</t>
  </si>
  <si>
    <t>National Natural Science Foundation of China (NSFC) [61927808, 52075383]; China Postdoctoral Science Foundation [2022M712361]</t>
  </si>
  <si>
    <t>National Natural Science Foundation of China (NSFC)(National Natural Science Foundation of China (NSFC)); China Postdoctoral Science Foundation(China Postdoctoral Science Foundation)</t>
  </si>
  <si>
    <t>This work is supported by National Natural Science Foundation of China (NSFC) (61927808, 52075383); China Postdoctoral Science Foundation (2022M712361).</t>
  </si>
  <si>
    <t>AMER CHEMICAL SOC</t>
  </si>
  <si>
    <t>1155 16TH ST, NW, WASHINGTON, DC 20036 USA</t>
  </si>
  <si>
    <t>0743-7463</t>
  </si>
  <si>
    <t>1520-5827</t>
  </si>
  <si>
    <t>Langmuir</t>
  </si>
  <si>
    <t>10.1021/acs.langmuir.3c02257</t>
  </si>
  <si>
    <t>Chemistry, Multidisciplinary; Chemistry, Physical; Materials Science, Multidisciplinary</t>
  </si>
  <si>
    <t>Chemistry; Materials Science</t>
  </si>
  <si>
    <t>Y4OQ0</t>
  </si>
  <si>
    <t>WOS:001105075100001</t>
  </si>
  <si>
    <t>McCormack, FS; Roberts, JL; Kulessa, B; Aitken, A; Dow, CF; Bird, L; Galton-Fenzi, BK; Hochmuth, K; Jones, RS; Mackintosh, AN; McArthur, K</t>
  </si>
  <si>
    <t>McCormack, Felicity S.; Roberts, Jason L.; Kulessa, Bernd; Aitken, Alan; Dow, Christine F.; Bird, Lawrence; Galton-Fenzi, Benjamin K.; Hochmuth, Katharina; Jones, Richard S.; Mackintosh, Andrew N.; McArthur, Koi</t>
  </si>
  <si>
    <t>Assessing the potential for ice flow piracy between the Totten and Vanderford glaciers, East Antarctica</t>
  </si>
  <si>
    <t>SURFACE MASS-BALANCE; PINE ISLAND BAY; SOUTHERN-OCEAN; SNOW ACCUMULATION; THWAITES GLACIER; WEST ANTARCTICA; WATER-PIRACY; LAW DOME; SHEET; STREAM</t>
  </si>
  <si>
    <t>The largest regional drivers of current surface elevation increases in the Antarctic Ice Sheet are associated with ice flow reconfiguration in previously active ice streams, highlighting the important role of ice dynamics in mass balance calculations. Here, we investigate controls on the evolution of the flow configuration of the Vanderford and Totten glaciers - key outlet glaciers of the Aurora Subglacial Basin (ASB) - the most rapidly thinning region of the East Antarctic Ice Sheet (EAIS). We synthesise factors that influence the ice flow in this region and use an ice sheet model to investigate the sensitivity of the catchment divide location to changes in surface elevation due to thinning at the Vanderford Glacier (VG) associated with ongoing retreat and thickening at the Totten Glacier (TG) associated with an intensification of the east-west snowfall gradient. The present-day catchment divide between the Totten and Vanderford glaciers is not constrained by the geology or topography but is determined by the large-scale ice sheet geometry and its long-term evolution in response to climate forcing. Furthermore, the catchment divide migrates under relatively small changes in surface elevation, leading to ice flow and basal water piracy from the Totten to the Vanderford Glacier. Our findings show that ice flow reconfigurations occur not only in regions of West Antarctica like the Siple Coast but also in the east, motivating further investigations of past, and the potential for future, ice flow reconfigurations around the whole Antarctic coastline. Modelling of ice flow and basal water piracy may require coupled ice sheet thermomechanical and subglacial hydrology models constrained by field observations of subglacial conditions. Our results have implications for ice sheet mass budget studies that integrate over catchments and the validity of the zero flow assumption when selecting sites for ice core records of past climate.</t>
  </si>
  <si>
    <t>[McCormack, Felicity S.; Bird, Lawrence; Jones, Richard S.; Mackintosh, Andrew N.] Monash Univ, Sch Earth Atmosphere &amp; Environm, Securing Antarcticas Environm Future, Clayton, Vic, Australia; [Roberts, Jason L.; Galton-Fenzi, Benjamin K.] Australian Antarctic Div, Nipaluna Hobart, Tas, Australia; [Kulessa, Bernd] Swansea Univ, Sch Biosci Geog &amp; Phys, Swansea, Wales; [Kulessa, Bernd] Univ Tasmania, Sch Technol Environm &amp; Design, Nipaluna Hobart, Tas, Australia; [Kulessa, Bernd; Hochmuth, Katharina] Univ Tasmania, Australian Ctr Excellence Antarctic Sci, Nipaluna Hobart, Tas, Australia; [Aitken, Alan] Univ Western Australia, Sch Earth Sci, Perth, WA, Australia; [Aitken, Alan] Univ Western Australia, Australian Ctr Excellence Antarctic Sci, Perth, WA, Australia; [Dow, Christine F.] Univ Waterloo, Dept Appl Math, Waterloo, ON, Canada; [Dow, Christine F.] Univ Waterloo, Dept Geog &amp; Environm Management, Waterloo, ON, Canada; [Galton-Fenzi, Benjamin K.] Univ Tasmania, Australian Antarctic Program Partnership, Inst Marine &amp; Antarctic Studies, Nipaluna Hobart, Tas, Australia</t>
  </si>
  <si>
    <t>Monash University; Australian Antarctic Division; Swansea University; University of Tasmania; University of Tasmania; University of Western Australia; University of Western Australia; University of Waterloo; University of Waterloo; University of Tasmania</t>
  </si>
  <si>
    <t>McCormack, FS (corresponding author), Monash Univ, Sch Earth Atmosphere &amp; Environm, Securing Antarcticas Environm Future, Clayton, Vic, Australia.</t>
  </si>
  <si>
    <t>felicity.mccormack@monash.edu</t>
  </si>
  <si>
    <t>Jones, Richard Selwyn/AAJ-3949-2021; McCormack, Felicity/B-9218-2015</t>
  </si>
  <si>
    <t>Jones, Richard Selwyn/0000-0003-2988-0999; Kulessa, Bernd/0000-0002-4830-4949; Dow, Christine/0000-0003-1346-2258; Aitken, Alan/0000-0002-6375-2504; Roberts, Jason/0000-0002-3477-4069; Galton-Fenzi, Benjamin Keith/0000-0003-1404-4103; Bird, Lawrence/0000-0001-6541-2768; McCormack, Felicity/0000-0002-2324-2120</t>
  </si>
  <si>
    <t>We thank Poul Christoffersen for helpful discussions that improved the paper. This research was undertaken using resources from the National Computational Infrastructure Merit Allocation Scheme, supported by the Australian Government.</t>
  </si>
  <si>
    <t>NOV 1</t>
  </si>
  <si>
    <t>10.5194/tc-17-4549-2023</t>
  </si>
  <si>
    <t>IV0X9</t>
  </si>
  <si>
    <t>WOS:001169005800001</t>
  </si>
  <si>
    <t>Iovino, D; Fogli, PG; Masina, S</t>
  </si>
  <si>
    <t>Iovino, Doroteaciro; Fogli, Pier Giuseppe; Masina, Simona</t>
  </si>
  <si>
    <t>Evaluation of the CMCC global eddying ocean model for the Ocean Model Intercomparison Project (OMIP2)</t>
  </si>
  <si>
    <t>MERIDIONAL OVERTURNING CIRCULATION; ANTARCTIC CIRCUMPOLAR CURRENT; SEA-ICE MODEL; NORTH-ATLANTIC SIMULATIONS; HEAT-TRANSPORT; MIXED-LAYER; EXPERIMENTAL PROTOCOLS; HORIZONTAL RESOLUTION; VOLUME TRANSPORT; TIME-SERIES</t>
  </si>
  <si>
    <t>This paper describes the global eddying ocean-sea ice simulation produced at the Euro-Mediterranean Center on Climate Change (CMCC) obtained following the experimental design of the Ocean Model Intercomparison Project phase 2 (OMIP2). The eddy-rich model (GLOB16) is based on the NEMOv3.6 framework, with a global horizontal resolution of 1 / 16 circle and 98 vertical levels and was originally designed for an operational short-term ocean forecasting system. Here, it is driven by one multi-decadal cycle of the prescribed JRA55-do atmospheric reanalysis and runoff dataset in order to perform a long-term benchmarking experiment.To assess the accuracy of simulated 3D ocean fields and highlight the relative benefits of resolving mesoscale processes, the GLOB16 performances are evaluated via a selection of key climate metrics against observational datasets and two other NEMO configurations at lower resolutions: an eddy-permitting resolution (ORCA025) and a non-eddying resolution (ORCA1) designed to form the ocean-sea ice component of the fully coupled CMCC climate model.The well-known biases in the low-resolution simulations are significantly improved in the high-resolution model. The evolution and spatial pattern of large-scale features (such as sea surface temperature biases and winter mixed-layer structure) in GLOB16 are generally better reproduced, and the large-scale circulation is remarkably improved compared to the low-resolution oceans. We find that eddying resolution is an advantage in resolving the structure of western boundary currents, the overturning cells, and flow through key passages. GLOB16 might be an appropriate tool for ocean climate modeling efforts, even though the benefit of eddying resolution does not provide unambiguous advances for all ocean variables in all regions.</t>
  </si>
  <si>
    <t>[Iovino, Doroteaciro; Fogli, Pier Giuseppe; Masina, Simona] Fdn Ctr Euro Mediterraneo Cambiamenti Climat CMCC, Ocean Modeling &amp; Data Assimilat Div, Bologna, Italy</t>
  </si>
  <si>
    <t>Iovino, D (corresponding author), Fdn Ctr Euro Mediterraneo Cambiamenti Climat CMCC, Ocean Modeling &amp; Data Assimilat Div, Bologna, Italy.</t>
  </si>
  <si>
    <t>dorotea.iovino@cmcc.it</t>
  </si>
  <si>
    <t>Fogli, Pier Giuseppe/E-9486-2015</t>
  </si>
  <si>
    <t>Fogli, Pier Giuseppe/0000-0001-7997-6273; MASINA, Simona/0000-0001-6273-7065; IOVINO, Doroteaciro/0000-0001-5132-7255</t>
  </si>
  <si>
    <t>Horizon 2020 Framework Programme [2016163920]; PRACE; Cineca (Italy)</t>
  </si>
  <si>
    <t>Horizon 2020 Framework Programme(Horizon 2020); PRACE; Cineca (Italy)(CINECA, Italy)</t>
  </si>
  <si>
    <t>We thank the present and past members of the CLIVAR Ocean Model Development Panel who have designed and supported the Ocean Model Intercomparison Project (OMIP). We acknowledge PRACE for awarding us project 2016163920 (Understanding the role of mesoscale eddies in the global ocean; ROMEO) and providing access to resources on Marconi KNL based at Cineca (Italy).</t>
  </si>
  <si>
    <t>10.5194/gmd-16-6127-2023</t>
  </si>
  <si>
    <t>IV0W0</t>
  </si>
  <si>
    <t>WOS:001169003900001</t>
  </si>
  <si>
    <t>Aster, RC; Ringler, AT; Anthony, RE; Lee, TA</t>
  </si>
  <si>
    <t>Aster, Richard C.; Ringler, Adam T.; Anthony, Robert E.; Lee, Thomas A.</t>
  </si>
  <si>
    <t>Increasing ocean wave energy observed in Earth's seismic wavefield since the late 20th century</t>
  </si>
  <si>
    <t>GLOBAL SEISMOGRAPHIC NETWORK; NOISE-LEVELS; CLIMATE; OSCILLATION; VARIABILITY; CALIBRATION; GENERATION; TRENDS; ERRORS</t>
  </si>
  <si>
    <t>Ocean waves excite continuous globally observable seismic signals. We use data from 52 globally distributed seismographs to analyze the vertical component primary microseism wavefield at 14-20 s period between the late 1980s and August 2022. This signal is principally composed of Rayleigh waves generated by ocean wave seafloor tractions at less than several hundred meters depth, and is thus a proxy for near-coastal swell activity. Here we show that increasing seismic amplitudes at 3 sigma significance occur at 41 (79%) and negative trends occur at 3 sigma significance at eight (15%) sites. The greatest absolute increase occurs for the Antarctic Peninsula with respective acceleration amplitude and energy trends ( +/- 3 sigma) of 0.037 +/- 0.008 nm s(-2)y(-1) (0.36 +/- 0.08% y(-1)) and 4.16 +/- 1.07 nm(2) s(-2)y(-1) (0.58 +/- 0.15% y(-1)), where percentage trends are relative to historical medians. The inferred global mean near-coastal ocean wave energy increase rate is 0.27 +/- 0.03% y(-1) for all data and is 0.35 +/- 0.04% y(-1) since 1 January 2000. Strongly correlated seismic amplitude station histories occur to beyond 50(degrees) of separation and show regional-to-global associations with El Ni &amp; ntilde;o and La Ni &amp; ntilde;a events.</t>
  </si>
  <si>
    <t>[Aster, Richard C.] Colorado State Univ, Warner Coll Nat Resources, Dept Geosci, 801 S Howes St, Ft Collins, CO 80523 USA; [Ringler, Adam T.; Anthony, Robert E.] US Geol Survey, Albuquerque Seismol Lab, Target Rd 10002 Isleta SE, Albuquerque, NM 87117 USA; [Lee, Thomas A.] Harvard Univ, Dept Earth &amp; Planetary Sci, 20 Oxford St, Cambridge, MA 02138 USA</t>
  </si>
  <si>
    <t>Colorado State University; United States Department of the Interior; United States Geological Survey; Harvard University</t>
  </si>
  <si>
    <t>Aster, RC (corresponding author), Colorado State Univ, Warner Coll Nat Resources, Dept Geosci, 801 S Howes St, Ft Collins, CO 80523 USA.</t>
  </si>
  <si>
    <t>rick.aster@colostate.edu</t>
  </si>
  <si>
    <t>Lee, Thomas/0000-0002-0227-8239</t>
  </si>
  <si>
    <t>Seismological Facility for the Advancement of Geoscience (SAGE) Award of the U.S. National Science Foundation (NSF) [EAR-1851048]</t>
  </si>
  <si>
    <t>Seismological Facility for the Advancement of Geoscience (SAGE) Award of the U.S. National Science Foundation (NSF)(National Science Foundation (NSF))</t>
  </si>
  <si>
    <t>The facilities of EarthScope Consortium were used for access to waveforms and related metadata. These services are funded through the Seismological Facility for the Advancement of Geoscience (SAGE) Award of the U.S. National Science Foundation (NSF) under Cooperative Support Agreement EAR-1851048. The Global Seismographic Network (GSN) is a cooperative scientific facility operated jointly by NSF and the United States Geological Survey (USGS). The NSF component is part of the SAGE Facility, operated by EarthScope Consortium under Cooperative Support Agreement EAR-1851048. We made use of the ObsPy Python package and MATLAB (R) for analysis, including m_map (Pawlowicz, R., 2020. M_Map: a mapping package for MATLAB, version 1.4m; www.eoas.ubc.ca/~rich/map.html). We offer thanks for helpful comments and suggestions from Janet Carter, Sydney Dybing, and Brian Shiro that significantly improved this manuscript. Any use of trade, firm, and product names is for descriptive purposes only and does not imply endorsement by the U.S. Government.</t>
  </si>
  <si>
    <t>10.1038/s41467-023-42673-w</t>
  </si>
  <si>
    <t>CS2Z6</t>
  </si>
  <si>
    <t>WOS:001127178400023</t>
  </si>
  <si>
    <t>Matsuno, K; Sumiya, K; Tozawa, M; Nomura, D; Sasaki, H; Yamaguchi, A; Murase, H</t>
  </si>
  <si>
    <t>Matsuno, Kohei; Sumiya, Kohei; Tozawa, Manami; Nomura, Daiki; Sasaki, Hiroko; Yamaguchi, Atsushi; Murase, Hiroto</t>
  </si>
  <si>
    <t>Responses of diatom assemblages and life cycle to sea ice variation in the eastern Indian sector of the Southern Ocean during austral summer 2018/ 2019</t>
  </si>
  <si>
    <t>Protist community; Cell size; Fragilariopsis; Indian sector of the Southern Ocean</t>
  </si>
  <si>
    <t>ANTARCTIC PACK ICE; FRAGILARIOPSIS-KERGUELENSIS; WEDDELL SEA; PHYTOPLANKTON COMMUNITY; CELL-SIZE; BIOLOGICAL/OCEANOGRAPHIC SURVEY; IRON-DEFICIENCY; ALGAL BLOOMS; EDGE; 80-150-DEGREES-E</t>
  </si>
  <si>
    <t>In the Southern Ocean, rapid environmental changes (warming, freshening, and poleward shifts of the physiological fronts) are underway. These changes affect the distribution, abundance, and life cycle of protists. However, the spatial distribution of protists is not well understood in the eastern Indian sector of the Southern Ocean. We, therefore, evaluated the effects of environmental factors at the community level (abundance and species composition) and species-specific level (life cycle in diatoms) based on field sampling during the austral summer of 2018/2019. High chlorophyll levels and protist cell densities were observed in the eastern area from 120 degrees E, in contrast to the distribution reported in the 1996 BROKE (The Baseline Research on Oceanography, Krill and the Environment) survey. This inter-annual variation was caused by differences in the sampling periods, nutrients, and zooplankton grazing pressures. North-south variation in protist abundance was well explained by silicate distribution, whereas sea ice variation did not influence it explicitly. The clustering of protist groups was well associated with nutrients, but locally, offshore groups were extended southward by currents and eddies. The cell size of the two dominant Fragilariopsis curta and F. kerguelensis exhibited similar significant relationships with sea ice variation and decreased 60 days after sea ice melted. Our findings demonstrate that sea ice changes do not clearly affect the protist community level but potentially affect the life cycle level of diatoms.</t>
  </si>
  <si>
    <t>[Matsuno, Kohei; Sumiya, Kohei; Tozawa, Manami; Nomura, Daiki; Yamaguchi, Atsushi] Hokkaido Univ, Fac Grad Sch Fisheries Sci, 3-1-1 Minato cho, Hakodate, Hokkaido 0418611, Japan; [Matsuno, Kohei; Nomura, Daiki; Yamaguchi, Atsushi] Hokkaido Univ, Arctic Res Ctr, Kita-21 Nishi-11 Kita ku, Sapporo 0010021, Japan; [Sasaki, Hiroko] Japan Fisheries Res &amp; Educ Agcy, Fisheries Resources Inst, 2-12-4 Fukuura,Kanazawa, Yokohama, Kanagawa 2368648, Japan; [Nomura, Daiki] Hokkaido Univ, Field Sci Ctr Northern Biosphere, 3-1-1 Minato cho, Hakodate, Hokkaido 0418611, Japan; [Murase, Hiroto] Tokyo Univ Marine Sci &amp; Technol, 4-5-7 Konan,Minato ku, Tokyo 1088477, Japan</t>
  </si>
  <si>
    <t>Hokkaido University; Hokkaido University; Japan Fisheries Research &amp; Education Agency (FRA); Hokkaido University; Tokyo University of Marine Science &amp; Technology</t>
  </si>
  <si>
    <t>Matsuno, K (corresponding author), Hokkaido Univ, Fac Grad Sch Fisheries Sci, 3-1-1 Minato cho, Hakodate, Hokkaido 0418611, Japan.</t>
  </si>
  <si>
    <t>k.matsuno@fish.hokudai.ac.jp</t>
  </si>
  <si>
    <t>Matsuno, Kohei/0000-0001-9793-7622</t>
  </si>
  <si>
    <t>Institute of Cetacean Research; Japan Fisheries Research and Education Agency; Fisheries Agency of Japan; Japanese Society for the Promotion of Science (JSPS) [JP20K20573, JP20H03054, JP19H03037, JP21H02263, JP17H01483, JP17H04715]; Joint Research Program of the Institute of Low Temperature Science, Hokkaido University</t>
  </si>
  <si>
    <t>Institute of Cetacean Research; Japan Fisheries Research and Education Agency; Fisheries Agency of Japan; Japanese Society for the Promotion of Science (JSPS)(Ministry of Education, Culture, Sports, Science and Technology, Japan (MEXT)Japan Society for the Promotion of Science); Joint Research Program of the Institute of Low Temperature Science, Hokkaido University</t>
  </si>
  <si>
    <t>We are deeply grateful to the officers, crew, and researchers onboard R/V Kaiyo-Maru for their assistance with biological sampling. The Kaiyo-Maru survey was supported by the Institute of Cetacean Research, the Japan Fisheries Research and Education Agency, and the Fisheries Agency of Japan. This work was partly supported by a Grant-in-Aid for Challenging Research (Pioneering) JP20K20573 to AY; Scientific Research JP20H03054 (B) to AY, JP19H03037 (B) to AY, JP21H02263 (B) to KM, JP17H01483 (A) to AY, and JP17H04715 to DN from the Japanese Society for the Promotion of Science (JSPS) ; and the Joint Research Program of the Institute of Low Temperature Science, Hokkaido University.</t>
  </si>
  <si>
    <t>10.1016/j.pocean.2023.103117</t>
  </si>
  <si>
    <t>EU6C0</t>
  </si>
  <si>
    <t>WOS:001141476100001</t>
  </si>
  <si>
    <t>Alekseev, GV; Kharlanenkova, NE; Vyazilova, AE</t>
  </si>
  <si>
    <t>Alekseev, G. V.; Kharlanenkova, N. E.; Vyazilova, A. E.</t>
  </si>
  <si>
    <t>Arctic Amplification: InterlatitudinaI Exchange Role in the Atmosphere</t>
  </si>
  <si>
    <t>Arctic; air temperature; warming; Arctic amplification; SDR; trend; air exchange</t>
  </si>
  <si>
    <t>SEA-ICE; TROPICAL CONVECTION; POLAR AMPLIFICATION; CLIMATE; TEMPERATURE; VARIABILITY; MODELS</t>
  </si>
  <si>
    <t>An increase in warming in the Arctic relative to the rest of the Northern Hemisphere or the globe continues attracting attention, despite the large amount of research being conducted. Possible causes of the Arctic amplification have been considered and continue to be discussed in many articles and reviews. In this article, for the first time, a quantitative assessment of the role of atmospheric transports in the formation of variability and trends in the mean near-surface air temperature (SAT) in the Arctic and at adjacent latitudes of the Northern Hemisphere is carried out and an analytical description of amplification in high latitudes is proposed. For the study, data from NCEP and ERA5 reanalyses for 1989-2020 and a representation of the set of events of air exchange between latitudes in a simple hemispheric atmospheric model under constant conditions at the boundaries, on the basis of which analytical expressions are obtained for the standard deviation ratios (SDRs) and temperature trends in neighboring areas. The degree of closeness between the empirical and model ratios of SDR and trends is taken as a contribution measure of air exchange to the increase in SDR and trends during warming. It has been found that the exchange between the polar and adjacent regions reaches lower latitudes as the polar region expands from 70 degrees N up to 60 degrees N. The latitude to which the polar air propagates on average decreases with the trend taken into account in the SDR, which confirms the effect of warming on the increase in air mass exchange. The model value of the increase in the average air temperature trend in the polar region of an isolated homogeneous atmosphere above the hemisphere relative to the trend in the adjacent region is determined by the ratio of their areas multiplied by the ratio of the trend determination coefficients. An increase in the temperature trend in the polar region of the real atmosphere, according to the NCEP and ERA5 reanalyses for 1989-2020, was compared with the model value, thereby assessing the contribution of air mass exchange to the increase in the temperature trend in the polar region. It was found that the exchange explains 54% of the increase in the air temperature trend (Arctic amplification) in the region of 90-60 degrees N on average per year and 66% in the cold year part relative to the rest of the Northern Hemisphere. If we take into account the established southern boundary of air mass exchange between the polar and adjacent regions, then the amplification of an air temperature trend in the area of 90-60 degrees N relative to the trend in the adjacent area, with which the exchange of air masses occurs, will almost completely (by 93% on average per year) be the result of exchange and, in the area of 90 degrees-70 degrees N, it will mostly be the result of exchange (by 74% on average per year).</t>
  </si>
  <si>
    <t>[Alekseev, G. V.; Kharlanenkova, N. E.; Vyazilova, A. E.] Arctic &amp; Antarctic Res Inst, St Petersburg 199397, Russia</t>
  </si>
  <si>
    <t>Alekseev, GV (corresponding author), Arctic &amp; Antarctic Res Inst, St Petersburg 199397, Russia.</t>
  </si>
  <si>
    <t>alexgv@aari.ru</t>
  </si>
  <si>
    <t>Russian Science Foundation [23-47-10003]</t>
  </si>
  <si>
    <t>This work was supported by the Russian Science Foundation, grant no. 23-47-10003.</t>
  </si>
  <si>
    <t>S103</t>
  </si>
  <si>
    <t>S110</t>
  </si>
  <si>
    <t>10.1134/S0001433823140025</t>
  </si>
  <si>
    <t>AD2N6</t>
  </si>
  <si>
    <t>WOS:001116458500009</t>
  </si>
  <si>
    <t>Alekseev, GV; Vyazilova, AE; Kharlanenkova, NE</t>
  </si>
  <si>
    <t>Alekseev, G. V.; Vyazilova, A. E.; Kharlanenkova, N. E.</t>
  </si>
  <si>
    <t>Influence of Low Latitudes on Climatic Conditions in the Water Catchment Area of the Main Siberian Rivers</t>
  </si>
  <si>
    <t>low latitudes; air temperature; ocean surface temperature; atmospheric circulation; heat and moisture transfer; catchment areas; Siberian rivers</t>
  </si>
  <si>
    <t>It has been previously shown that atmospheric and oceanic heat and moisture transfers play an important role in the development of Arctic warming, and ocean surface temperature anomalies at low latitudes have a significant effect on the formation of transfers. Atmospheric circulation, which transports heat, moisture and precipitation, also affects climatic conditions in the catchment areas of the three main Siberian rivers-the Ob, Yenisei, and Lena-the flow of which is approximately half of the annual average inflow of river water into the Arctic Ocean. According to reanalyses and archival data for 1979-2019, air temperature and precipitation in the Ob, Lena, and Yenisei catchment areas are increasing. The greatest increase in precipitation is recorded in the spring months. There is also a maximum positive trend in air temperature in the spring months (March and April). To assess the impact of low latitudes on changes in climatic conditions in the catchment areas, data from ERA5, HadISST reanalyses, and the GPCC project precipitation gridded gauge-analysis data are used. Based on the average monthly surface air temperature at the nodes of the geographic grid in the Northern Hemisphere, the indices of zonal, meridional, and general circulation are calculated. To determine the relationships between indices and climatic parameters, the methods of multivariate cross-correlation analysis are used. It has been found that zonal atmospheric transfers have a significant impact on climatic conditions most of all in the cold part of the year, especially in November and March. In summer, the increase in zonal circulation is accompanied by a decrease in air temperature in the catchment areas, and meridional transfers increase the temperature. The greatest influence of the meridional transport is noted in spring and summer. Climate changes at low latitudes have the greatest effect in autumn on meridional transport in the spring season and on zonal transport in the cold part of the year, especially in March, with a delay of 2 years. The influence of low latitudes on climatic conditions in water catchments is presented in the form of graphs of correlations of climatic parameters and circulation indices on a generalized scheme.</t>
  </si>
  <si>
    <t>[Alekseev, G. V.; Vyazilova, A. E.; Kharlanenkova, N. E.] Arctic &amp; Antarctic Res Inst, St Petersburg 199397, Russia</t>
  </si>
  <si>
    <t>Russian Foundation for Basic Research [18-05-00334, 18-05-60107]</t>
  </si>
  <si>
    <t>This work was supported by the Russian Foundation for Basic Research, projects nos. 18-05-00334 and 18-05-60107.</t>
  </si>
  <si>
    <t>S97</t>
  </si>
  <si>
    <t>S102</t>
  </si>
  <si>
    <t>10.1134/S0001433823140013</t>
  </si>
  <si>
    <t>WOS:001116458500001</t>
  </si>
  <si>
    <t>Douce, P; Renault, D; Simon, L; Mermillod-Blondin, F; Vallier, F; Bittebiere, AK</t>
  </si>
  <si>
    <t>Douce, Pauline; Renault, David; Simon, Laurent; Mermillod-Blondin, Florian; Vallier, Felix; Bittebiere, Anne-Kristel</t>
  </si>
  <si>
    <t>How does trait variance partitioning help us to understand plant community assembly? The example of pond communities in the Kerguelen Islands</t>
  </si>
  <si>
    <t>JOURNAL OF VEGETATION SCIENCE</t>
  </si>
  <si>
    <t>filter; functional trait; intraspecific trait variability; macrophyte; plant community assembly; plant performance; pond ecosystem; variance partitioning</t>
  </si>
  <si>
    <t>PHENOTYPIC PLASTICITY; INTRASPECIFIC VARIABILITY; FUNCTIONAL TRAITS; AQUATIC MACROPHYTES; RELATIVE IMPORTANCE; GLOBAL PATTERNS; CLONAL PLANTS; ALPINE PLANT; WATER DEPTH; LEAF TRAITS</t>
  </si>
  <si>
    <t>QuestionIn the current context of biodiversity erosion, functional approaches to the examination of community assembly mechanisms and better prediction of plant species fates have emerged. The assessment of trait variation patterns should be a powerful means of identifying community assembly mechanisms. However, most studies of trait variations and their consequences for individual performance (i.e., vegetative biomass) are usually incomplete as they focused on single ecological scales or filters, with no consideration of relationships between traits. Such research has provided a fragmented view of plant community assembly.LocationWe examined macrophyte communities living in ponds of the sub-Antarctic Iles Kerguelen.MethodsWe measured traits related to resource acquisition and conservation in all occurring species, and examined their variation across temporal (years), spatial (sites), and taxonomic (between and within species) scales and in response to multiple abiotic and biotic habitat variables. The consequences of these trait variations and the effects of their correlation for plant individual performance were also explored.ResultsTrait distributions were fairly conserved among sites, whereas we observed a large amount of intraspecific trait variation enabling individuals to resist filters. Responses to biotic and/or abiotic variables were trait-dependent, and simultaneous trait responses should enable individual plants to face several simultaneous constraints. Almost all traits had direct or indirect effects on individual performance, indicating the need to consider trait relationships.ConclusionThe partitioning of trait variance is a relevant approach to the identification of the scale at which the most decisive processes for plant community assembly operate without the interference of scale dependency issues, and should orient further research. In addition, several biotic and abiotic variables should be considered in future studies to better understand the effects of environmental changes on plant communities. We focused on the macrophyte communities living in the ponds of the Iles Kerguelen (sub-Antarctic region). Partitioning trait variance allows to detect at which scale the decisive processes operate in plant community assembly. In addition, we simultaneously considered biotic and abiotic variables to better understand the effects of environmental variations on traits, subsequently impacting plant performance and species fate.image</t>
  </si>
  <si>
    <t>[Douce, Pauline; Simon, Laurent; Mermillod-Blondin, Florian; Vallier, Felix; Bittebiere, Anne-Kristel] Univ Lyon, Univ Claude Bernard Lyon 1, CNRS, LEHNA,ENTPE,UMR5023, Villeurbanne, France; [Renault, David] Univ Rennes, CNRS, ECOBIO Ecosyst, Biodivers,Evolut, Rennes, France; [Renault, David] Inst Univ France, Paris, France</t>
  </si>
  <si>
    <t>Centre National de la Recherche Scientifique (CNRS); Universite Claude Bernard Lyon 1; CNRS - Institute of Ecology &amp; Environment (INEE); Centre National de la Recherche Scientifique (CNRS); Universite de Rennes; Institut Universitaire de France</t>
  </si>
  <si>
    <t>Douce, P (corresponding author), Univ Lyon, Univ Claude Bernard Lyon 1, CNRS, LEHNA,ENTPE,UMR5023, Villeurbanne, France.</t>
  </si>
  <si>
    <t>pauline.douce@univ-lyon1.fr</t>
  </si>
  <si>
    <t>Agence Nationale de la Recherche</t>
  </si>
  <si>
    <t>Agence Nationale de la Recherche(Agence Nationale de la Recherche (ANR))</t>
  </si>
  <si>
    <t>We thank all of the volunteers for their invaluable help in the field and laboratory during the four years of data collection.</t>
  </si>
  <si>
    <t>1100-9233</t>
  </si>
  <si>
    <t>1654-1103</t>
  </si>
  <si>
    <t>J VEG SCI</t>
  </si>
  <si>
    <t>J. Veg. Sci.</t>
  </si>
  <si>
    <t>e13217</t>
  </si>
  <si>
    <t>10.1111/jvs.13217</t>
  </si>
  <si>
    <t>Plant Sciences; Ecology; Forestry</t>
  </si>
  <si>
    <t>Plant Sciences; Environmental Sciences &amp; Ecology; Forestry</t>
  </si>
  <si>
    <t>CT5N4</t>
  </si>
  <si>
    <t>WOS:001127504800001</t>
  </si>
  <si>
    <t>Martínez, LCA; Leppe, M; Manríquez, LME; Pino, JP; Trevisan, C; Manfroi, J; Mansilla, H</t>
  </si>
  <si>
    <t>Martinez, Leandro C. A.; Leppe, Marcelo; Manriquez, Leslie M. E.; Pino, Juan Pablo; Trevisan, Cristine; Manfroi, Joseline; Mansilla, Hector</t>
  </si>
  <si>
    <t>A unique Late Cretaceous fossil wood assemblage from Chilean Patagonia provides clues to a high-latitude continental environment</t>
  </si>
  <si>
    <t>PAPERS IN PALAEONTOLOGY</t>
  </si>
  <si>
    <t>gymnosperm; angiosperm; growth ring; wood anatomy; Cretaceous; Patagonia</t>
  </si>
  <si>
    <t>SANTA-CRUZ PROVINCE; SOUTHERN HIGH-LATITUDES; HYDRAULIC EFFICIENCY; SPRINGHILL FORMATION; MATILDE FORMATION; ALEXANDER ISLAND; ARAUCARIA FOREST; MAGALLANES BASIN; PETRIFIED FOREST; XYLEM EVOLUTION</t>
  </si>
  <si>
    <t>Fossil plants, including large trunks, stems, some branches, and twigs, were collected from the Maastrichtian (68.9 Ma), upper Dorotea Formation in the Magallanes-Austral Basin, 16 km north of the Cerro Guido-Las Chinas complex in the southern Chilean Magallanes region. These fossil trunks range from 0.2 to 2.2 m in length. Petrographic slides were made in three sections (transverse, radial and tangential) and analysed under a light microscope to study the permineralized fossils. The woods and stems belong to Austroginkgoxylon gen. et sp. nov., Agathoxylon antarcticum, Podocarpoxylon paradoxi sp. nov., Podocarpoxylon mazzonii, Palmoxylon subantarcticae and Notomalvaceoxylon magallanense gen. et sp. nov. The growth rings of gymnosperms and anatomical characters of angiosperms were analysed to obtain palaeoecological data. Interactions between gymnosperm roots growing into the secondary xylem of an angiosperm (nurse logs) are recorded. The data obtained from the fossil woods suggest warm and humid conditions in this southern South American locality during the Late Cretaceous, providing a unique opportunity to study continental environments at high southern latitudes, which are poorly represented on a global scale.</t>
  </si>
  <si>
    <t>[Martinez, Leandro C. A.] Museo Histor Reg, CONICET, Blvd Nahuel Huapi 2177, RA-8407 Neuquen, Argentina; [Martinez, Leandro C. A.] Univ Nacl La Plata, Fac Ciencias Nat, RA-1900 La Plata, Argentina; [Leppe, Marcelo; Trevisan, Cristine; Manfroi, Joseline; Mansilla, Hector] Inst Antart Chileno, Lab Paleobiol Antart &amp; Patagonia, Plaza Munoz Gamero 1055, Punta Arenas, Chile; [Manriquez, Leslie M. E.] Univ Vale Rio dos Sinos, Programa Posgrad Geol, Av Unisinos 950, BR-93022000 Sao Leopoldo, RS, Brazil; [Pino, Juan Pablo] Univ Chile, Fac Ciencias, Dept Ecol, Santiago, Chile; [Manfroi, Joseline] Corp Invest &amp; Avance Paleontol Hist Nat Atacama CI, Prat 5, Caldera, Atacama, Chile</t>
  </si>
  <si>
    <t>Consejo Nacional de Investigaciones Cientificas y Tecnicas (CONICET); National University of La Plata; Universidade do Vale do Rio dos Sinos (Unisinos); Universidad de Chile</t>
  </si>
  <si>
    <t>Martínez, LCA (corresponding author), Museo Histor Reg, CONICET, Blvd Nahuel Huapi 2177, RA-8407 Neuquen, Argentina.;Martínez, LCA (corresponding author), Univ Nacl La Plata, Fac Ciencias Nat, RA-1900 La Plata, Argentina.</t>
  </si>
  <si>
    <t>gesaghi@gmail.com; mleppe@inach.cl; less.manriquez@gmail.com; juanpablo.pinomorales@gmail.com; ctrevisan@inach.cl; joselinemanfroi@ciahn.cl; hmansilla@inach.cl</t>
  </si>
  <si>
    <t>Leppe, Marcelo/L-5447-2014</t>
  </si>
  <si>
    <t>Leppe, Marcelo/0000-0002-1545-8167; Martinez, Leandro C. A./0000-0003-3761-4869; Pino, Juan Pablo/0000-0002-2092-023X</t>
  </si>
  <si>
    <t>CNPq (National Council for Scientific and Technological Development); INACH (Chilean Antarctic Institute); Paleogeographic patterns v/s climate change in South America and the Antarctic Peninsula during the latest Cretaceous: a possible explanation for the origin of the Austral biota? (Fondecyt project); Floras en la transicion Jurasico-Cretacica de la Cuenca Neuquina. Sus implicancias bioestratigraficas y paleoambientales' (Agencia Nacional de Promocion Cientifica y Tecnologica, Argentina; [1151389]; [PICT-2019-03749]</t>
  </si>
  <si>
    <t>CNPq (National Council for Scientific and Technological Development)(Conselho Nacional de Desenvolvimento Cientifico e Tecnologico (CNPQ)); INACH (Chilean Antarctic Institute); Paleogeographic patterns v/s climate change in South America and the Antarctic Peninsula during the latest Cretaceous: a possible explanation for the origin of the Austral biota? (Fondecyt project); Floras en la transicion Jurasico-Cretacica de la Cuenca Neuquina. Sus implicancias bioestratigraficas y paleoambientales' (Agencia Nacional de Promocion Cientifica y Tecnologica, Argentina; ;</t>
  </si>
  <si>
    <t>We thank Viviana Lobos, Max Mueller, and families from Estancia Cerro Guido for their help and cooperation during fieldwork. We also thank Roberto Pujana, Mariana Brea, Daniela Ruiz and Liliana Mallo (CONICET, Argentina) for their valuable suggestions and literature, which helped us to improve this paper. We are grateful to CNPq (National Council for Scientific and Technological Development), for the Post-Doctoral PhD grant and financial support assistance to JM; to INACH (Chilean Antarctic Institute) for support during the fieldwork; and the Instituto de Botanica Darwinion (CONICET-ANCEFN) for use of the Plant Anatomy Laboratory. This research was supported by Projects 'Paleogeographic patterns v/s climate change in South America and the Antarctic Peninsula during the latest Cretaceous: a possible explanation for the origin of the Austral biota?' (Fondecyt project No. 1151389) and 'Floras en la transicion Jurasico-Cretacica de la Cuenca Neuquina. Sus implicancias bioestratigraficas y paleoambientales' (Agencia Nacional de Promocion Cientifica y Tecnologica, Argentina, PICT-2019-03749). Thanks are given to the two anonymous referees, and to the editor, for their corrections and suggestions that improved the final version of this manuscript.</t>
  </si>
  <si>
    <t>2056-2799</t>
  </si>
  <si>
    <t>2056-2802</t>
  </si>
  <si>
    <t>PAP PALAEONTOL</t>
  </si>
  <si>
    <t>Pap. Palaeontol.</t>
  </si>
  <si>
    <t>e1536</t>
  </si>
  <si>
    <t>10.1002/spp2.1536</t>
  </si>
  <si>
    <t>CI3D7</t>
  </si>
  <si>
    <t>WOS:001124575800001</t>
  </si>
  <si>
    <t>Mikucki, JA; Schuler, CG; Digel, I; Kowalski, J; Tuttle, MJ; Chua, M; Davis, R; Purcell, AM; Ghosh, D; Francke, G; Feldmann, M; Espe, C; Heinen, D; Dachwald, B; Clemens, J; Lyons, WB; Tulaczyk, S; MIDGE Sci Team</t>
  </si>
  <si>
    <t>Mikucki, J. A.; Schuler, C. G.; Digel, I.; Kowalski, J.; Tuttle, M. J.; Chua, M.; Davis, R.; Purcell, A. M.; Ghosh, D.; Francke, G.; Feldmann, M.; Espe, C.; Heinen, D.; Dachwald, B.; Clemens, J.; Lyons, W. B.; Tulaczyk, S.; MIDGE Sci Team</t>
  </si>
  <si>
    <t>Field-Based Planetary Protection Operations for Melt Probes: Validation of Clean Access into the Blood Falls, Antarctica, Englacial Ecosystem</t>
  </si>
  <si>
    <t>Antarctica; Sub-ice sampling; Minimally invasive melt probe</t>
  </si>
  <si>
    <t>WHILLANS ICE STREAM; MCMURDO DRY VALLEYS; TAYLOR GLACIER; SP-NOV.; SPACECRAFT; BRINE; ENVIRONMENTS; DIVERSITY; CELLS</t>
  </si>
  <si>
    <t>Subglacial environments on Earth offer important analogs to Ocean World targets in our solar system. These unique microbial ecosystems remain understudied due to the challenges of access through thick glacial ice (tens to hundreds of meters). Additionally, sub-ice collections must be conducted in a clean manner to ensure sample integrity for downstream microbiological and geochemical analyses. We describe the field-based cleaning of a melt probe that was used to collect brine samples from within a glacier conduit at Blood Falls, Antarctica, for geomicrobiological studies. We used a thermoelectric melting probe called the IceMole that was designed to be minimally invasive in that the logistical requirements in support of drilling operations were small and the probe could be cleaned, even in a remote field setting, so as to minimize potential contamination. In our study, the exterior bioburden on the IceMole was reduced to levels measured in most clean rooms, and below that of the ice surrounding our sampling target. Potential microbial contaminants were identified during the cleaning process; however, very few were detected in the final englacial sample collected with the IceMole and were present in extremely low abundances (similar to 0.063% of 16S rRNA gene amplicon sequences). This cleaning protocol can help minimize contamination when working in remote field locations, support microbiological sampling of terrestrial subglacial environments using melting probes, and help inform planetary protection challenges for Ocean World analog mission concepts.</t>
  </si>
  <si>
    <t>[Mikucki, J. A.; Schuler, C. G.; Tuttle, M. J.; Chua, M.; Davis, R.; Ghosh, D.] Univ Tennessee, Dept Microbiol, Knoxville, TN USA; [Digel, I.] FH Aachen, Inst Bioengn, Campus Julich, Julich, Nordrhein Westf, Germany; [Kowalski, J.; Francke, G.; Feldmann, M.; Espe, C.; Heinen, D.; Dachwald, B.] Rhein Westfal TH Aachen, Aachen, North Rhine Wes, Germany; [Clemens, J.] Univ Bremen, Bremen, Germany; [Purcell, A. M.] No Arizona Univ, Flagstaff, AZ USA; [Lyons, W. B.] Ohio State Univ, Byrd Polar Res Ctr, Columbus, OH USA; [Tulaczyk, S.] Univ Calif Santa Cruz, Santa Cruz, CA USA; [Mikucki, J. A.] Univ Tennessee, Dept Microbiol, Knoxville, TN 03755 USA</t>
  </si>
  <si>
    <t>University of Tennessee System; University of Tennessee Knoxville; RWTH Aachen University; University of Bremen; Northern Arizona University; University System of Ohio; Ohio State University; University of California System; University of California Santa Cruz; University of Tennessee System; University of Tennessee Knoxville</t>
  </si>
  <si>
    <t>Mikucki, JA (corresponding author), Univ Tennessee, Dept Microbiol, Knoxville, TN 03755 USA.</t>
  </si>
  <si>
    <t>Tuttle, Matthew J./0000-0002-4582-2097; Digel, Ilya/0000-0002-3418-0252</t>
  </si>
  <si>
    <t>Field logistics was provided by the Antarctic Support Contractor for the United States Antarctic Program. We are particularly grateful to Geordan McQuiston and the McMurdo Station Carp Shop for their efforts in designing and constructing our Science oper; Contractor for the United States Antarctic Program</t>
  </si>
  <si>
    <t>Field logistics was provided by the Antarctic Support Contractor for the United States Antarctic Program. We are particularly grateful to Geordan McQuiston and the McMurdo Station Carp Shop for their efforts in designing and constructing our Science operation camps. Feedback from anonymous reviewers improved this manuscript.</t>
  </si>
  <si>
    <t>10.1089/ast.2021.0102</t>
  </si>
  <si>
    <t>X9VD3</t>
  </si>
  <si>
    <t>WOS:001101842900003</t>
  </si>
  <si>
    <t>Lim, YK; Wu, DL; Kim, KM; Lee, JN; Nayak, S; Sahu, N</t>
  </si>
  <si>
    <t>Lim, Young-Kwon; Wu, Dong L.; Kim, Kyu-Myong; Lee, Jae N.; Nayak, Sridhara; Sahu, Netrananda</t>
  </si>
  <si>
    <t>Decadal Changes in the Antarctic Sea Ice Response to the Changing ENSO in the Last Four Decades</t>
  </si>
  <si>
    <t>Antarctic sea ice; Antarctic dipole; climate variability; Ross; Amundsen; Weddell; ENSO</t>
  </si>
  <si>
    <t>SOUTH AMERICAN MODES; SURFACE TEMPERATURE; WEST ANTARCTICA; EL-NINO; HEMISPHERE; VARIABILITY; PACIFIC; CIRCULATION; OSCILLATION; STATIONARY</t>
  </si>
  <si>
    <t>Sea ice fraction (SIF) over the Ross/Amundsen/Bellingshausen Sea (RAB) are investigated using the Modern-Era Retrospective Analysis for Research and Application, Version 2 (MERRA-2), focusing on the differences in time-lagged response to ENSO between the late 20th (1980-2000, L20) and the early 21st century (2001-2021, E21). The findings suggest that the typical Antarctic response to ENSO is influenced by changes in ENSO type/intensity, highlighting the need for caution when investigating the Antarctic teleconnection. Time-lagged regressions onto the mature phase of El Nino reveal that the SIF decrease and SST increase over the RAB is relatively weaker in E21 and most pronounced at 0-4 months lag. Conversely, the SIF in L20 continues to decline and reaches its peak at two-season lag (5-7 months). Tropospheric wind, pressure, and wave activity in response to El Nino in L20 show a zonally oriented high/low-pressure areas with two-season lag, enhancing the poleward flow that plays a key role in sea ice melt in the RAB, while this pattern in E21 is insignificant at the same lag. This study suggests that stronger (weaker) and more eastern (central) Pacific ENSOs on average in L20 (E21) are associated with this decadal change in the SIF response to ENSO.</t>
  </si>
  <si>
    <t>[Lim, Young-Kwon] NASA, Global Modeling &amp; Assimilat Off GMAO, Goddard Space Flight Ctr, Greenbelt, MD 20771 USA; [Lim, Young-Kwon; Lee, Jae N.] Univ Maryland Baltimore Cty, Goddard Earth Sci Technol &amp; Res GESTAR 2, Baltimore, MD 21228 USA; [Wu, Dong L.; Kim, Kyu-Myong; Lee, Jae N.] NASA, Climate &amp; Radiat Lab, Goddard Space Flight Ctr, Greenbelt, MD 20771 USA</t>
  </si>
  <si>
    <t>National Aeronautics &amp; Space Administration (NASA); NASA Goddard Space Flight Center; University System of Maryland; University of Maryland Baltimore County; National Aeronautics &amp; Space Administration (NASA); NASA Goddard Space Flight Center</t>
  </si>
  <si>
    <t>Lim, YK (corresponding author), NASA, Global Modeling &amp; Assimilat Off GMAO, Goddard Space Flight Ctr, Greenbelt, MD 20771 USA.;Lim, YK (corresponding author), Univ Maryland Baltimore Cty, Goddard Earth Sci Technol &amp; Res GESTAR 2, Baltimore, MD 21228 USA.</t>
  </si>
  <si>
    <t>young-kwon.lim@nasa.gov</t>
  </si>
  <si>
    <t>Wu, Dong L/D-5375-2012</t>
  </si>
  <si>
    <t>Lee, Jae N./0000-0001-9814-9855; Wu, Dong/0000-0002-3490-9437</t>
  </si>
  <si>
    <t>NASA Sun-Climate research fund</t>
  </si>
  <si>
    <t>10.3390/atmos14111659</t>
  </si>
  <si>
    <t>AT4T5</t>
  </si>
  <si>
    <t>WOS:001120701200001</t>
  </si>
  <si>
    <t>Marchetta, A; Papale, M; Rappazzo, AC; Rizzo, C; Camacho, A; Rochera, C; Azzaro, M; Urzi, C; Lo Giudice, A; De Leo, F</t>
  </si>
  <si>
    <t>Marchetta, Alessia; Papale, Maria; Rappazzo, Alessandro Ciro; Rizzo, Carmen; Camacho, Antonio; Rochera, Carlos; Azzaro, Maurizio; Urzi, Clara; Lo Giudice, Angelina; De Leo, Filomena</t>
  </si>
  <si>
    <t>A Deep Insight into the Diversity of Microfungal Communities in Arctic and Antarctic Lakes</t>
  </si>
  <si>
    <t>JOURNAL OF FUNGI</t>
  </si>
  <si>
    <t>Antarctica; Arctic; polar lakes; extreme environments; fungal community; fungal diversity; fungal ecology; next generation sequencing</t>
  </si>
  <si>
    <t>FUNGAL DIVERSITY; SP NOV.; SOIL; YEASTS; BIODIVERSITY; SEDIMENTS; ECOLOGY; DESERT; REGION; ISLAND</t>
  </si>
  <si>
    <t>We assessed fungal diversity in water and sediment samples obtained from five Arctic lakes in Ny-angstrom lesund (Svalbard Islands, High Arctic) and five Antarctic lakes on Livingston and Deception Islands (South Shetland Islands), using DNA metabarcoding. A total of 1,639,074 fungal DNA reads were detected and assigned to 5980 ASVs amplicon sequence variants (ASVs), with only 102 (1.7%) that were shared between the two Polar regions. For Arctic lakes, unknown fungal taxa dominated the sequence assemblages, suggesting the dominance of possibly undescribed fungi. The phylum Chytridiomycota was the most represented in the majority of Arctic and Antarctic samples, followed by Rozellomycota, Ascomycota, Basidiomycota, and the less frequent Monoblepharomycota, Aphelidiomycota, Mortierellomycota, Mucoromycota, and Neocallimastigomycota. At the genus level, the most abundant genera included psychrotolerant and cosmopolitan cold-adapted fungi including Alternaria, Cladosporium, Cadophora, Ulvella (Ascomycota), Leucosporidium, Vishniacozyma (Basidiomycota), and Betamyces (Chytridiomycota). The assemblages displayed high diversity and richness. The assigned diversity was composed mainly of taxa recognized as saprophytic fungi, followed by pathogenic and symbiotic fungi.</t>
  </si>
  <si>
    <t>[Marchetta, Alessia; Urzi, Clara; De Leo, Filomena] Univ Messina, Dept Chem Biol Pharmaceut &amp; Environm Sci, Viale F Stagno DAlcontres 31, I-98166 Messina, Italy; [Papale, Maria; Rappazzo, Alessandro Ciro; Rizzo, Carmen; Azzaro, Maurizio; Lo Giudice, Angelina] Natl Res Council CNR, Inst Polar Sci, ISP, Spianata S Raineri 86, I-98122 Messina, Italy; [Rizzo, Carmen] Natl Inst Biol, Sicily Marine Ctr, Dept Ecosustainable Marine Biotechnol, Stn Zool Anton Dohrn, Contrada Porticatello 29, I-98167 Messina, Italy; [Camacho, Antonio; Rochera, Carlos] Univ Valencia, Cavanilles Inst Biodivers &amp; Evolutionary Biol, C Catedrat Jose Beltran 2, Paterna E-46980, Spain</t>
  </si>
  <si>
    <t>University of Messina; Consiglio Nazionale delle Ricerche (CNR); Istituto di Scienze Polari (ISP-CNR); Stazione Zoologica Anton Dohrn di Napoli; University of Valencia</t>
  </si>
  <si>
    <t>De Leo, F (corresponding author), Univ Messina, Dept Chem Biol Pharmaceut &amp; Environm Sci, Viale F Stagno DAlcontres 31, I-98166 Messina, Italy.</t>
  </si>
  <si>
    <t>angelina.logiudice@cnr.it; fdeleo@unime.it</t>
  </si>
  <si>
    <t>azzaro, Maurizio/AAE-6784-2019; Camacho, Antonio/I-3417-2015; Rochera, Carlos/M-2932-2014</t>
  </si>
  <si>
    <t>azzaro, Maurizio/0000-0001-7885-2340; Rizzo, Carmen/0000-0002-4340-3833; Marchetta, Alessia/0000-0002-8849-3975; DE LEO, FILOMENA/0000-0003-2007-9601; Camacho, Antonio/0000-0003-0841-2010; Rochera, Carlos/0000-0002-8294-4755</t>
  </si>
  <si>
    <t>Italian National Antarctic Research Program</t>
  </si>
  <si>
    <t>2309-608X</t>
  </si>
  <si>
    <t>J FUNGI</t>
  </si>
  <si>
    <t>J. Fungi</t>
  </si>
  <si>
    <t>10.3390/jof9111095</t>
  </si>
  <si>
    <t>Microbiology; Mycology</t>
  </si>
  <si>
    <t>AR8K9</t>
  </si>
  <si>
    <t>WOS:001120276600001</t>
  </si>
  <si>
    <t>Aguirre, F; Bozkurt, D; Sauter, T; Carrasco, J; Schneider, C; Jana, R; Casassa, G</t>
  </si>
  <si>
    <t>Aguirre, Francisco; Bozkurt, Deniz; Sauter, Tobias; Carrasco, Jorge; Schneider, Christoph; Jana, Ricardo; Casassa, Gino</t>
  </si>
  <si>
    <t>Snow Cover Reconstruction in the Brunswick Peninsula, Patagonia, Derived from a Combination of the Spectral Fusion, Mixture Analysis, and Temporal Interpolation of MODIS Data</t>
  </si>
  <si>
    <t>snow cover; remote sensing; spectral downscaling; Patagonia</t>
  </si>
  <si>
    <t>ERA5-LAND SOIL-TEMPERATURE; MASS-BALANCE; IMAGE FUSION; GRAIN-SIZE; PART I; ANDES; TRENDS; ALBEDO; VEGETATION; RESOLUTION</t>
  </si>
  <si>
    <t>Several methods based on satellite data products are available to estimate snow cover properties, each one with its pros and cons. This work proposes and implements a novel methodology that integrates three main processes applied to MODIS satellite data for snow cover property reconstruction: (1) the increase in the spatial resolution of MODIS (MOD09) data to 250 m using a spectral fusion technique; (2) a new proposal of snow-cloud discrimination; (3) the daily spatiotemporal reconstruction of snow extent and its albedo signature using the endmembers extraction and spectral mixture analyses. The snow cover reconstruction method was applied to the Brunswick Peninsula, Chilean Patagonia, a low-elevation (&lt;1500 m a.s.l.) mid-latitude area. The results show a 98% agreement between MODIS snow detection and ground-based snow measurements at the automatic weather station, Tres Morros (53.3174 degrees S, 71.2790 degrees W), with fractional snow cover values between 20% and 50%, showing a close relationship between snow and vegetation type. The number of snow days compiled from the MODIS data indicates a good performance (Pearson's correlation of 0.9) compared with the number of skiing days at the Cerro Mirador ski center, Punta Arenas. Although the number of seasonal snow days showed a significant increasing trend of 0.54 days/year in the Brunswick Peninsula during the 2000-2020 period, a significant decrease of -4.64 days/year was detected in 2010-2020.</t>
  </si>
  <si>
    <t>[Aguirre, Francisco; Carrasco, Jorge; Casassa, Gino] Univ Magallanes, Ctr Invest Gaia Antart CIGA, Punta Arenas 6210427, Chile; [Aguirre, Francisco] Ecol &amp; Biodivers Inst IEB, Puerto Williams 6350080, Chile; [Aguirre, Francisco] Ctr Climate Studies, Sch Field Studies, Puerto Natales 6161009, Chile; [Bozkurt, Deniz] Ctr Climate Resilience Res CR 2, Santiago 8320000, Chile; [Bozkurt, Deniz] Univ Valparaiso, Dept Meteorol, Valparaiso 2340000, Chile; [Sauter, Tobias; Schneider, Christoph] Humboldt Univ, Geog Dept, D-12489 Berlin, Germany; [Jana, Ricardo] Chilean Antarctic Inst, Sci Dept, Punta Arenas 6200965, Chile</t>
  </si>
  <si>
    <t>Universidad de Magallanes; Universidad de Valparaiso; Humboldt University of Berlin</t>
  </si>
  <si>
    <t>Aguirre, F (corresponding author), Univ Magallanes, Ctr Invest Gaia Antart CIGA, Punta Arenas 6210427, Chile.;Aguirre, F (corresponding author), Ecol &amp; Biodivers Inst IEB, Puerto Williams 6350080, Chile.;Aguirre, F (corresponding author), Ctr Climate Studies, Sch Field Studies, Puerto Natales 6161009, Chile.</t>
  </si>
  <si>
    <t>francisco.aguirre@umag.cl; deniz.bozkurt@uv.cl; obias.sauter@geo.hu-berlin.de; jorge.carrasco@umag.cl; christoph.schneider@geo.hu-berlin.de; jana@inach.cl; gino.casassa@umag.cl</t>
  </si>
  <si>
    <t>sauter, tobias/HSD-8208-2023; Bozkurt, Deniz/C-9797-2013; Carrasco, Jorge/K-2949-2014</t>
  </si>
  <si>
    <t>sauter, tobias/0000-0002-2232-8096; Carrasco, Jorge/0000-0003-2154-5483; Schneider, Christoph/0000-0002-9914-3217; Bozkurt, Deniz/0000-0003-1021-8241</t>
  </si>
  <si>
    <t>FNDR GORE Magallanes Programa de TransferenciaCientifico Tecnologico Modelamiento Climatico Planificacion, XII Region, Codigo BIP [30462410]; Innovation Directorate of the Universidadde Magallanes</t>
  </si>
  <si>
    <t>FNDR GORE Magallanes Programa de TransferenciaCientifico Tecnologico Modelamiento Climatico Planificacion, XII Region, Codigo BIP; Innovation Directorate of the Universidadde Magallanes</t>
  </si>
  <si>
    <t>This study was co-funded by the FNDR GORE Magallanes Programa de TransferenciaCientifico Tecnologico Modelamiento Climatico Planificacion, XII Region, Codigo BIP N degrees 30462410, known as the MoCliM Programme, executed by the Chilean Antarctic Institute, with the collaborationof Universidad de Magallanes. Proyecto MIAS from the Innovation Directorate of the Universidadde Magallanes funded the publication costs.</t>
  </si>
  <si>
    <t>10.3390/rs15225430</t>
  </si>
  <si>
    <t>Z8MJ4</t>
  </si>
  <si>
    <t>WOS:001114557100001</t>
  </si>
  <si>
    <t>Vantomme, L; Jossart, Q; Gérard, K; Danis, B; Moreau, C</t>
  </si>
  <si>
    <t>Vantomme, Luka; Jossart, Quentin; Gerard, Karin; Danis, Bruno; Moreau, Camille</t>
  </si>
  <si>
    <t>Preliminary Assessment of Sea Star (Echinodermata, Asteroidea) Diversity in the Coastal Magellanic Region (South Chile) and Their Geographical Distribution</t>
  </si>
  <si>
    <t>Southern Ocean; sub-Antarctic; DNA barcoding; ntegrative taxonomy; starfish</t>
  </si>
  <si>
    <t>EVOLUTIONARY HISTORY; MARINE-INVERTEBRATES; OCEAN; ODONTASTERIDAE; DIVERGENCE; DISPERSAL; TAXA</t>
  </si>
  <si>
    <t>Sea stars are a diverse and important component of the Southern Ocean benthos. However, scarce information is available regarding their diversity, distribution, evolution, and taxonomic uncertainties persist for multiple taxa. The Magellanic Region (south of Chile) remains under-sampled despite its pivotal location for species distribution and diversity, being located at the crossroad of three ocean basins. In this study, we assessed the biodiversity of coastal Magellanic sea stars and their affinities with other oceanic bioregions. An integrative approach combining morphological identification with DNA barcoding was implemented to highlight taxonomic discrepancies such as suspected synonymy and unrecognised diversity. Firstly, we identified a total of 15 species from the coastal Magellanic Region and reported the occurrence of Cycethra frigida Koehler, 1917 for the first time in this region. The distribution of these 15 species ranged from only in South America to circumpolar, bipolar, or possibly cosmopolitan. Secondly, we highlighted possible synonymy in two species pairs within the genera Anasterias and Odontaster. This preliminary biodiversity assessment forms an important baseline for monitoring and conservation purposes, especially in the face of distribution shifts as a response to climate change and the increased presence of invasive species. Developmental mode has previously been suggested to be important in shaping biogeographical patterns. However, developmental mode was insufficient to explain the observed patterns, and other factors (e.g., physiological constraints, competition, bathymetrical range, and the possibility of passively rafting on kelp) are suggested to be at least equally important. Finally, an increase in barcoding effort is needed to better capture phylogeographic patterns for each species, both by increasing the number of specimens investigated and by covering a broader geographical range.</t>
  </si>
  <si>
    <t>[Vantomme, Luka; Jossart, Quentin; Danis, Bruno; Moreau, Camille] Univ Libre Bruxelles ULB, Marine Biol Lab, Ave FD Roosevelt 50, B-1050 Brussels, Belgium; [Jossart, Quentin] Univ Bourgogne uB, CNRS, UMR 6282, Biogeosci, 6 Bd Gabriel, F-21000 Dijon, France; [Gerard, Karin] Univ Magallanes Umag, Lab Ecosistemas Marinos Antarcticos &amp; Subantarct L, Ave Bulnes 01890, Punta Arenas 6210738, Chile; [Gerard, Karin] Millennium Inst Biodivers Antarctic &amp; Subantarct E, Las Palmeras 3425, Santiago 8320000, Chile; [Gerard, Karin] Cape Horn Int Ctr CHIC, Puerto Williams 6350000, Chile</t>
  </si>
  <si>
    <t>Universite Libre de Bruxelles; Universite de Bourgogne; Centre National de la Recherche Scientifique (CNRS)</t>
  </si>
  <si>
    <t>Vantomme, L (corresponding author), Univ Libre Bruxelles ULB, Marine Biol Lab, Ave FD Roosevelt 50, B-1050 Brussels, Belgium.</t>
  </si>
  <si>
    <t>l.vantomme@gmail.com; qjossart@gmail.com; karin.gerard@umag.cl; bruno.danis@ulb.be; camille.moreau@ulb.be</t>
  </si>
  <si>
    <t>Moreau, Camille/0000-0002-0981-7442; Danis, Bruno/0000-0002-9037-7623; Jossart, Quentin/0000-0002-2280-243X</t>
  </si>
  <si>
    <t>Leopold III Fonds; Fonds de la Recherche Scientifique FNRS; ANID-Millennium Science Initiative Program [ICN2021_002]; ANID/BASAL [FB210018]</t>
  </si>
  <si>
    <t>Leopold III Fonds; Fonds de la Recherche Scientifique FNRS(Fonds de la Recherche Scientifique - FNRS); ANID-Millennium Science Initiative Program; ANID/BASAL</t>
  </si>
  <si>
    <t>This research was funded by Leopold III Fonds and Fonds de la Recherche Scientifique FNRS to C.M. and by ANID-Millennium Science Initiative Program- ICN2021_002 and ANID/BASAL FB210018 to K.G</t>
  </si>
  <si>
    <t>10.3390/d15111129</t>
  </si>
  <si>
    <t>Y9DG4</t>
  </si>
  <si>
    <t>WOS:001108186800001</t>
  </si>
  <si>
    <t>Kropielnicka-Kruk, K; Fitzgibbon, QP; Codabaccus, MB; Trotter, AJ; Carter, CG; Smith, GG</t>
  </si>
  <si>
    <t>Kropielnicka-Kruk, Katarzyna; Fitzgibbon, Quinn P.; Codabaccus, Mohamed B.; Trotter, Andrew J.; Carter, Chris G.; Smith, Gregory G.</t>
  </si>
  <si>
    <t>Effect of Feed Texture and Dimensions, on Feed Waste Type and Feeding Efficiency in Juvenile Sagmariasus verreauxi</t>
  </si>
  <si>
    <t>spiny lobster; feed dimensions; feed waste; feed intake; feeding efficiency</t>
  </si>
  <si>
    <t>CARIBBEAN SPINY LOBSTER; JASUS-EDWARDSII HUTTON; SOUTHERN ROCK LOBSTER; GROWTH; SURVIVAL; BEHAVIOR; PHOTOPERIOD; METABOLISM; SIZE</t>
  </si>
  <si>
    <t>The messy feeding behaviour of spiny lobsters remains an obstacle for formulated feed development. This study examined the relationship between feeding efficiency and feed waste by juvenile spiny lobster, Sagmariasus verreauxi, fed different formulated pellet diameters or lengths across two separate experiments. Feed texture (hard and dry pellet, HDP; soft and moist pellet, SMP) was also examined. Juvenile lobsters were fed experimental feeds at 0.5% BW daily over a 6 h duration. The resulting feed waste was categorised as either feeding-related waste (FRW) or non-feeding-related waste (NFRW). For all feed types, the FRW increased with increasing pellet diameter and pellet length. The increase in FRW corresponded with a decrease in NFRW, particularly for HDP, resulting in no difference in total feed waste in any treatment investigated. Thus, even with improved feeding efficiency with small feed dimensions, feed intake was not improved. Feed leaching rate decreased with increasing pellet size, suggesting a more rapid decline in feed attractiveness for smaller pellets. This finding indicates that currently a counteractive interaction exists between pellet size and feed attractiveness and suggests improving attractiveness would further enhance feeding. Future research should aim at optimising feed dimensions simultaneously to support efficient feeding whilst enhancing attraction/gustatory stimulations.</t>
  </si>
  <si>
    <t>[Kropielnicka-Kruk, Katarzyna; Fitzgibbon, Quinn P.; Codabaccus, Mohamed B.; Trotter, Andrew J.; Carter, Chris G.; Smith, Gregory G.] Univ Tasmania, Inst Marine &amp; Antarctic Studies IMAS, Private Bag 49, Hobart, Tas 7001, Australia</t>
  </si>
  <si>
    <t>Codabaccus, MB (corresponding author), Univ Tasmania, Inst Marine &amp; Antarctic Studies IMAS, Private Bag 49, Hobart, Tas 7001, Australia.</t>
  </si>
  <si>
    <t>k.kruk@utas.edu.au; quinn.fitzgibbon@utas.edu.au; mohamedc@utas.edu.au; andrew.trotter@utas.edu.au; chris.carter@utas.edu.au; gregory.smith@utas.edu.au</t>
  </si>
  <si>
    <t>Carter, Chris Guy/A-3438-2008</t>
  </si>
  <si>
    <t>Carter, Chris Guy/0000-0001-5210-1282; codabaccus, mohamed/0000-0001-5108-373X; Kropielnicka-Kruk, Katarzyna/0000-0003-4956-0191</t>
  </si>
  <si>
    <t>Australian Research Council Industrial Transformation Research Hub</t>
  </si>
  <si>
    <t>Australian Research Council Industrial Transformation Research Hub(Australian Research Council)</t>
  </si>
  <si>
    <t>We thank the staff at the Australian Research Council Industrial Transformation Research Hub for assistance in the culture of lobsters and construction of systems.</t>
  </si>
  <si>
    <t>10.3390/fishes8110553</t>
  </si>
  <si>
    <t>Z0YQ0</t>
  </si>
  <si>
    <t>WOS:001109427900001</t>
  </si>
  <si>
    <t>Bach, LT; Tamsitt, V; Baldry, K; McGee, J; Laurenceau-Cornec, EC; Strzepek, RF; Xie, YH; Boyd, PW</t>
  </si>
  <si>
    <t>Bach, Lennart T.; Tamsitt, Veronica; Baldry, Kimberlee; McGee, Jeffrey; Laurenceau-Cornec, Emmanuel C.; Strzepek, Robert F.; Xie, Yinghuan; Boyd, Philip W.</t>
  </si>
  <si>
    <t>Identifying the Most (Cost-)Efficient Regions for CO2 Removal With Iron Fertilization in the Southern Ocean</t>
  </si>
  <si>
    <t>geoengineering; climate engineering; climate intervention; CO2 removal; ocean iron fertilization; negative emissions</t>
  </si>
  <si>
    <t>ANTARCTIC CIRCUMPOLAR CURRENT; PARTICULATE ORGANIC-CARBON; ROSS SEA; PHAEOCYSTIS-ANTARCTICA; PHYTOPLANKTON GROWTH; COMMUNITY STRUCTURE; ENRICHMENT EXPERIMENTS; EXPORT PRODUCTION; PARTICLE EXPORT; DEEP-WATER</t>
  </si>
  <si>
    <t>Ocean iron fertilization (OIF) aims to remove carbon dioxide (CO2) from the atmosphere by stimulating phytoplankton carbon-fixation and subsequent deep ocean carbon sequestration in iron-limited oceanic regions. Transdisciplinary assessments of OIF have revealed overwhelming challenges around the detection and verification of carbon sequestration and wide-ranging environmental side-effects, thereby dampening enthusiasm for OIF. Here, we utilize five requirements that strongly influence whether OIF can lead to atmospheric CO2 removal (CDR): The requirement (a) to use preformed nutrients from the lower overturning circulation cell; (b) for prevailing iron-limitation; (c) for sufficient underwater light for photosynthesis; (d) for efficient carbon sequestration; (e) for sufficient air-sea CO2 transfer. We systematically evaluate these requirements using observational, experimental, and numerical data in an informed back-of-the-envelope approach to generate circumpolar maps of OIF (cost-)efficiency south of 60 degrees S. Results suggest that (cost-)efficient CDR is restricted to locations on the Antarctic Shelf. Here, CDR costs can be &lt;100 US$/tonne CO2 while they are mainly &gt;&gt;1,000 US$/tonne CO2 in offshore regions of the Southern Ocean, where mesoscale OIF experiments have previously been conducted. However, sensitivity analyses underscore that (cost-)efficiency is in all cases associated with large variability and are thus difficult to predict, which reflects our insufficient understanding of the relevant biogeochemical and physical processes. While OIF implementation on Antarctic shelves appears most (cost-)efficient, it raises legal questions because regions close to Antarctica fall under three overlapping layers of international law. Furthermore, the constraints set by (cost-)efficiency reduce the area suitable for OIF, thereby likely reducing its maximum CDR potential.</t>
  </si>
  <si>
    <t>[Bach, Lennart T.; Baldry, Kimberlee; McGee, Jeffrey; Laurenceau-Cornec, Emmanuel C.; Strzepek, Robert F.; Xie, Yinghuan; Boyd, Philip W.] Univ Tasmania, Inst Marine &amp; Antarctic Studies, Hobart, Tas, Australia; [Tamsitt, Veronica] Univ S Florida, Coll Marine Sci, St Petersburg, FL USA; [McGee, Jeffrey] Univ Tasmania, Fac Law, Hobart, Tas, Australia; [Laurenceau-Cornec, Emmanuel C.] Univ Brest, CNRS, IRD, Ifremer,LEMAR, Plouzane, France; [Strzepek, Robert F.; Boyd, Philip W.] Australian Antarctic Program Partnership, Hobart, Tas, Australia</t>
  </si>
  <si>
    <t>University of Tasmania; State University System of Florida; University of South Florida; University of Tasmania; Universite de Bretagne Occidentale; Centre National de la Recherche Scientifique (CNRS); Ifremer; Institut de Recherche pour le Developpement (IRD)</t>
  </si>
  <si>
    <t>Bach, LT (corresponding author), Univ Tasmania, Inst Marine &amp; Antarctic Studies, Hobart, Tas, Australia.</t>
  </si>
  <si>
    <t>lennart.bach@utas.edu.au</t>
  </si>
  <si>
    <t>Bach, Lennart/0000-0003-0202-3671</t>
  </si>
  <si>
    <t>The authors thank Argo, the NOAA National Sea Ice Data Center, the National Centers for Environmental Information and Remote Sensing Systems, and NASA Giovanni for openly providing the climatological data used in this study. We also thank Alessandro Taglia</t>
  </si>
  <si>
    <t>The authors thank Argo, the NOAA National Sea Ice Data Center, the National Centers for Environmental Information and Remote Sensing Systems, and NASA Giovanni for openly providing the climatological data used in this study. We also thank Alessandro Tagliabue for kindly providing the dissolved iron data. Argo data were collected and made freely available by the International Argo Program and the national programs that contribute to it (; ; ). The Argo Program is part of the Global Ocean Observing System. NASA Giovanni is developed and maintained by the NASA GES DISC. We acknowledge the mission scientists and Principal Investigators who provided the data. We also thank three excellent reviewers and the editor for their thoughtful and constructive comments.</t>
  </si>
  <si>
    <t>e2023GB007754</t>
  </si>
  <si>
    <t>10.1029/2023GB007754</t>
  </si>
  <si>
    <t>Y5ZO5</t>
  </si>
  <si>
    <t>WOS:001106040600001</t>
  </si>
  <si>
    <t>Shackleton, C; Matsuoka, K; Moholdt, G; Van Liefferinge, B; Paden, J</t>
  </si>
  <si>
    <t>Shackleton, Calvin; Matsuoka, Kenichi; Moholdt, Geir; Van Liefferinge, Brice; Paden, John</t>
  </si>
  <si>
    <t>Stochastic Simulations of Bed Topography Constrain Geothermal Heat Flow and Subglacial Drainage Near Dome Fuji, East Antarctica</t>
  </si>
  <si>
    <t>JOURNAL OF GEOPHYSICAL RESEARCH-EARTH SURFACE</t>
  </si>
  <si>
    <t>geostatistics; subglacial hydrology; oldest ice; geothermal heat flux; ice sheet bed topography; subglacial topography</t>
  </si>
  <si>
    <t>DRONNING MAUD LAND; ICE-CORE; DRILL SITE; OLD ICE; TEMPERATURE; RADAR; SHEET; MODEL; INVENTORY; SURFACE</t>
  </si>
  <si>
    <t>Topographic variability beneath ice sheets regulates ice flow, basal melting, refreezing processes, and meltwater drainage. The preservation of old ice layers and basal ice stratigraphy is sensitive to these subglacial processes, and Dome Fuji, inland East Antarctica, is one of the few regions where 1.5-Ma old ice can be preserved for investigating a major climatic change that occurred in the mid-Pleistocene. We used stochastic simulation methods and radar data to generate an ensemble of simulated bed topography with the continuous and realistic roughness necessary to assess basal conditions. Ensemble analysis reveals the magnitude and spatial distribution of topographic uncertainty, facilitating uncertainty-constrained assessments of subglacial drainage and topographic adjustments to geothermal heat flow (GHF). We find that topographic variability can lead to widespread local GHF variations of +/- 20% of the background value, which aggregate to raise the regional value and suggest previously underestimated distributions and rates of basal melting. We also find that survey profile spacing has an increasing influence on topographic uncertainty for rougher bed, deriving an empirical relationship that could guide future survey planning based on uncertainty tolerance. The landscape beneath ice sheets affects ice flow, melt and refreeze at the base, subglacial drainage of meltwater, and the presence of very old ice near the base, which can be used for climate reconstruction. Dome Fuji, inland East Antarctica, is one of the few candidate sites for drilling an ice core that covers a major climatic change around 1 million years ago. Using ice thickness measurements from airborne and ground-based radar surveys with spacings of 0.25-10 km, we simulated values between measurements to produce 100 possible continuous grids of the landscape beneath Dome Fuji. For each result, we estimate the impact of valleys and ridges on geothermal heat distribution and predict subglacial water flow directions and lakes that store basal meltwater beneath the ice sheet. Averaged results show where processes are most likely to occur while also indicating uncertainty. We find that landscape variability beneath the ice sheet could increase the distribution and rates of deep ice melting. The uncertainty analysis we applied could also be used to assist the planning of future surveys aiming to map the landscape beneath thick ice in this region and elsewhere in Antarctica and Greenland. Stochastic simulations yield uncertainty-constrained analyses of subglacial drainage and topography-adjusted geothermal heat flow (GHF)Order-of-magnitude rougher bed than previous work shows widespread local GHF variability, impacting regional-mean and bed conditionsNew empirical relationship derived to implement bed-elevation uncertainty into radar survey planning for varying bed roughness</t>
  </si>
  <si>
    <t>[Shackleton, Calvin; Matsuoka, Kenichi; Moholdt, Geir; Van Liefferinge, Brice] Fram Senteret, Norwegian Polar Inst, Tromso, Norway; [Paden, John] Univ Kansas, Ctr Remote Sensing Ice Sheets, Lawrence, KS USA</t>
  </si>
  <si>
    <t>Norwegian Polar Institute; University of Kansas</t>
  </si>
  <si>
    <t>Shackleton, C (corresponding author), Fram Senteret, Norwegian Polar Inst, Tromso, Norway.</t>
  </si>
  <si>
    <t>calvin.shackleton@npolar.no</t>
  </si>
  <si>
    <t>Shackleton, Calvin/M-8373-2018; Matsuoka, Kenichi/B-7298-2017</t>
  </si>
  <si>
    <t>Shackleton, Calvin/0000-0003-4534-4598; Moholdt, Geir/0000-0002-8883-1620; Matsuoka, Kenichi/0000-0002-3587-3405</t>
  </si>
  <si>
    <t>Norges Forskningsrd [FRINATEK 315246, 815384]; Research Council of Norway; Norwegian Polar Institute; University of Alabama; Japanese Antarctic Research Expeditions; British Antarctic Survey; Belgian Science Policy Office; International Polar Foundation [ACI-1443054, OPP-1739003, IIS-1838230]; NSF [NNX16AH54G]; University of Kansas</t>
  </si>
  <si>
    <t>Norges Forskningsrd; Research Council of Norway(Research Council of Norway); Norwegian Polar Institute; University of Alabama; Japanese Antarctic Research Expeditions; British Antarctic Survey; Belgian Science Policy Office(Belgian Federal Science Policy Office); International Polar Foundation; NSF(National Science Foundation (NSF)); University of Kansas</t>
  </si>
  <si>
    <t>This work was supported by funding from the Research Council of Norway (FRINATEK 315246) and is a contribution to EU Horizon 2020 Beyond EPICA Oldest Ice Core (BE-OIC) project (Grant 815384). CReSIS radar data used in this study were collected with financial contributions from the Norwegian Polar Institute and National Institute of Polar Research, Research Organisation of Information and Systems, as a collaborative project with The University of Alabama and the University of Kansas. Japanese Antarctic Research Expeditions, as well as the British Antarctic Survey, the Belgian Science Policy Office, and the International Polar Foundation contributed to fieldworking to collect this data set. We thank E. Mackie, A. Robel, and two other anonymous reviewers for their constructive reviews of this work. We also acknowledge NSF Grant 2126503 and the use of the CReSIS toolbox from CReSIS generated with support from the University of Kansas, NASA Operation IceBridge Grant NNX16AH54G, and NSF Grants ACI-1443054, OPP-1739003, and IIS-1838230. This is BE-OI contribution number 33.</t>
  </si>
  <si>
    <t>2169-9003</t>
  </si>
  <si>
    <t>2169-9011</t>
  </si>
  <si>
    <t>J GEOPHYS RES-EARTH</t>
  </si>
  <si>
    <t>J. Geophys. Res.-Earth Surf.</t>
  </si>
  <si>
    <t>e2023JF007269</t>
  </si>
  <si>
    <t>10.1029/2023JF007269</t>
  </si>
  <si>
    <t>Z0DJ8</t>
  </si>
  <si>
    <t>WOS:001108872800001</t>
  </si>
  <si>
    <t>Liu, Y; Kissel, C; Mazaud, A; Pan, YX; Li, JH</t>
  </si>
  <si>
    <t>Liu, Yan; Kissel, Catherine; Mazaud, Alain; Pan, Yongxin; Li, Jinhua</t>
  </si>
  <si>
    <t>Glacial-Interglacial Circulation and Climatic Changes in the South Indian Ocean (Kerguelen Plateau Region) Recorded by Detrital and Biogenic Magnetic Minerals</t>
  </si>
  <si>
    <t>Southern Hemisphere westerly wind; Antarctic Circumpolar Current; Southern Ocean upwelling; core MD11-3353; detrital titanomagnetites; magnetofossils</t>
  </si>
  <si>
    <t>ORGANIC-CARBON FLUX; ACQUISITION CURVES; GRAIN-SIZE; SEDIMENTS; DISCRIMINATION; TRANSITION; COMPONENTS; ORIGIN; CORES</t>
  </si>
  <si>
    <t>The Southern Ocean (SO) plays a fundamental role in global climate due to the presence of the intense eastward-flowing Antarctic Circumpolar Current (ACC), one of the most important ocean current systems. The configuration of the frontal systems of the ACC is controlled by the orbital- and millennial-scale variations of the Southern Hemisphere westerly winds (SHWW) and the SO upwelling. However, the reconstruction of paleoclimate and paleocurrent in the SO remains controversial possibly because of the complex interpretation of paleo-proxies and the regional variations. Here, we present results from rock magnetic measurements and electron microscopic analyses on marine core MD11-3353 over the past 150 Kyr, which is located in the Polar Front Zone, west of the Kerguelen Plateau. Our data sets indicate that magnetic mineral assemblages in the core are dominated by detrital magnetic minerals mixed with biogenic magnetic minerals (i.e., magnetofossils formed by magnetotactic bacteria) during the interglacial periods. Changes in the detrital magnetic mineral content indicate a strong modulation of the ACC intensity and the SHWW stress at the orbital scale over the last climatic cycle with an enhanced activity during the glacial periods. The increase in magnetofossils content during the interglacial periods indicates an enhanced nutrient supply from the SO upwelling resulting from the southward migration of the Antarctic Polar Front. Our results suggest that the variations of concentration and assemblage of magnetic minerals can be used as faithful proxies for reconstructing ocean circulation and upwelling changes in the South Indian Ocean over the past 150 Kyr.</t>
  </si>
  <si>
    <t>[Liu, Yan; Pan, Yongxin; Li, Jinhua] Chinese Acad Sci, Inst Geol &amp; Geophys, Key Lab Earth &amp; Planetary Phys, Beijing, Peoples R China; [Liu, Yan; Li, Jinhua] Qingdao Natl Lab Marine Sci &amp; Technol, Lab Marine Geol, Qingdao, Peoples R China; [Liu, Yan] Southern Marine Sci &amp; Engn Guangdong Lab, Zhuhai, Peoples R China; [Liu, Yan; Pan, Yongxin; Li, Jinhua] Univ Chinese Acad Sci, Beijing, Peoples R China; [Kissel, Catherine; Mazaud, Alain] Univ Paris Saclay, Lab Sci Climat &amp; Environm IPSL, CEA, CNRS, Gif Sur Yvette, France</t>
  </si>
  <si>
    <t>Chinese Academy of Sciences; Institute of Geology &amp; Geophysics, CAS; Laoshan Laboratory; Southern Marine Science &amp; Engineering Guangdong Laboratory; Chinese Academy of Sciences; University of Chinese Academy of Sciences, CAS; Universite Paris Saclay; Universite Paris Cite; CEA; Centre National de la Recherche Scientifique (CNRS)</t>
  </si>
  <si>
    <t>Li, JH (corresponding author), Chinese Acad Sci, Inst Geol &amp; Geophys, Key Lab Earth &amp; Planetary Phys, Beijing, Peoples R China.;Li, JH (corresponding author), Qingdao Natl Lab Marine Sci &amp; Technol, Lab Marine Geol, Qingdao, Peoples R China.;Li, JH (corresponding author), Univ Chinese Acad Sci, Beijing, Peoples R China.</t>
  </si>
  <si>
    <t>lijinhua@mail.iggcas.ac.cn</t>
  </si>
  <si>
    <t>Li, Jinhua/0000-0003-1622-6170</t>
  </si>
  <si>
    <t>We are grateful to the MD crew, who was able to collect long cores in rough seas! We also thank the Paul-Emile Victor Institute for organizing the cruise and chartered the MD. We are grateful to T. Yamazaki for providing his numerical data including the un [42225402, 41920104009, 41890843]; National Natural Science Foundation of China [311022004]; Innovation Group Project of Southern Marine Science and Engineering Guangdong Laboratory (Zhuhai) [IGGCAS-202202]; Key Research Program of the Institute of Geology and Geophysics, CAS; Laboratoire des Sciences du Climat et de l'Environnement</t>
  </si>
  <si>
    <t>We are grateful to the MD crew, who was able to collect long cores in rough seas! We also thank the Paul-Emile Victor Institute for organizing the cruise and chartered the MD. We are grateful to T. Yamazaki for providing his numerical data including the un; National Natural Science Foundation of China(National Natural Science Foundation of China (NSFC)); Innovation Group Project of Southern Marine Science and Engineering Guangdong Laboratory (Zhuhai); Key Research Program of the Institute of Geology and Geophysics, CAS; Laboratoire des Sciences du Climat et de l'Environnement(Centre National de la Recherche Scientifique (CNRS))</t>
  </si>
  <si>
    <t>We are grateful to the MD crew, who was able to collect long cores in rough seas! We also thank the Paul-Emile Victor Institute for organizing the cruise and chartered the MD. We are grateful to T. Yamazaki for providing his numerical data including the unpublished kappaARM/kappa ones. Liao Chang and Fabio Florindo very kindly accepted to review the version of the manuscript already revised on the basis of two anonymous referees &amp; apos; comments. This is quite unusual, and we really thank them as well as the two first referees, for their help in improving this article. This study was supported financially in China by the National Natural Science Foundation of China (Grants 42225402, 41920104009, and 41890843), Innovation Group Project of Southern Marine Science and Engineering Guangdong Laboratory (Zhuhai) (No. 311022004), the Key Research Program of the Institute of Geology and Geophysics, CAS, Grant IGGCAS-202202, and in France by the Laboratoire des Sciences du Climat et de l'Environnement. We thank the SEM and TEM engineers at the IGG-CAS (Beijing): Mr. Lixin Gu and Mr. Tang Xu, for smooth running of instruments.</t>
  </si>
  <si>
    <t>e2023JB027741</t>
  </si>
  <si>
    <t>10.1029/2023JB027741</t>
  </si>
  <si>
    <t>Y8YE0</t>
  </si>
  <si>
    <t>WOS:001108054400001</t>
  </si>
  <si>
    <t>Richards, DH; Pegler, SS; Piazolo, S; Stoll, N; Weikusat, I</t>
  </si>
  <si>
    <t>Richards, Daniel H.; Pegler, Samuel S.; Piazolo, Sandra; Stoll, Nicolas; Weikusat, Ilka</t>
  </si>
  <si>
    <t>Bridging the Gap Between Experimental and Natural Fabrics: Modeling Ice Stream Fabric Evolution and its Comparison With Ice-Core Data</t>
  </si>
  <si>
    <t>fabrics; modeling; ice streams; crystallographic preferred orientation (CPO); ice cores</t>
  </si>
  <si>
    <t>CRYSTALLOGRAPHIC PREFERRED ORIENTATIONS; LARGE POLYCRYSTALLINE MASSES; DEFORMATION MECHANISMS; POLAR ICE; CREEP; RECRYSTALLIZATION; MICROSTRUCTURE; TEXTURE; FLOW; SHEET</t>
  </si>
  <si>
    <t>Fabrics, also known as textures or crystallographic preferred orientations, reveal information about the deformation history of the flow of polycrystalline materials, including glacial ice, olivine in the mantle, and feldspar and quartz in the crust. Ice fabrics can have an order-of-magnitude effect on the ease of flow in ice sheets. However, due to the choice of ice core drill site locations, the outputs of fabric models have mostly been compared to observations from the least dynamic regions of the ice sheet (ice divides). Recently, fabric data from an active ice stream have become available from ice cores drilled at the East Greenland Ice-core Project (EGRIP). In this work, we present a novel approach that combines satellite-derived velocity data with the fabric evolution model SpecCAF, a continuum model based on dominant dislocation creep. We directly compare model output to ice-core observations from EGRIP, allowing us to examine the quantitative predictions of calibrated fabric models alongside those of active ice streams for the first time. As the model is calibrated against laboratory experiments, it provides a surrogate to compare the evolution of fabrics under laboratory and natural conditions. The predictions show good qualitative agreement with the observed fabric patterns and orientations, suggesting that a fabric between a girdle and horizontal maximum, orientated perpendicular to the flow direction, is the characteristic ice stream fabric. A discrepancy in fabric strength is attributed to the lower strain rates of ice sheets compared to laboratory experiments, revealing a significant strain-rate dependence in the processes controlling fabric evolution.</t>
  </si>
  <si>
    <t>[Richards, Daniel H.] Univ Tasmania, Australian Ctr Excellence Antarctic Sci, Hobart, Australia; [Richards, Daniel H.; Pegler, Samuel S.] Univ Leeds, Sch Math, Leeds LS2 9JT, England; [Piazolo, Sandra] Univ Leeds, Sch Earth &amp; Environm, Leeds, England; [Stoll, Nicolas] CaFoscari Univ Venice, Dept Environm Sci Informat &amp; Stat, Venice, Italy; [Stoll, Nicolas; Weikusat, Ilka] Alfred Wegener Inst, Helmholtz Ctr Polar &amp; Marine Res, Bremerhaven, Germany; [Weikusat, Ilka] Eberhard Karls Univ Tubingen, Dept Geosci, Tubingen, Germany</t>
  </si>
  <si>
    <t>University of Tasmania; University of Leeds; University of Leeds; Universita Ca Foscari Venezia; Helmholtz Association; Alfred Wegener Institute, Helmholtz Centre for Polar &amp; Marine Research; Eberhard Karls University of Tubingen</t>
  </si>
  <si>
    <t>Richards, DH (corresponding author), Univ Tasmania, Australian Ctr Excellence Antarctic Sci, Hobart, Australia.;Richards, DH (corresponding author), Univ Leeds, Sch Math, Leeds LS2 9JT, England.</t>
  </si>
  <si>
    <t>daniel.richards@utas.edu.au</t>
  </si>
  <si>
    <t>; Weikusat, Ilka/E-8826-2015</t>
  </si>
  <si>
    <t>Piazolo, Sandra/0000-0001-7723-8170; Stoll, Nicolas/0000-0002-3219-8395; Weikusat, Ilka/0000-0002-3023-6036; Richards, Daniel/0000-0002-8501-8730</t>
  </si>
  <si>
    <t>Australian Research Council Special Research Initiative; Australian Centre for Excellence in Antarctic Science [SR200100008]; UK Engineering and Physical Sciences Research Council (EPSRC) [EP/L01615X/1]; Helmholtz Young Investigator Group [VH-NG-802]; Agencies and institutions in Denmark; USA (US National Science Foundation, Office of Polar Programs); Germany (Alfred Wegener Institute, Helmholtz Centre for Polar and Marine Research); Japan (National Institute of Polar Research and Arctic Challenge for Sustainability); Norway (University of Bergen, Trond Mohn Foundation); Switzerland (Swiss National Science Foundation); France (French Polar Institute Paul-Emile Victor, Institute for Geosciences and Environmental Research); Canada (University of Manitoba); China (Chinese Academy of Sciences, Beijing Normal University)</t>
  </si>
  <si>
    <t>Australian Research Council Special Research Initiative(Australian Research Council); Australian Centre for Excellence in Antarctic Science; UK Engineering and Physical Sciences Research Council (EPSRC)(UK Research &amp; Innovation (UKRI)Engineering &amp; Physical Sciences Research Council (EPSRC)); Helmholtz Young Investigator Group; Agencies and institutions in Denmark; USA (US National Science Foundation, Office of Polar Programs); Germany (Alfred Wegener Institute, Helmholtz Centre for Polar and Marine Research); Japan (National Institute of Polar Research and Arctic Challenge for Sustainability); Norway (University of Bergen, Trond Mohn Foundation); Switzerland (Swiss National Science Foundation)(Swiss National Science Foundation (SNSF)); France (French Polar Institute Paul-Emile Victor, Institute for Geosciences and Environmental Research); Canada (University of Manitoba); China (Chinese Academy of Sciences, Beijing Normal University)</t>
  </si>
  <si>
    <t>This research was supported by the Australian Research Council Special Research Initiative, Australian Centre for Excellence in Antarctic Science (Project Number SR200100008), as well as UK Engineering and Physical Sciences Research Council (EPSRC) Grant EP/L01615X/1 for the University of Leeds centre for doctoral training in fluid dynamics. Nicolas Stoll gratefully acknowledges funding from the Helmholtz Young Investigator Group The effect of deformation mechanisms on ice-sheet dynamics (VH-NG-802). EastGRIP is directed and organized by the Centre for Ice and Climate at the Niels Bohr Institute, University of Copenhagen. It is supported by funding agencies and institutions in Denmark (A. P. M &amp; oslash;ller Foundation, University of Copenhagen), the USA (US National Science Foundation, Office of Polar Programs), Germany (Alfred Wegener Institute, Helmholtz Centre for Polar and Marine Research), Japan (National Institute of Polar Research and Arctic Challenge for Sustainability), Norway (University of Bergen, Trond Mohn Foundation), Switzerland (Swiss National Science Foundation), France (French Polar Institute Paul-Emile Victor, Institute for Geosciences and Environmental Research), Canada (University of Manitoba), and China (Chinese Academy of Sciences, Beijing Normal University).</t>
  </si>
  <si>
    <t>e2023JB027245</t>
  </si>
  <si>
    <t>10.1029/2023JB027245</t>
  </si>
  <si>
    <t>Z1AT2</t>
  </si>
  <si>
    <t>WOS:001109483800001</t>
  </si>
  <si>
    <t>Henley, SF; Cozzi, S; Fripiat, F; Lannuzel, D; Nomura, D; Thomas, DN; Meinersg, KM; Vancoppenollej, M; Arrigo, K; Stefels, J; van Leeuwe, M; Moreau, S; Jones, EM; Fransson, A; Chierici, M; Delilleo, B</t>
  </si>
  <si>
    <t>Henley, Sian F.; Cozzi, Stefano; Fripiat, Francois; Lannuzel, Delphine; Nomura, Daiki; Thomas, David N.; Meinersg, Klaus M.; Vancoppenollej, Martin; Arrigo, Kevin; Stefels, Jacqueline; van Leeuwe, Maria; Moreau, Sebastien; Jones, Elizabeth M.; Fransson, Agneta; Chierici, Melissa; Delilleo, Bruno</t>
  </si>
  <si>
    <t>Macronutrient biogeochemistry in Antarctic land-fast sea ice: Insights from a circumpolar data compilation</t>
  </si>
  <si>
    <t>Nutrients; Sea ice; Antarctica; Nitrogen cycle; Ice algae; Primary production; Remineralisation; Organic matter</t>
  </si>
  <si>
    <t>TERRA-NOVA BAY; DISSOLVED INORGANIC NUTRIENTS; SOUTHERN-OCEAN; WEDDELL SEA; HIGH-RESOLUTION; ROSS SEA; BIOGENIC SILICA; MCMURDO-SOUND; PLATELET ICE; ANTHROPOGENIC CARBON</t>
  </si>
  <si>
    <t>Antarctic sea ice plays an important role in Southern Ocean biogeochemistry and mediating Earth's climate system. Yet our understanding of biogeochemical cycling in sea ice is limited by the availability of relevant data over sufficient temporal and spatial scales. Here we present a new publicly available compilation of macronu-trient concentration data from Antarctic land-fast sea ice, covering the full seasonal cycle using datasets from around Antarctica, as well as a smaller dataset of macronutrient concentrations in adjacent seawater. We show a strong seasonal cycle whereby nutrient concentrations are high during autumn and winter, due to supply from underlying surface waters, and then are utilised in spring and summer by mixed ice algal communities consisting of diatoms and non-siliceous species. Our data indicate some degree of nutrient limitation of ice algal primary production, with silicon limitation likely being most prevalent, although uncertainties remain around the af-finities of sea-ice algae for each nutrient. Remineralisation of organic matter and nutrient recycling drive sub-stantial accumulations of inorganic nitrogen, phosphate and to a lesser extent silicic acid in some ice cores to concentrations far in excess of those in surface waters. Nutrient supply to fast ice is enhanced by brine con-vection, platelet ice accumulation and incorporation into the ice matrix, and under-ice tidal currents, whilst nutrient adsorption to sea-ice surfaces, formation of biofilms, and abiotic mineral precipitation and dissolution can also influence fast-ice nutrient cycling. Concentrations of nitrate, ammonium and silicic acid were generally higher in fast ice than reported for Antarctic pack ice, and this may support the typically observed higher algal biomass in fast-ice environments.</t>
  </si>
  <si>
    <t>[Henley, Sian F.] Univ Edinburgh, Sch Geosci, James Hutton Rd, Edinburgh EH9 3FE, Scotland; [Cozzi, Stefano] Ist Sci Marine, CNR ISMAR, Area Ric Basovizza,Edificio Q2 SS14,km 163,5, I-34149 Trieste, Italy; [Fripiat, Francois] Univ Libre Bruxelles, Dept Geosci Environm &amp; Soc, Brussels, Belgium; [Lannuzel, Delphine] Univ Tasmania, Inst Marine &amp; Antarctic Studies, 20 Castray Esplanade, Hobart, TAS 7001, Australia; [Nomura, Daiki] Hokkaido Univ, Hakodate, Japan; [Thomas, David N.] Univ Helsinki, Fac Biol &amp; Environm Sci, Helsinki, Finland; [Meinersg, Klaus M.] Dept Climate Change Energy Environm &amp; Water, Australian Antarctic Div, Kingston, Tas, Australia; [Meinersg, Klaus M.] Univ Tasmania, Inst Marine &amp; Antarctic Studies, Australian Antarctic Program Partnership, Hobart, Tas, Australia; [Meinersg, Klaus M.] Univ Tasmania, Australian Ctr Excellence Antarctic Sci, Hobart, Tas, Australia; [Vancoppenollej, Martin] Sorbonne Univ, LOCEAN IPSL, CNRS, IRD,MNHN, Paris, France; [Arrigo, Kevin] Stanford Univ, Dept Earth Syst Sci, 473 Via Ortega,Room 141, Stanford, CA 94305 USA; [Stefels, Jacqueline; van Leeuwe, Maria] Univ Groningen Groningen Inst Evolutionary Life Sc, Groningen Inst Evolutionary Life Sci GELIFES, POB 11103, NL-9700 CC Groningen, Netherlands; [Moreau, Sebastien; Fransson, Agneta] Fram Ctr, Norwegian Polar Inst, Tromso, Norway; [Jones, Elizabeth M.; Chierici, Melissa] Fram Ctr, Inst Marine Res, N-9007 Tromso, Norway; [Delilleo, Bruno] Univ Liege, Chem Oceanog Unit, Freshwater &amp; Ocean Sci Unit Res, Liege, Belgium</t>
  </si>
  <si>
    <t>University of Edinburgh; Consiglio Nazionale delle Ricerche (CNR); Istituto di Scienze Marine (ISMAR-CNR); Universite Libre de Bruxelles; University of Tasmania; Hokkaido University; University of Helsinki; Australian Antarctic Division; University of Tasmania; University of Tasmania; Museum National d'Histoire Naturelle (MNHN); Institut de Recherche pour le Developpement (IRD); Sorbonne Universite; Centre National de la Recherche Scientifique (CNRS); Stanford University; Norwegian Polar Institute; Institute of Marine Research - Norway; University of Liege</t>
  </si>
  <si>
    <t>Henley, SF (corresponding author), Univ Edinburgh, Sch Geosci, James Hutton Rd, Edinburgh EH9 3FE, Scotland.</t>
  </si>
  <si>
    <t>s.f.henley@ed.ac.uk</t>
  </si>
  <si>
    <t>Thomas, David Neville/B-1448-2010; Lannuzel, Delphine/J-7937-2014; Cozzi, Stefano/G-1511-2011</t>
  </si>
  <si>
    <t>Thomas, David Neville/0000-0001-8832-5907; Cozzi, Stefano/0000-0003-0116-742X; Arrigo, Kevin/0000-0002-7364-876X</t>
  </si>
  <si>
    <t>United Kingdom Natural Environment Research Council [NE/K010034/1]; Australian Government through Australian Antarctic Science Project [4546]; Antarctic Science Collaboration Initiative program [ASCI000002]; Australian Research Council's Australian Centre for Excellence in Antarctic Science [SR200100008]; Southern Ocean Observing System (SOOS)</t>
  </si>
  <si>
    <t>United Kingdom Natural Environment Research Council(UK Research &amp; Innovation (UKRI)Natural Environment Research Council (NERC)); Australian Government through Australian Antarctic Science Project; Antarctic Science Collaboration Initiative program; Australian Research Council's Australian Centre for Excellence in Antarctic Science(Australian Research Council); Southern Ocean Observing System (SOOS)</t>
  </si>
  <si>
    <t>SFH was supported by the United Kingdom Natural Environment Research Council through grant NE/K010034/1. KMM was supported by the Australian Government through Australian Antarctic Science Project #4546, through the Antarctic Science Collaboration Initiative program (project ID ASCI000002) , and through the Australian Research Council's Australian Centre for Excellence in Antarctic Science (Project Number SR200100008) . These funders had no influence or involvement in the study design, execution or the preparation of the article. This study was carried out under the auspices of the international expert group on Biogeochemical Exchange Processes at Sea-Ice Interfaces (BEPSII) , which was originally a Working Group of the Scientific Committee on Oceanic Research (SCOR; WG-140) and has since been endorsed by the Scientific Committee on Antarctic Research (SCAR) , the Surface Ocean Lower Atmosphere Study (SOLAS) and Climate and Cryosphere (CliC) . This study was also supported by the Southern Ocean Observing System (SOOS) and the data will be available through SOOS' open-access data portal SOOSmap (https://soos.aq/data/soosmap) . The authors would like to thank the editor and three reviewers for their thorough and careful review and handling of our manuscript, which have undoubtedly improved the final paper. For the purpose of open access, the author has applied a Creative Commons Attribution (CC BY) licence to any Author Accepted Manuscript version arising from this submission.</t>
  </si>
  <si>
    <t>10.1016/j.marchem.2023.104324</t>
  </si>
  <si>
    <t>Y8LN1</t>
  </si>
  <si>
    <t>hybrid, Green Submitted, Green Published</t>
  </si>
  <si>
    <t>WOS:001107720600001</t>
  </si>
  <si>
    <t>Ge, MX; Chen, RP; Zhang, L; Wang, YM; Chi, CF; Wang, B</t>
  </si>
  <si>
    <t>Ge, Ming-Xue; Chen, Ru-Ping; Zhang, Lun; Wang, Yu-Mei; Chi, Chang-Feng; Wang, Bin</t>
  </si>
  <si>
    <t>Novel Ca-Chelating Peptides from Protein Hydrolysate of Antarctic Krill (Euphausia superba): Preparation, Characterization, and Calcium Absorption Efficiency in Caco-2 Cell Monolayer Model</t>
  </si>
  <si>
    <t>MARINE DRUGS</t>
  </si>
  <si>
    <t>Antarctic krill (Euphausia superba); Ca-chelating peptide; VERG; property analysis; absorption efficiency; Caco-2 cell model</t>
  </si>
  <si>
    <t>STRUCTURAL-CHARACTERIZATION; BINDING PEPTIDE; IDENTIFICATION; BIOAVAILABILITY; FERMENTATION; PURIFICATION</t>
  </si>
  <si>
    <t>Antarctic krill (Euphausia superba) is the world's largest resource of animal proteins and is thought to be a high-quality resource for future marine healthy foods and functional products. Therefore, Antarctic krill was degreased and separately hydrolyzed using flavourzyme, pepsin, papain, and alcalase. Protein hydrolysate (AKH) of Antarctic krill prepared by trypsin showed the highest Ca-chelating rate under the optimized chelating conditions: a pH of 8.0, reaction time of 50 min, temperature of 50 C-degrees, and material/calcium ratio of 1:15. Subsequently, fourteen Ca-chelating peptides were isolated from APK by ultrafiltration and a series of chromatographic methods and identified as AK, EAR, AEA, VERG, VAS, GPK, SP, GPKG, APRGH, GVPG, LEPGP, LEKGA, FPPGR, and GEPG with molecular weights of 217.27, 374.40, 289.29, 459.50, 275.30, 300.36, 202.21, 357.41, 536.59, 328.37, 511.58, 516.60, 572.66, and 358.35 Da, respectively. Among fourteen Ca-chelating peptides, VERG presented the highest Ca-chelating ability. Ultraviolet spectrum (UV), Fourier Transform Infrared (FTIR), and scanning electron microscope (SEM) analysis indicated that the VERG-Ca chelate had a dense granular structure because the N-H, C=O and -COOH groups of VERG combined with Ca2+. Moreover, the VERG-Ca chelate is stable in gastrointestinal digestion and can significantly improve Ca transport in Caco-2 cell monolayer experiments, but phytate could significantly reduce the absorption of Ca derived from the VERG-Ca chelate. Therefore, Ca-chelating peptides from protein hydrolysate of Antarctic krill possess the potential to serve as a Ca supplement in developing healthy foods.</t>
  </si>
  <si>
    <t>[Ge, Ming-Xue; Chen, Ru-Ping; Wang, Yu-Mei; Wang, Bin] Zhejiang Ocean Univ, Sch Food &amp; Pharm, Zhejiang Prov Engn Technol Res Ctr Marine Biomed P, Zhoushan 316022, Peoples R China; [Zhang, Lun; Chi, Chang-Feng] Zhejiang Ocean Univ, Sch Marine Sci &amp; Technol, Natl Engn Res Ctr Marine Facil Aquaculture, Natl &amp; Prov Joint Lab Explorat &amp; Utilizat Marine A, Zhoushan 316022, Peoples R China</t>
  </si>
  <si>
    <t>Zhejiang Ocean University; Zhejiang Ocean University; Chinese Academy of Sciences</t>
  </si>
  <si>
    <t>Wang, YM; Wang, B (corresponding author), Zhejiang Ocean Univ, Sch Food &amp; Pharm, Zhejiang Prov Engn Technol Res Ctr Marine Biomed P, Zhoushan 316022, Peoples R China.</t>
  </si>
  <si>
    <t>gmx8670@163.com; 15157780517@163.com; l15525864652@163.com; wangyumei731@163.com; wangbin@zjou.edu.cn</t>
  </si>
  <si>
    <t>Huang, Yong/KFA-1191-2024; zhang, can/KHC-5357-2024; yang, le/KFB-5420-2024; ren, jun/KHG-7717-2024; xie, jing/KDO-9486-2024; WANG, YANAN/KCL-4840-2024; li, feiyang/KHW-5210-2024; wang, rong/KFQ-7187-2024; Wang, Bin/ADF-0628-2022; Zhou, Xinyi/KGM-6689-2024; Liu, Donghua/KEJ-1974-2024; Liu, yuqing/KEI-3260-2024</t>
  </si>
  <si>
    <t>Wang, Bin/0000-0002-2712-9045; Liu, Donghua/0000-0002-5830-9540;</t>
  </si>
  <si>
    <t>The authors thank Zhao-Hui Li at the Beijing Agricultural Biological Testing Center for his technical support on the amino acid sequence and observed mass of antioxidant peptides from Antarctic Krill.</t>
  </si>
  <si>
    <t>1660-3397</t>
  </si>
  <si>
    <t>MAR DRUGS</t>
  </si>
  <si>
    <t>Mar. Drugs</t>
  </si>
  <si>
    <t>10.3390/md21110579</t>
  </si>
  <si>
    <t>Chemistry, Medicinal; Pharmacology &amp; Pharmacy</t>
  </si>
  <si>
    <t>Z8HP1</t>
  </si>
  <si>
    <t>WOS:001114432800001</t>
  </si>
  <si>
    <t>Lucca, BM; Ressler, PH; Warren, JD</t>
  </si>
  <si>
    <t>Lucca, Brandyn M.; Ressler, Patrick H.; Warren, Joseph D.</t>
  </si>
  <si>
    <t>Target strength measurements of individual sub-Arctic krill have frequency-dependent differences from scattering model predictions</t>
  </si>
  <si>
    <t>JOURNAL OF THE ACOUSTICAL SOCIETY OF AMERICA</t>
  </si>
  <si>
    <t>BAND ACOUSTIC SCATTERING; ANTARCTIC KRILL; SOUND-SCATTERING; EUPHAUSIA-SUPERBA; BERING-SEA; IMPROVED PARAMETERIZATION; ZOOPLANKTON GROUPS; BACKSCATTERING; ORIENTATION; INFERENCE</t>
  </si>
  <si>
    <t>Target strength (TS) is commonly used to convert acoustic backscatter from marine organisms to numerical abundance estimates. Shipboard, tank-based TS measurements were made on four sub-Arctic krill species (Euphausia pacifica, Thysanoessa spinifera, Thysanoessa inermis, and Thysanoessa raschii) from the eastern Bering Sea and Gulf of Alaska at discrete frequencies between 42 and 455 kHz. These measurements were compared to scattering model predictions parameterized with data from the same (when possible) individual krill. Statistically significant differences between modeled and experimental estimates at 42, 45, 120, and 131 kHz exceeded 2 dB on average. Variability in the signal-to-noise ratio, animal length, and measurements from two separate narrowband and broadband transducer pairs (at those frequencies) did not account for these differences. Scattering predictions at 120 and 131 kHz were consistent with the expected transition from Rayleigh-to-geometric scattering where models become increasingly sensitive to orientation and body shape variability. Disagreement between modeled and measured TS may be due to using scattering models developed for, and validated on, larger krill (i.e., Euphausia superba) rather than smaller species of krill. Acoustic surveys of smaller (15-30 mm) krill may require further validation of both the generalizability and parameterization of applied scattering models. (c) 2023 Acoustical Society of America.</t>
  </si>
  <si>
    <t>[Lucca, Brandyn M.; Warren, Joseph D.] SUNY Stony Brook, Sch Marine &amp; Atmospher Sci, 239 Montauk Highway, Southampton, NY 11968 USA; [Ressler, Patrick H.] NOAA Natl Marine Fisheries Serv, Alaska Fisheries Sci Ctr, 7600 Sand Point Way NE, Seattle, WA 98115 USA</t>
  </si>
  <si>
    <t>State University of New York (SUNY) System; State University of New York (SUNY) Stony Brook; National Oceanic Atmospheric Admin (NOAA) - USA</t>
  </si>
  <si>
    <t>Lucca, BM (corresponding author), SUNY Stony Brook, Sch Marine &amp; Atmospher Sci, 239 Montauk Highway, Southampton, NY 11968 USA.</t>
  </si>
  <si>
    <t>brandyn.lucca@stonybrook.edu</t>
  </si>
  <si>
    <t>Lucca, Brandyn Mark/AAU-3003-2020</t>
  </si>
  <si>
    <t>Lucca, Brandyn Mark/0000-0003-3145-2969; Warren, Joseph/0000-0001-6920-1554</t>
  </si>
  <si>
    <t>We thank the Alaska Fisheries Science Center (AFSC) Midwater Assessment and Conservation Engineering (MACE) survey scientists and the captain and crew of the NOAA Ship R/V Oscar Dyson for making all data collection and fieldwork possible.; Alaska Fisheries Science Center (AFSC) Midwater Assessment and Conservation Engineering [1501]; North Pacific Research Board</t>
  </si>
  <si>
    <t>We thank the Alaska Fisheries Science Center (AFSC) Midwater Assessment and Conservation Engineering (MACE) survey scientists and the captain and crew of the NOAA Ship R/V Oscar Dyson for making all data collection and fieldwork possible.(National Oceanic Atmospheric Admin (NOAA) - USA); Alaska Fisheries Science Center (AFSC) Midwater Assessment and Conservation Engineering; North Pacific Research Board</t>
  </si>
  <si>
    <t>We thank the Alaska Fisheries Science Center (AFSC) Midwater Assessment and Conservation Engineering (MACE) survey scientists and the captain and crew of the NOAA Ship R/V Oscar Dyson for making all data collection and fieldwork possible. This work was supported by the North Pacific Research Board (Project #1501). The findings and conclusions in the paper are those of the authors and do not necessarily represent the views of the National Marine Fisheries Service; reference to trade names does not imply endorsement.</t>
  </si>
  <si>
    <t>ACOUSTICAL SOC AMER AMER INST PHYSICS</t>
  </si>
  <si>
    <t>MELVILLE</t>
  </si>
  <si>
    <t>STE 1 NO 1, 2 HUNTINGTON QUADRANGLE, MELVILLE, NY 11747-4502 USA</t>
  </si>
  <si>
    <t>0001-4966</t>
  </si>
  <si>
    <t>1520-8524</t>
  </si>
  <si>
    <t>J ACOUST SOC AM</t>
  </si>
  <si>
    <t>J. Acoust. Soc. Am.</t>
  </si>
  <si>
    <t>10.1121/10.0022459</t>
  </si>
  <si>
    <t>Acoustics; Audiology &amp; Speech-Language Pathology</t>
  </si>
  <si>
    <t>Y8WW2</t>
  </si>
  <si>
    <t>WOS:001108020600003</t>
  </si>
  <si>
    <t>Degma, P; Gabrisová, N</t>
  </si>
  <si>
    <t>Degma, Peter; Gabrisova, Nina</t>
  </si>
  <si>
    <t>Limno-Terrestrial Tardigrada of Sub-Antarctic Islands-An Annotated Review</t>
  </si>
  <si>
    <t>limno-terrestrial Tardigrada; Sub-Antarctic; literature</t>
  </si>
  <si>
    <t>DRONNING-MAUD-LAND; HETEROTARDIGRADA ECHINISCIDAE; INTEGRATIVE DESCRIPTION; GROUP EUTARDIGRADA; PHYLUM TARDIGRADA; MACQUARIE ISLAND; SOUTH GEORGIA; NEW-ZEALAND; REDESCRIPTION; HYPSIBIIDAE</t>
  </si>
  <si>
    <t>Research on the limno-terrestrial Tardigrada fauna of the Sub-Antarctic zone began almost 120 years ago. Here we present an overview of the literature data on the presence of tardigrades on sub-Antarctic islands, including the substrates on which they have been found. From 32 published sources, we found original data on the occurrence of 49 currently valid species on six sub-Antarctic islands/island groups. Of these, 9 species (18%) were originally described from this zone, another 13 species (26%) were described from Continental or Maritime Antarctica, almost half of these species (22 species-45%) were originally described from European localities, and the remaining 5 species (10%) were originally described from South America, Africa, or Australia. The validity of the records of individual species is discussed. We consider the presence of 29 species in the Sub-Antarctic to be doubtful. We ascertained a total of 90 combinations of species and islands or island groups. More than half (64%) of these will require confirmation in the future because we currently consider them doubtful. We can conclude that the tardigrade fauna of the sub-Antarctic islands is only very superficially known, and the occurrence of most species in this zone must be verified.</t>
  </si>
  <si>
    <t>[Degma, Peter; Gabrisova, Nina] Comenius Univ, Fac Nat Sci, Dept Zool, Ilkovicova 6-B1, Bratislava 84215, Slovakia</t>
  </si>
  <si>
    <t>Comenius University Bratislava</t>
  </si>
  <si>
    <t>Degma, P (corresponding author), Comenius Univ, Fac Nat Sci, Dept Zool, Ilkovicova 6-B1, Bratislava 84215, Slovakia.</t>
  </si>
  <si>
    <t>peter.degma@uniba.sk</t>
  </si>
  <si>
    <t>10.3390/d15111109</t>
  </si>
  <si>
    <t>Y9CS1</t>
  </si>
  <si>
    <t>WOS:001108172500001</t>
  </si>
  <si>
    <t>Buck, WR</t>
  </si>
  <si>
    <t>Buck, W. Roger</t>
  </si>
  <si>
    <t>The role of fresh water in driving ice shelf crevassing, rifting and calving</t>
  </si>
  <si>
    <t>EARTH AND PLANETARY SCIENCE LETTERS</t>
  </si>
  <si>
    <t>Ice shelf; Crevasse; Rift; Calving; Buttressing number</t>
  </si>
  <si>
    <t>BOTTOM CREVASSES; STABILITY; GLACIERS; DISINTEGRATION; ANTARCTICA; RETREAT; DRIVEN; MAGMA; LINKS</t>
  </si>
  <si>
    <t>Meltwater is widely implicated in the disintegration of ice shelves and the lower density of fresh meltwater relative to salty seawater can reconcile observations and models of ice shelf rifting. Advanced numerical models predict that a seawater-filled basal crevasse will break through a shelf to form a rift only where extensional stresses equal those at the seaward shelf edge. However, rifts open in ice shelf interiors where resistance to flow at the sides and base of the ice shelf, or buttressing, is estimated to significantly reduce extensional stresses compared to those at the shelf edge. The stress in a shelf is often quantified in terms of a buttressing number and rifts are seen to open in areas where the estimated buttressing number is between 0.2 and 0.3. Numerical models assuming fresh meltwater-filled basal crevasses predict rift opening for buttressing numbers up to about 0.2. Published estimates indicate that about a quarter of the area of the Antarctic ice shelves are characterized by buttressing numbers less than 0.2. The present results indicate that those areas are directly vulnerable to rifting in the presence of abundant meltwater and that calving of those areas could drive further rifting. The numerical results suggest that rifting can be understood in terms of a horizontal force balance, justifying derivation of a simple analytic relation between the density of water infilling a rift and the maximum buttressing number allowing rifting. This analytic relation should hold for any spacing of crevasses or any vertical variations in ice rheology. Enforcing a horizontal force balance also allows derivation of an analytic relation between the heights of closely spaced ice shelf crevasses and buttressing numbers.</t>
  </si>
  <si>
    <t>[Buck, W. Roger] Columbia Univ, Lamont Doherty Earth Observ, Palisades, NY 10964 USA</t>
  </si>
  <si>
    <t>Columbia University</t>
  </si>
  <si>
    <t>Buck, WR (corresponding author), Columbia Univ, Lamont Doherty Earth Observ, Palisades, NY 10964 USA.</t>
  </si>
  <si>
    <t>buck@ldeo.columbia.edu</t>
  </si>
  <si>
    <t>0012-821X</t>
  </si>
  <si>
    <t>1385-013X</t>
  </si>
  <si>
    <t>EARTH PLANET SC LETT</t>
  </si>
  <si>
    <t>Earth Planet. Sci. Lett.</t>
  </si>
  <si>
    <t>10.1016/j.epsl.2023.118444</t>
  </si>
  <si>
    <t>Y5XI9</t>
  </si>
  <si>
    <t>WOS:001105982300001</t>
  </si>
  <si>
    <t>Verzeletti, GN; Gaio, EJ; Machado, KG; Spuldaro, TR; Demeda, CF; Frassini, R; Streck, AF; Silva, SME; Rösing, CK; Henriques, JAP; Roesch-Ely, M</t>
  </si>
  <si>
    <t>Verzeletti, Giliano Nicolini; Gaio, Eduardo Jose; Machado, Keilla Gomes; Spuldaro, Tobias Rauber; Demeda, Clarissa Favero; Frassini, Rafaele; Streck, Andre Felipe; Silva, Sidnei Moura E.; Rosing, Cassiano Kuchenbecker; Henriques, Joao Antonio Pegas; Roesch-Ely, Mariana</t>
  </si>
  <si>
    <t>Desmarestia anceps Montagne modulates inflammatory response in experimental periodontitis in male Wistar rats</t>
  </si>
  <si>
    <t>ARCHIVES OF ORAL BIOLOGY</t>
  </si>
  <si>
    <t>Seaweed; Periodontal disease; Inflammation</t>
  </si>
  <si>
    <t>ALVEOLAR BONE LOSS; HEALTH; DISEASE</t>
  </si>
  <si>
    <t>Objective: Desmarestia anceps Montagne (D. anceps) seaweed has been shown to play a range of biologic activities, such as anti-inflammatory and antioxidant properties. The purpose of this study was to investigate the effects of D. anceps on pathogenesis of ligature-induced experimental periodontitis in rats. Design: Fifty-four male Wistar rats were randomly divided into six groups. Doses of D. anceps (100 and 200 mg/ kg) were administered for 14 days to animals with or without ligature-induced periodontitis, in order to compare to control groups (vehicle solution). Morphometric registration of alveolar bone loss and histological analysis were conducted. Inflammatory cells were counted on hematoxylin-eosin-stained slides. Immunohistochemical expressions for interleukin-1 beta (IL-1 beta), tumor necrosis factor (TNF-alpha), receptor activator of nuclear factor kappa-B ligand (RANKL) and bone morphogenetic protein 2 (BMP-2) were evaluated. Results: Alveolar bone loss was higher in groups exposed to ligature-induced periodontitis, but no significant differences were observed comparing different treatment and control groups. Animals that received D. anceps extracts showed significant lower counts of inflammatory cells. D. anceps promoted increased expression of BMP2 and inhibited IL-1 beta, TNF-alpha and RANKL. Conclusion: D. anceps modulates inflammatory response in experimental periodontitis in rats. Further pharmacological and immunological analyses are warranted.</t>
  </si>
  <si>
    <t>[Verzeletti, Giliano Nicolini; Machado, Keilla Gomes; Frassini, Rafaele; Streck, Andre Felipe; Silva, Sidnei Moura E.; Henriques, Joao Antonio Pegas; Roesch-Ely, Mariana] Univ Caxias Caxias Do Sul, Biotechnol Inst, Rua Francisco Getulio Vargas 1130, BR-95070560 Caxias Do Sul, RS, Brazil; [Verzeletti, Giliano Nicolini; Demeda, Clarissa Favero] Univ Caxias Do Sul, Sch Dent, Dept Periodontol, Rua Francisco Getulio Vargas 1130 Bloco S, BR-95070560 Caxias Do Sul, RS, Brazil; [Spuldaro, Tobias Rauber; Rosing, Cassiano Kuchenbecker] Univ Fed Rio Grande do Sul, Sch Dent, Dept Periodontol, Porto Alegre, Brazil</t>
  </si>
  <si>
    <t>Universidade de Caxias do Sul; Universidade Federal do Rio Grande do Sul</t>
  </si>
  <si>
    <t>Verzeletti, GN (corresponding author), Univ Caxias Caxias Do Sul, Biotechnol Inst, Rua Francisco Getulio Vargas 1130, BR-95070560 Caxias Do Sul, RS, Brazil.</t>
  </si>
  <si>
    <t>gnverzeletti@ucs.br</t>
  </si>
  <si>
    <t>Gaio, Eduardo/W-5025-2019</t>
  </si>
  <si>
    <t>Antarctic Brazilian Program (PROANTAR)</t>
  </si>
  <si>
    <t>Funding This research received financial support from Antarctic Brazilian Program (PROANTAR) .</t>
  </si>
  <si>
    <t>0003-9969</t>
  </si>
  <si>
    <t>1879-1506</t>
  </si>
  <si>
    <t>ARCH ORAL BIOL</t>
  </si>
  <si>
    <t>Arch. Oral Biol.</t>
  </si>
  <si>
    <t>10.1016/j.archoralbio.2023.105825</t>
  </si>
  <si>
    <t>Dentistry, Oral Surgery &amp; Medicine</t>
  </si>
  <si>
    <t>Y5CL0</t>
  </si>
  <si>
    <t>WOS:001105434200001</t>
  </si>
  <si>
    <t>Mac Manus, DH; Rodger, CJ; Renton, A; Ronald, J; Harper, D; Taylor, C; Dalzell, M; Divett, T; Clilverd, MA</t>
  </si>
  <si>
    <t>Mac Manus, D. H.; Rodger, C. J.; Renton, A.; Ronald, J.; Harper, D.; Taylor, C.; Dalzell, M.; Divett, T.; Clilverd, M. A.</t>
  </si>
  <si>
    <t>Geomagnetically Induced Current Mitigation in New Zealand: Operational Mitigation Method Development With Industry Input</t>
  </si>
  <si>
    <t>GIC mitigation; extreme storms</t>
  </si>
  <si>
    <t>EXTREME SPACE WEATHER; HYDRO-QUEBEC; POWER</t>
  </si>
  <si>
    <t>Reducing the impact of Geomagnetically induced currents (GICs) on electrical power networks is an essential step to protect network assets and maintain reliable power transmission during and after storm events. In this study, multiple mitigation strategies are tested during worst-case extreme storm scenarios in order to investigate their effectiveness for the New Zealand transmission network. By working directly with our industry partners, Transpower New Zealand Ltd, a mitigation strategy in the form of targeted line disconnections has been developed. This mitigation strategy proved more effective than previous strategies at reducing GIC magnitudes and durations at transformers at most risk to GIC while still maintaining the continuous supply of power throughout New Zealand. Under this mitigation plan, the average 60-min mean GIC decreased for 27 of the top 30 at-risk transformers, and the total network GIC was reduced by 16%. This updated mitigation has been adopted as an operational procedure in the New Zealand national control room to manage GIC. In addition, simulations show that the installation of 14 capacitor blocking devices at specific transformers reduces the total GIC sum in the network by an additional 16%. As a result of this study Transpower is considering further mitigation in the form of capacitor blockers. We strongly recommend collaborating with the relevant power network providers to develop effective mitigation strategies that reduce GIC and have a minimal impact on power distribution. The New Zealand electrical power network was modified in multiple ways to reduce the impact of extreme Space Weather events. By working directly with our industry partners, Transpower New Zealand Ltd, a procedure has been developed to reduce unwanted direct current (DC) at transformers while still maintaining the continuous supply of power throughout New Zealand. This has been adopted as an operational procedure in the New Zealand national control room to manage space weather events. In addition, simulations show that installing DC blocking devices at specific transformers further reduces the risk to the network. Collaboration with network power industry partners allows for the development of a more effective, realistic mitigation strategyMitigation can significantly reduce modeled Geomagnetically induced current (GIC) magnitudes and durations experienced at specific transformers of interestStrategic line disconnections and installation of targeted capacitor blockers can reduce total network GIC by 32%</t>
  </si>
  <si>
    <t>[Mac Manus, D. H.; Rodger, C. J.] Univ Otago, Dept Phys, Dunedin, New Zealand; [Renton, A.; Ronald, J.; Dalzell, M.] Transpower New Zealand Ltd, Wellington, New Zealand; [Harper, D.; Taylor, C.] Transpower New Zealand Ltd, Hamilton, New Zealand; [Divett, T.] Victoria Univ Wellington, Wellington, New Zealand; [Clilverd, M. A.] British Antarctic Survey UKRI NERC, Cambridge, England</t>
  </si>
  <si>
    <t>University of Otago; Victoria University Wellington; UK Research &amp; Innovation (UKRI); Natural Environment Research Council (NERC); NERC British Antarctic Survey</t>
  </si>
  <si>
    <t>Mac Manus, DH (corresponding author), Univ Otago, Dept Phys, Dunedin, New Zealand.</t>
  </si>
  <si>
    <t>daniel.macmanus@otago.ac.nz</t>
  </si>
  <si>
    <t>Rodger, Craig/A-1501-2011</t>
  </si>
  <si>
    <t>Rodger, Craig J./0000-0002-6770-2707; Mac Manus, Daniel/0000-0003-1175-2251</t>
  </si>
  <si>
    <t>New Zealand Ministry of Business, Innovation and Employment [UOOX2002]; New Zealand Ministry of Business, Innovation and Employment Endeavour Fund Research Programme; Transpower New Zealand</t>
  </si>
  <si>
    <t>New Zealand Ministry of Business, Innovation and Employment(New Zealand Ministry of Business, Innovation and Employment (MBIE)); New Zealand Ministry of Business, Innovation and Employment Endeavour Fund Research Programme(New Zealand Ministry of Business, Innovation and Employment (MBIE)); Transpower New Zealand</t>
  </si>
  <si>
    <t>This research was supported by the New Zealand Ministry of Business, Innovation and Employment Endeavour Fund Research Programme contract UOOX2002. The authors would like to thank Transpower New Zealand for supporting this study.</t>
  </si>
  <si>
    <t>e2023SW003533</t>
  </si>
  <si>
    <t>10.1029/2023SW003533</t>
  </si>
  <si>
    <t>Z0DJ3</t>
  </si>
  <si>
    <t>WOS:001108872300001</t>
  </si>
  <si>
    <t>Vargas-Chacoff, L; Nualart, D; Vargas-Lagos, C; Dann, F; Muñoz, JL; Pontigo, JP</t>
  </si>
  <si>
    <t>Vargas-Chacoff, Luis; Nualart, Daniela; Vargas-Lagos, Carolina; Dann, Francisco; Munoz, Jose Luis; Pontigo, Juan Pablo</t>
  </si>
  <si>
    <t>Tryptophan and Cortisol Modulate the Kynurenine and Serotonin Transcriptional Pathway in the Kidney of Oncorhynchus kisutch</t>
  </si>
  <si>
    <t>ANIMALS</t>
  </si>
  <si>
    <t>stress; neurotransmitter; cell culture; fish; aquaculture</t>
  </si>
  <si>
    <t>BRAIN MONOAMINERGIC ACTIVITY; DIETARY L-TRYPTOPHAN; SALMON SALMO-SALAR; RAINBOW-TROUT; PLASMA-CORTISOL; STRESS-RESPONSE; TIME-COURSE; ACID; SUPPLEMENTATION; MELATONIN</t>
  </si>
  <si>
    <t>Aquaculture fish are kept for long periods in sea cages or tanks. Consequently, accumulated stress causes the fish to present serious problems with critical economic losses. Fish food has been supplemented to reduce this stress, using many components as amino acids such as tryptophan. This study aims to determine the transcriptional effect of tryptophan and cortisol on primary cell cultures of salmon head and posterior kidney. Our results indicate activation of the kynurenine pathway and serotonin activity when stimulated with tryptophan and cortisol. An amount of 95% of tryptophan is degraded by the kynurenine pathway, indicating the relevance of knowing how this pathway is activated and if stress levels associated with fish culture trigger its activation. Additionally, it is essential to know the consequence of increasing kynurenic acid KYNA levels in the short and long term, and even during the fish ontogeny.</t>
  </si>
  <si>
    <t>[Vargas-Chacoff, Luis; Nualart, Daniela; Dann, Francisco] Univ Austral Chile, Lab Fisiol Peces, Inst Ciencias Marinas &amp; Limnol, Valdivia 5090000, Chile; [Vargas-Chacoff, Luis; Nualart, Daniela] Univ Austral Chile, Ctr FONDAP Invest Dinam Ecosistemas Marinos Altas, Valdivia 5090000, Chile; [Vargas-Chacoff, Luis] Integrat Biol Grp, Valdivia 5090000, Chile; [Vargas-Chacoff, Luis; Nualart, Daniela] Univ Austral Chile, Millennium Inst Biodivers Antarctic &amp; Subantarct, BASE, Valdivia 5090000, Chile; [Nualart, Daniela] Univ Austral Chile, Escuela Grad, Programa Doctorado Ciencias Acuicultura, Valdivia 5480000, Chile; [Vargas-Lagos, Carolina] Univ Santo Tomas, Fac Recursos Nat &amp; Med Vet, Escuela Med Vet, Temuco 5480000, Chile; [Munoz, Jose Luis] Univ Lagos, Ctr Imar, Puerto Montt 5480000, Chile; [Pontigo, Juan Pablo] Univ San Sebastian, Fac Ciencias Nat, Lab Inst, Puerto Montt 5480000, Chile</t>
  </si>
  <si>
    <t>Universidad Austral de Chile; Universidad Austral de Chile; Universidad Austral de Chile; Universidad Austral de Chile; Universidad Santo Tomas; Universidad de Los Lagos; Universidad San Sebastian</t>
  </si>
  <si>
    <t>Vargas-Chacoff, L (corresponding author), Univ Austral Chile, Lab Fisiol Peces, Inst Ciencias Marinas &amp; Limnol, Valdivia 5090000, Chile.;Vargas-Chacoff, L (corresponding author), Univ Austral Chile, Ctr FONDAP Invest Dinam Ecosistemas Marinos Altas, Valdivia 5090000, Chile.;Vargas-Chacoff, L (corresponding author), Integrat Biol Grp, Valdivia 5090000, Chile.;Vargas-Chacoff, L (corresponding author), Univ Austral Chile, Millennium Inst Biodivers Antarctic &amp; Subantarct, BASE, Valdivia 5090000, Chile.</t>
  </si>
  <si>
    <t>luis.vargas@uach.cl; daniela.nualart@gmail.com; carolinavargaslagos@gmail.com; franciscojavierdann@gmail.com; joseluis.munoz@ulagos.cl; juan.pontigo@uss.cl</t>
  </si>
  <si>
    <t>Vargas-Chacoff, Luis/0000-0002-0497-2582; Pontigo, Juan Pablo/0000-0003-0084-0862</t>
  </si>
  <si>
    <t>Fondecyt-Iniciacion [11230401, 1180957]; Fondap-Ideal [15150003]; ANID-Millennium Science Initiative Program-Center [ICN2021_002]</t>
  </si>
  <si>
    <t>Fondecyt-Iniciacion(Comision Nacional de Investigacion Cientifica y Tecnologica (CONICYT)CONICYT FONDECYT); Fondap-Ideal; ANID-Millennium Science Initiative Program-Center</t>
  </si>
  <si>
    <t>This work was supported by Fondecyt-Iniciacion (11230401) and (1180957), Fondap-Ideal 15150003, and ANID-Millennium Science Initiative Program-Center code ICN2021_002. D.Nualart was awarded the scholarship ANID-Millennium Science Initiative Program-Center codeICN2021_002.</t>
  </si>
  <si>
    <t>2076-2615</t>
  </si>
  <si>
    <t>ANIMALS-BASEL</t>
  </si>
  <si>
    <t>Animals</t>
  </si>
  <si>
    <t>10.3390/ani13223562</t>
  </si>
  <si>
    <t>Agriculture, Dairy &amp; Animal Science; Veterinary Sciences; Zoology</t>
  </si>
  <si>
    <t>Agriculture; Veterinary Sciences; Zoology</t>
  </si>
  <si>
    <t>Z1ET8</t>
  </si>
  <si>
    <t>WOS:001109590200001</t>
  </si>
  <si>
    <t>Roacha, CJ; Bindoff, NL</t>
  </si>
  <si>
    <t>Roacha, Christopher J.; Bindoff, Nathaniel L.</t>
  </si>
  <si>
    <t>Developing a New Oxygen Atlas of the World's Oceans Using Data Interpolating Variational Analysis</t>
  </si>
  <si>
    <t>JOURNAL OF ATMOSPHERIC AND OCEANIC TECHNOLOGY</t>
  </si>
  <si>
    <t>Ocean; Ship observations; Variational analysis; Interdecadal variability; Climate change; Marine chemistry</t>
  </si>
  <si>
    <t>DYNAMICALLY CONSISTENT; CIRCULATION; SURFACE; NORTH; WATER; VENTILATION; REANALYSIS; VELOCITY; TRENDS; MODEL</t>
  </si>
  <si>
    <t>We present a new global oxygen atlas. This atlas uses all of the available full water column profiles of oxygen, salinity, and temperature available as part of the World Ocean Database released in 2018. Instead of optimal interpolation, we use the Data Interpolating Variational Analysis (DIVA) approach to map the available profiles onto 108 depth levels between the surface and 6800 m, covering more than 99% of ocean volume. This 1/2 degrees 3 1/2 degrees atlas covers the period 1955-2018 in 1-yr intervals. The DIVA method has significant benefits over traditional optimal interpolation. It allows the explicit inclusion of advection and boundary constraints, thus offering improvements in the representations of oxygen, salinity, and temperature in regions of strong flow and near coastal boundaries. We demonstrate these benefits of this mapping approach with some examples from this atlas. We can explore the regional and temporal variations of oxygen in the global oceans. Preliminary analyses confirm earlier analyses that the oxygen minimum zone in the eastern Pacific Ocean has expanded and intensified. Oxygen inventory changes between 1970 and 2010 are assessed and compared against prior studies. We find that the full ocean oxygen inventory decreased by 0.84% 6 0.42%. For this period, temperature-driven solubility changes explain about 21% of the oxygen decline over the full water column; in the upper 100 m, solubility changes can explain all of the oxygen decrease; for the 100-600 m depth range, it can explain only 29%, 19% between 600 and 1000 m, and just 11% in the deep ocean. SIGNIFICANCE STATEMENT: The purpose of this study is to create a new oxygen atlas of the world's oceans using a technique that better represents the effects of ocean currents and topographic boundaries, and to investigate how oxygen in the ocean has changed over recent decades. We find the total quantity of oxygen in the world's oceans has decreased by 0.84% since 1970, similar to previous studies. We also examine how much of this change can be explained by changes in water temperature; we find that this can explain all the changes in the upper 100 m but only 21% of the oxygen decline over the whole water column.</t>
  </si>
  <si>
    <t>[Roacha, Christopher J.; Bindoff, Nathaniel L.] Inst Marine &amp; Antarctic Studies, Hobart, Tas, Australia; [Bindoff, Nathaniel L.] Inst Marine &amp; Antarctic Studies, Australian Antarctic Program Partnership, Hobart, Tas, Australia; [Bindoff, Nathaniel L.] Inst Marine &amp; Antarctic Studies, Australian Ctr Excellence Antarctic Sci, Hobart, Tas, Australia; [Bindoff, Nathaniel L.] Inst Marine &amp; Antarctic Studies, Australian Res Council Climate Extremes, Hobart, Tas, Australia</t>
  </si>
  <si>
    <t>University of Tasmania; University of Tasmania; University of Tasmania; University of Tasmania</t>
  </si>
  <si>
    <t>Roacha, CJ (corresponding author), Inst Marine &amp; Antarctic Studies, Hobart, Tas, Australia.</t>
  </si>
  <si>
    <t>christopher.roach@utas.edu.au</t>
  </si>
  <si>
    <t>Australian Government as part of the National Environmental Science Program (NESP); Antarctic Science Collaboration Initiative program [ASCI000002]; Australian Research Council Special Research Initiative, Australian Centre for Excellence in Antarctic Science [SR200100008]</t>
  </si>
  <si>
    <t>Australian Government as part of the National Environmental Science Program (NESP)(Australian Government); Antarctic Science Collaboration Initiative program; Australian Research Council Special Research Initiative, Australian Centre for Excellence in Antarctic Science(Australian Research Council)</t>
  </si>
  <si>
    <t>We wish to thank two anonymous reviewers who provided useful guidance on improving the presentation of this paper. This work was undertaken during Christopher Roach's time at the University of Tasmania, LOCEAN-IPSL, and MetOcean Solutions (a division of Meteorological Service of New Zealand). We wish to acknowledge the support provided by all three institutions in time and compute resources. This study uses data from NOAA's World Ocean Database 2018 and the DIVAnd software produced by GHER at the University of Liege. This project received grant funding from the Australian Government as part of the National Environmental Science Program (NESP) and the Antarctic Science Collaboration Initiative program (ASCI000002). This research was supported by the Australian Research Council Special Research Initiative, Australian Centre for Excellence in Antarctic Science (Project SR200100008).</t>
  </si>
  <si>
    <t>0739-0572</t>
  </si>
  <si>
    <t>1520-0426</t>
  </si>
  <si>
    <t>J ATMOS OCEAN TECH</t>
  </si>
  <si>
    <t>J. Atmos. Ocean. Technol.</t>
  </si>
  <si>
    <t>10.1175/JTECH-D-23-0007.1</t>
  </si>
  <si>
    <t>Engineering, Ocean; Meteorology &amp; Atmospheric Sciences</t>
  </si>
  <si>
    <t>Engineering; Meteorology &amp; Atmospheric Sciences</t>
  </si>
  <si>
    <t>Y4NF4</t>
  </si>
  <si>
    <t>WOS:001105038500001</t>
  </si>
  <si>
    <t>Xu, Y; Guo, J; Guan, FC; Yang, Q; Zhang, X</t>
  </si>
  <si>
    <t>Xu, Yi; Guo, Jing; Guan, Fucheng; Yang, Qiang; Zhang, Xin</t>
  </si>
  <si>
    <t>Organic solvent extraction and characterization of Antarctic krill protein with high crystallinity and high molecular weight</t>
  </si>
  <si>
    <t>PROCESS BIOCHEMISTRY</t>
  </si>
  <si>
    <t>Antarctic krill protein; Extraction; High Crystallinity; High Molecular Weight; Organic Solvent</t>
  </si>
  <si>
    <t>EUPHAUSIA-SUPERBA; KERATIN</t>
  </si>
  <si>
    <t>A novel extraction method of high-performance Antarctic krill protein (AKP) by organic solvent was proposed. The optimal parameters of the acid pretreatment process were determined by response surface methodology, and then the optimal process of the organic solvent method was determined by an orthogonal test. The effect of the organic solvent method on the hydrogen bond interaction, secondary structure, and molecular weight of AKP was studied by Fourier infrared spectroscopy, X-ray diffraction, and gel electrophoresis. The result showed that, compared with the AKP extracted by the alkaline solvent method, the AKP extracted by the organic solvent method had more intermolecular hydrogen bonds, more beta-corner, higher crystallinity, and higher molecular weight. High-performance AKP broadens the application of AKP in biomedical materials.</t>
  </si>
  <si>
    <t>[Xu, Yi; Guo, Jing; Guan, Fucheng; Yang, Qiang; Zhang, Xin] Dalian Polytech Univ, Sch Text &amp; Mat Engn, Dalian 116034, Peoples R China; [Xu, Yi] Hunan Inst Engn, Coll Text &amp; Clothing, Xiangtan 411104, Peoples R China; [Guo, Jing; Guan, Fucheng] Qingdao Univ, State Key Lab Biofibers &amp; Ecotext, Qingdao 266071, Peoples R China</t>
  </si>
  <si>
    <t>Dalian Polytechnic University; Hunan Institute of Engineering; Qingdao University</t>
  </si>
  <si>
    <t>Guo, J (corresponding author), Dalian Polytech Univ, Sch Text &amp; Mat Engn, Dalian 116034, Peoples R China.</t>
  </si>
  <si>
    <t>guojing@dlpu.edu.cn</t>
  </si>
  <si>
    <t>yang, qiang/GYJ-0971-2022</t>
  </si>
  <si>
    <t>Xu, Yi/0000-0003-0751-4111</t>
  </si>
  <si>
    <t>State Key Laboratory of Bio-Fibers and Eco-Textiles (Qingdao University) [KFKT202201]; National Natural Science Foundation of China [51773024]; Green Yu Fund of China Chemical Fiber Industry Association [CCFA-LVYU-9-02]</t>
  </si>
  <si>
    <t>State Key Laboratory of Bio-Fibers and Eco-Textiles (Qingdao University); National Natural Science Foundation of China(National Natural Science Foundation of China (NSFC)); Green Yu Fund of China Chemical Fiber Industry Association</t>
  </si>
  <si>
    <t>This article was supported by State Key Laboratory of Bio-Fibers and Eco-Textiles (Qingdao University) , No. KFKT202201; The National Natural Science Foundation of China, No. 51773024; The Green Yu Fund of China Chemical Fiber Industry Association, No. CCFA-LVYU-9-02.</t>
  </si>
  <si>
    <t>THE BOULEVARD, LANGFORD LANE, KIDLINGTON, OXFORD OX5 1GB, OXON, ENGLAND</t>
  </si>
  <si>
    <t>1359-5113</t>
  </si>
  <si>
    <t>1873-3298</t>
  </si>
  <si>
    <t>PROCESS BIOCHEM</t>
  </si>
  <si>
    <t>Process Biochem.</t>
  </si>
  <si>
    <t>10.1016/j.procbio.2023.10.014</t>
  </si>
  <si>
    <t>Biochemistry &amp; Molecular Biology; Biotechnology &amp; Applied Microbiology; Engineering, Chemical</t>
  </si>
  <si>
    <t>Biochemistry &amp; Molecular Biology; Biotechnology &amp; Applied Microbiology; Engineering</t>
  </si>
  <si>
    <t>Z0RL0</t>
  </si>
  <si>
    <t>WOS:001109239600001</t>
  </si>
  <si>
    <t>Poopakun, K; Nuntiyakul, W; Khamphakdee, S; Seripienlert, A; Ruffolo, D; Evenson, P; Jiang, P; Chuanraksasat, P; Munakata, K; Duldig, ML; Humble, JE; Madsen, J; Soonthornthum, B; Komonjinda, S</t>
  </si>
  <si>
    <t>Poopakun, K.; Nuntiyakul, W.; Khamphakdee, S.; Seripienlert, A.; Ruffolo, D.; Evenson, P.; Jiang, P.; Chuanraksasat, P.; Munakata, K.; Duldig, M. L.; Humble, J. E.; Madsen, J.; Soonthornthum, B.; Komonjinda, S.</t>
  </si>
  <si>
    <t>Solar Magnetic Polarity Effect on Neutron Monitor Count Rates: Comparing Latitude Surveys and Antarctic Stations</t>
  </si>
  <si>
    <t>ASTROPHYSICAL JOURNAL</t>
  </si>
  <si>
    <t>COSMIC-RAYS; MODULATION; PARTICLES; FIELD</t>
  </si>
  <si>
    <t>The Galactic cosmic-ray spectrum manifests pronounced variations over the 11 yr sunspot cycle and more subtle variations over the 22 yr solar magnetic cycle. An important tool to study these variations is repeated latitude surveys with neutron monitors (NMs) on board icebreakers in conjunction with land-based references. We revisit 13 annual latitude surveys from 1994 to 2007 using reference data from the Mawson NM instead of McMurdo NM (which closed in 2017). We then consider two more latitude surveys (2018 and 2019) with a monitor similar to the 3NM64 in the previous surveys but without lead rings around the central tube, a so-called semi-leaded neutron monitor. The new surveys extend the linear relationship among data taken at different cutoff rigidity ranges. They also confirm the crossover measured near solar minima during epochs of opposite solar magnetic polarity and the absence of a crossover for epochs having the same solar magnetic polarity.</t>
  </si>
  <si>
    <t>[Poopakun, K.] Chiang Mai Univ, Fac Sci, Dept Phys &amp; Mat Sci, Grad Program Astron, Chiang Mai, Thailand; [Nuntiyakul, W.; Khamphakdee, S.; Komonjinda, S.] Chiang Mai Univ, Fac Sci, Dept Phys &amp; Mat Sci, Chiang Mai 50200, Thailand; [Seripienlert, A.; Chuanraksasat, P.; Soonthornthum, B.] Natl Astron Res Inst Thailand NARIT, Chiang Mai 50180, Thailand; [Ruffolo, D.] Mahidol Univ, Fac Sci, Dept Phys, Bangkok 10400, Thailand; [Evenson, P.] Univ Delaware, Dept Phys &amp; Astron, Newark, DE 19716 USA; [Jiang, P.] Polar Res Inst China, Shanghai 200136, Peoples R China; [Munakata, K.] Shinshu Univ, Phys Dept, Matsumoto, Nagano 3908621, Japan; [Duldig, M. L.; Humble, J. E.] Univ Tasmania, Sch Nat Sci, Hobart, Tas 7001, Australia; [Madsen, J.] Univ Wisconsin Madison, Wisconsin IceCube Particle Astrophys Ctr, Madison, WI 53703 USA</t>
  </si>
  <si>
    <t>Chiang Mai University; Chiang Mai University; Mahidol University; University of Delaware; Polar Research Institute of China; Shinshu University; University of Tasmania; University of Wisconsin System; University of Wisconsin Madison</t>
  </si>
  <si>
    <t>Poopakun, K (corresponding author), Chiang Mai Univ, Fac Sci, Dept Phys &amp; Mat Sci, Grad Program Astron, Chiang Mai, Thailand.</t>
  </si>
  <si>
    <t>Munakata, Kazuoki/0000-0002-2131-4100; Ruffolo, David/0000-0003-3414-9666; Evenson, Paul/0000-0001-7929-810X; POOPAKUN, KLEDSAI/0000-0002-8959-3273; Duldig, Marcus/0000-0001-7463-8267; Nuntiyakul, Waraporn/0000-0002-1664-5845; Khamphakdee, Sidarat/0009-0008-8182-1180</t>
  </si>
  <si>
    <t>The 2018 and 2019 surveys were conducted in cooperation with the Polar Research Institute of China (PRIC). We gratefully acknowledge the logistical support provided by Australia's Antarctic Program for operating the Mawson neutron monitor. This research wa; Polar Research Institute of China (PRIC); Australia's Antarctic Program for operating the Mawson neutron monitor [B39G660028]; Development and Promotion of Science and Technology Talents Project (DPST), NSRF via the Program Management Unit for Human Resources amp; Institutional Development, Research, and Innovation; National Science and Technology Development Agency (NSTDA) [N42A650868]; National Research Council of Thailand (NRCT): High-Potential Research Team Grant Program; ITSC of Chiang Mai University</t>
  </si>
  <si>
    <t>The 2018 and 2019 surveys were conducted in cooperation with the Polar Research Institute of China (PRIC). We gratefully acknowledge the logistical support provided by Australia's Antarctic Program for operating the Mawson neutron monitor. This research wa; Polar Research Institute of China (PRIC); Australia's Antarctic Program for operating the Mawson neutron monitor; Development and Promotion of Science and Technology Talents Project (DPST), NSRF via the Program Management Unit for Human Resources amp; Institutional Development, Research, and Innovation; National Science and Technology Development Agency (NSTDA); National Research Council of Thailand (NRCT): High-Potential Research Team Grant Program; ITSC of Chiang Mai University</t>
  </si>
  <si>
    <t>The 2018 and 2019 surveys were conducted in cooperation with the Polar Research Institute of China (PRIC). We gratefully acknowledge the logistical support provided by Australia's Antarctic Program for operating the Mawson neutron monitor. This research was supported by the Development and Promotion of Science and Technology Talents Project (DPST), NSRF via the Program Management Unit for Human Resources &amp; Institutional Development, Research, and Innovation (grant No. B39G660028), and the National Science and Technology Development Agency (NSTDA) and National Research Council of Thailand (NRCT): High-Potential Research Team Grant Program (N42A650868). We also extend our appreciation to the Northern Science Park (Chiang Mai) for providing laboratory space that enabled our research team to function smoothly. Additionally, we are thankful to the ITSC of Chiang Mai University for providing us with an on-demand server to facilitate the processing of cutoff rigidity calculations.</t>
  </si>
  <si>
    <t>0004-637X</t>
  </si>
  <si>
    <t>1538-4357</t>
  </si>
  <si>
    <t>ASTROPHYS J</t>
  </si>
  <si>
    <t>Astrophys. J.</t>
  </si>
  <si>
    <t>10.3847/1538-4357/ad02f1</t>
  </si>
  <si>
    <t>X9UX8</t>
  </si>
  <si>
    <t>WOS:001101837400001</t>
  </si>
  <si>
    <t>Torres-Benitez, A; Ortega-Valencia, JE; Jara-Pinuer, N; Sanchez, M; Vargas-Arana, G; Gómez-Serranillos, MP; Simirgiotis, MJ</t>
  </si>
  <si>
    <t>Torres-Benitez, Alfredo; Ortega-Valencia, Jose Erick; Jara-Pinuer, Nicolas; Sanchez, Marta; Vargas-Arana, Gabriel; Gomez-Serranillos, Maria Pilar; Simirgiotis, Mario J.</t>
  </si>
  <si>
    <t>Antioxidant and antidiabetic activity and phytoconstituents of lichen extracts with temperate and polar distribution</t>
  </si>
  <si>
    <t>FRONTIERS IN PHARMACOLOGY</t>
  </si>
  <si>
    <t>Ochrolechia; Placopsis; Umbilicaria; bioactive compounds; antioxidant; enzyme inhibition; Antarctic lichens</t>
  </si>
  <si>
    <t>USNIC ACID; IN-VITRO; SECONDARY METABOLITE; ATRANORIN; DAMAGE</t>
  </si>
  <si>
    <t>The objective of this research was to characterize the chemical composition of ethanolic extracts of the lichen species Placopsis contortuplicata, Ochrolechia frigida, and Umbilicaria antarctica, their antioxidant activity, and enzymatic inhibition through in vitro and molecular docking analysis. In total phenol content, FRAP, ORAC, and DPPH assays, the extracts showed significant antioxidant activity, and in in vitro assays for the inhibition of pancreatic lipase, alpha-glucosidase, and alpha-amylase enzymes, together with in silico studies for the prediction of pharmacokinetic properties, toxicity risks, and intermolecular interactions of compounds, the extracts evidenced inhibitory potential. A total of 13 compounds were identified by UHPLC-ESI-QTOF-MS in P. contortuplicata, 18 compounds in O. frigida, and 12 compounds in U. antarctica. This study contributes to the knowledge of the pool of bioactive compounds present in lichens of temperate and polar distribution and biological characteristics that increase interest in the discovery of natural products that offer alternatives for treatment studies of diseases related to oxidative stress and metabolic syndrome.</t>
  </si>
  <si>
    <t>[Torres-Benitez, Alfredo; Jara-Pinuer, Nicolas; Simirgiotis, Mario J.] Univ Austral Chile, Fac Ciencias, Inst Farm, Valdivia, Chile; [Ortega-Valencia, Jose Erick] Tecnol Nacl Mexico, Inst Tecnol Tlalnepantla, Tlalnepantla Baz, Mexico; [Sanchez, Marta; Gomez-Serranillos, Maria Pilar] Univ Complutense Madrid, Fac Farm, Dept Farmacol Farmacognosia &amp; Bot, Madrid, Spain; [Vargas-Arana, Gabriel] Inst Invest Amazonia Peruana, Lab Quim Prod Nat, Ave Abelardo Quinones, Iquitos, Peru; [Vargas-Arana, Gabriel] Univ Nacl Amazonia Peruana, Fac Ind Alimentarias, Iquitos, Peru</t>
  </si>
  <si>
    <t>Universidad Austral de Chile; Complutense University of Madrid; Universidad Nacional de la Amazonia Peruana</t>
  </si>
  <si>
    <t>Simirgiotis, MJ (corresponding author), Univ Austral Chile, Fac Ciencias, Inst Farm, Valdivia, Chile.</t>
  </si>
  <si>
    <t>mario.simirgiotis@uach.cl</t>
  </si>
  <si>
    <t>Vargas-Arana, Gabriel/F-5270-2017</t>
  </si>
  <si>
    <t>Vargas-Arana, Gabriel/0000-0002-0808-4283</t>
  </si>
  <si>
    <t>This work was supported by the Instituto Antrtico Chileno (grant INACH RT 16-17) (MJS), the Spanish Ministry of Science, Innovation, and Universities (PID 2019-105312GB-100) (MG-S), and ANID PFCHA/Beca Doctorado Nacional/1741/2022 (AT-B). [INACH RT 16-17]; Spanish Ministry of Science, Innovation [PID 2019-105312GB-100]</t>
  </si>
  <si>
    <t>This work was supported by the Instituto Antrtico Chileno (grant INACH RT 16-17) (MJS), the Spanish Ministry of Science, Innovation, and Universities (PID 2019-105312GB-100) (MG-S), and ANID PFCHA/Beca Doctorado Nacional/1741/2022 (AT-B).; Spanish Ministry of Science, Innovation(Spanish Government)</t>
  </si>
  <si>
    <t>This work was supported by the Instituto Antartico Chileno (grant INACH RT 16-17) (MJS), the Spanish Ministry of Science, Innovation, and Universities (PID 2019-105312GB-100) (MG-S), and ANID PFCHA/Beca Doctorado Nacional/1741/2022 (AT-B).r This work was supported by the Instituto Antartico Chileno (grant INACH RT 16-17) (MJS), the Spanish Ministry of Science, Innovation, and Universities (PID 2019-105312GB-100) (MG-S), and ANID PFCHA/Beca Doctorado Nacional/1741/2022 (AT-B).</t>
  </si>
  <si>
    <t>1663-9812</t>
  </si>
  <si>
    <t>FRONT PHARMACOL</t>
  </si>
  <si>
    <t>Front. Pharmacol.</t>
  </si>
  <si>
    <t>10.3389/fphar.2023.1251856</t>
  </si>
  <si>
    <t>Y3ZA3</t>
  </si>
  <si>
    <t>WOS:001104669100001</t>
  </si>
  <si>
    <t>Gao, SJ; Hao, WF; Fan, Y; Li, F; Wang, J</t>
  </si>
  <si>
    <t>Gao, Shengjun; Hao, Weifeng; Fan, Yi; Li, Fei; Wang, Jing</t>
  </si>
  <si>
    <t>A Multi-Source GRACE Fusion Solution via Uncertainty Quantification of GRACE-Derived Terrestrial Water Storage (TWS) Change</t>
  </si>
  <si>
    <t>GRACE/GRACE-FO; terrestrial water storage change; uncertainty; geodesy; fusion model</t>
  </si>
  <si>
    <t>SEA-LEVEL RISE; ICE MASS-LOSS; GROUNDWATER DEPLETION; GRAVITY-FIELD; MIDDLE-EAST; GREENLAND; VARIABILITY; MODEL; EVAPOTRANSPIRATION; ACCELERATION</t>
  </si>
  <si>
    <t>In analyzing terrestrial water storage (TWS) data observed by Gravity Recovery and Climate Experiment (GRACE) and GRACE Follow-On satellites, quantifying uncertainties proves challenging due to the scarcity of sufficient independent observations of mass changes at scales commensurate with these missions. Moreover, owing to the diverse geophysical background models and processing techniques utilized by data processing centers, reaching consistent mass change estimations within specific regions of published solutions often proves arduous. We, therefore, quantified the uncertainty of the GRACE-derived TWS changes by using the generalized three-cornered hat method without relying on any prior knowledge and fused it to generate a higher-quality solution. The findings reveal that of the six solutions, the Center for Space Research spherical harmonics (SH) solution exhibits the lowest uncertainty and highest signal-to-noise ratio (SNR) at both global and basin scales, and the Goddard Space Flight Center Mascon solution outperforms other Mascon counterparts. The fusion solution has an average 36.56% reduction in uncertainty and a 1.92-fold improvement in SNR at the basin scale, and the improvement in SNR is particularly significant in regions with drastic mass changes. The global distribution patterns of the uncertainties associated with Mascon and SH solutions exhibit distinct differences. Mascon solutions result in significant signal leakage around regions characterized by the most substantial global mass variability. Additionally, transient mass changes triggered by super earthquake events in the ocean also produce similar scars in the global spatial distribution of uncertainties. The analysis of 142 basins worldwide shows that basins with more significant TWS annual oscillations have larger uncertainties but also better SNR.</t>
  </si>
  <si>
    <t>[Gao, Shengjun; Hao, Weifeng; Fan, Yi; Li, Fei] Wuhan Univ, Chinese Antarctic Ctr Surveying &amp; Mapping, Wuhan, Peoples R China; [Hao, Weifeng; Li, Fei] Wuhan Univ, Key Lab Polar Environm Monitoring &amp; Publ Governanc, Minist Educ, Wuhan, Peoples R China; [Wang, Jing] Xidian Univ, Guangzhou Inst Technol, Guangzhou, Peoples R China</t>
  </si>
  <si>
    <t>Wuhan University; Wuhan University; Xidian University</t>
  </si>
  <si>
    <t>Hao, WF (corresponding author), Wuhan Univ, Chinese Antarctic Ctr Surveying &amp; Mapping, Wuhan, Peoples R China.;Hao, WF (corresponding author), Wuhan Univ, Key Lab Polar Environm Monitoring &amp; Publ Governanc, Minist Educ, Wuhan, Peoples R China.</t>
  </si>
  <si>
    <t>haowf@whu.edu.cn</t>
  </si>
  <si>
    <t>This work was supported by the Natural Science Foundation of Hubei province under Grant 2021CFB431. We are thankful to the two reviewers as well as the editor and associate editor, for their valuable comments and suggestions. Acknowledgments are due to the [2021CFB431]; Natural Science Foundation of Hubei province; University of Texas Center for Space Research</t>
  </si>
  <si>
    <t>This work was supported by the Natural Science Foundation of Hubei province under Grant 2021CFB431. We are thankful to the two reviewers as well as the editor and associate editor, for their valuable comments and suggestions. Acknowledgments are due to the; Natural Science Foundation of Hubei province(Natural Science Foundation of Hubei Province); University of Texas Center for Space Research</t>
  </si>
  <si>
    <t>This work was supported by the Natural Science Foundation of Hubei province under Grant 2021CFB431. We are thankful to the two reviewers as well as the editor and associate editor, for their valuable comments and suggestions. Acknowledgments are due to the GRACE science team generously supplying the GRACE and GRACE-FO RL06 spherical harmonic solutions. Appreciation is also extended to the NASA Goddard Space Flight Center, the University of Texas Center for Space Research, and the Deutsches GeoForschungsZentrum for their respective contributions to providing the RL06 Mascon solutions.</t>
  </si>
  <si>
    <t>e2023JB026908</t>
  </si>
  <si>
    <t>10.1029/2023JB026908</t>
  </si>
  <si>
    <t>X1UL9</t>
  </si>
  <si>
    <t>WOS:001096369300001</t>
  </si>
  <si>
    <t>Quiroga, MV; Stegen, JC; Mataloni, G; Cowan, D; Lebre, PH; Valverde, A</t>
  </si>
  <si>
    <t>Quiroga, Maria V.; Stegen, James C.; Mataloni, Gabriela; Cowan, Don; Lebre, Pedro H.; Valverde, Angel</t>
  </si>
  <si>
    <t>Microdiverse bacterial clades prevail across Antarctic wetlands</t>
  </si>
  <si>
    <t>MOLECULAR ECOLOGY</t>
  </si>
  <si>
    <t>Antarctica; homogeneous selection; microdiversity; null models</t>
  </si>
  <si>
    <t>BIOGEOGRAPHY; NOV.</t>
  </si>
  <si>
    <t>Antarctica's extreme environmental conditions impose selection pressures on microbial communities. Indeed, a previous study revealed that bacterial assemblages at the Cierva Point Wetland Complex (CPWC) are shaped by strong homogeneous selection. Yet which bacterial phylogenetic clades are shaped by selection processes and their ecological strategies to thrive in such extreme conditions remain unknown. Here, we applied the phyloscore and feature-level beta NTI indexes coupled with phylofactorization to successfully detect bacterial monophyletic clades subjected to homogeneous (HoS) and heterogenous (HeS) selection. Remarkably, only the HoS clades showed high relative abundance across all samples and signs of putative microdiversity. The majority of the amplicon sequence variants (ASVs) within each HoS clade clustered into a unique 97% sequence similarity operational taxonomic unit (OTU) and inhabited a specific environment (lotic, lentic or terrestrial). Our findings suggest the existence of microdiversification leading to sub-taxa niche differentiation, with putative distinct ecotypes (consisting of groups of ASVs) adapted to a specific environment. We hypothesize that HoS clades thriving in the CPWC have phylogenetically conserved traits that accelerate their rate of evolution, enabling them to adapt to strong spatio-temporally variable selection pressures. Variable selection appears to operate within clades to cause very rapid microdiversification without losing key traits that lead to high abundance. Variable and homogeneous selection, therefore, operate simultaneously but on different aspects of organismal ecology. The result is an overall signal of homogeneous selection due to rapid within-clade microdiversification caused by variable selection. It is unknown whether other systems experience this dynamic, and we encourage future work evaluating the transferability of our results.</t>
  </si>
  <si>
    <t>[Quiroga, Maria V.] Inst Tecnol Chascomus CONICET UNSAM, Buenos Aires, Argentina; [Quiroga, Maria V.] Escuela Bio &amp; Nanotecnol UNSAM, Buenos Aires, Argentina; [Stegen, James C.] Pacific Northwest Natl Lab, Ecosyst Sci Team, Richland, WA USA; [Mataloni, Gabriela] CONICET UNSAM, Inst Invest Ingn Ambiental IIIA, Buenos Aires, Argentina; [Cowan, Don; Lebre, Pedro H.] Univ Pretoria, Ctr Microbial Ecol &amp; Genom CMEG, Dept Biochem Genet &amp; Microbiol, Pretoria, South Africa; [Valverde, Angel] CSIC, Inst Recursos Nat &amp; Agrobiol Salamanca IRNASA, Salamanca, Spain</t>
  </si>
  <si>
    <t>United States Department of Energy (DOE); Pacific Northwest National Laboratory; Consejo Nacional de Investigaciones Cientificas y Tecnicas (CONICET); University of Pretoria; Consejo Superior de Investigaciones Cientificas (CSIC); CSIC - Instituto de Recursos Naturales y Agrobiologia de Salamanca (IRNASA)</t>
  </si>
  <si>
    <t>Quiroga, MV (corresponding author), Inst Tecnol Chascomus CONICET UNSAM, Buenos Aires, Argentina.;Valverde, A (corresponding author), CSIC, Inst Recursos Nat &amp; Agrobiol Salamanca IRNASA, Salamanca, Spain.</t>
  </si>
  <si>
    <t>mvquiroga@iib.unsam.edu.ar; angel.valverde@csic.es</t>
  </si>
  <si>
    <t>Quiroga, Maria Victoria/JUV-5976-2023; Stegen, James/Q-3078-2016; Valverde, Angel/C-1308-2009</t>
  </si>
  <si>
    <t>Quiroga, Maria Victoria/0000-0002-6223-334X; Stegen, James/0000-0001-9135-7424; Valverde, Angel/0000-0003-0439-9605; Bixirao Neto Marinho Lebre, Pedro Humberto/0000-0002-6483-0340</t>
  </si>
  <si>
    <t>ANPCyT -Argentina [PICT 2016-2517, PICT 2020-3113]; European Union; Instituto Antartico Argentino -Direccion Nacional del Antartico; Junta de Castilla y Leon [CLU-2019-05 IRNASA/CSIC]; NRF -South Africa; U.S. Department of Energy-BER program [DE-AC05-76RL0183 0-JCS]</t>
  </si>
  <si>
    <t>ANPCyT -Argentina(ANPCyT); European Union(European Union (EU)); Instituto Antartico Argentino -Direccion Nacional del Antartico; Junta de Castilla y Leon(Junta de Castilla y Leon); NRF -South Africa(National Research Foundation - South Africa); U.S. Department of Energy-BER program(United States Department of Energy (DOE))</t>
  </si>
  <si>
    <t>ANPCyT -Argentina, Grant/Award Number: PICT 2016-2517 and PICT 2020-3113; European Union; Instituto Antartico Argentino -Direccion Nacional del Antartico; Junta de Castilla y Leon, Grant/Award Number: CLU-2019-05 IRNASA/CSIC; NRF -South Africa; U.S. Department of Energy-BER program, Grant/Award Number: Contract DE-AC05-76RL0183 0-JCS</t>
  </si>
  <si>
    <t>0962-1083</t>
  </si>
  <si>
    <t>1365-294X</t>
  </si>
  <si>
    <t>MOL ECOL</t>
  </si>
  <si>
    <t>Mol. Ecol.</t>
  </si>
  <si>
    <t>10.1111/mec.17189</t>
  </si>
  <si>
    <t>Biochemistry &amp; Molecular Biology; Ecology; Evolutionary Biology</t>
  </si>
  <si>
    <t>Biochemistry &amp; Molecular Biology; Environmental Sciences &amp; Ecology; Evolutionary Biology</t>
  </si>
  <si>
    <t>GQ1Y0</t>
  </si>
  <si>
    <t>WOS:001096230700001</t>
  </si>
  <si>
    <t>Vega-Bello, M; Moreno, M; Estellés-Leal, R; Hernández-Andreu, J; Prieto-Ruiz, JA</t>
  </si>
  <si>
    <t>Jesus Vega-Bello, Maria; Luz Moreno, Mari; Estelles-Leal, Rossana; Miguel Hernandez-Andreu, Jose; Prieto-Ruiz, Jesus A.</t>
  </si>
  <si>
    <t>Usnea aurantiaco-atra (Jacq) Bory: Metabolites and Biological Activities</t>
  </si>
  <si>
    <t>MOLECULES</t>
  </si>
  <si>
    <t>antioxidant activity; cytotoxicity; phenolic metabolites; Usnea aurantiaco-atra; usnic acid</t>
  </si>
  <si>
    <t>ANTIOXIDANT ACTIVITY; USNIC ACID; CYTOTOXIC ACTIVITY; IDENTIFICATION; CRINOSTEROL; LICHENS; STEROL</t>
  </si>
  <si>
    <t>Background: Lichens are complex symbiotic associations between a fungus and an alga or cyanobacterium. Due to their great adaptability to the environment, they have managed to colonize many terrestrial habitats, presenting a worldwide distribution from the poles to the tropical regions and from the plains to the highest mountains. In the flora of the Antarctic region, lichens stand out due to their variety and development and are a potential source of new bioactive compounds. Methods: A phytochemical study of the Antarctic lichen Usnea aurantiaco-atra (Jacq) Bory was conducted with the intention of determining the most important metabolites. In addition, the cytotoxic and antioxidant activities of its extracts were determined. Results: Cytotoxicity studies revealed that the hexane extract contains usnic acid as a majority metabolite, in addition to linoleic acid, ergosterols and terpenes, and demonstrates cytotoxic activity against an A375 melanoma cell line. On the other hand, the presence of total phenols in the extracts did not influence their antioxidant activity. Conclusions: U. aurantiaco-atra contains mainly usnic acid, although there are terpenes and ergosta compounds that could be responsible for its cytotoxic activity. The presence of phenols did not confer antioxidant properties.</t>
  </si>
  <si>
    <t>[Jesus Vega-Bello, Maria; Estelles-Leal, Rossana; Miguel Hernandez-Andreu, Jose; Prieto-Ruiz, Jesus A.] Catholic Univ Valencia San Vicente Martir, Dept Basic Biomed Sci, C Quevedo 2, Valencia 46001, Spain; [Luz Moreno, Mari] Catholic Univ Valencia San Vicente Martir, Dept Anat &amp; Physiol, C Quevedo 2, Valencia 46001, Spain; [Miguel Hernandez-Andreu, Jose; Prieto-Ruiz, Jesus A.] Catholic Univ Valencia San Vicente Martir, Mol &amp; Mitochondrial Med Res Grp, Valencia 46001, Spain</t>
  </si>
  <si>
    <t>Universidad Catolica de Valencia San Vicente Martir; Universidad Catolica de Valencia San Vicente Martir; Universidad Catolica de Valencia San Vicente Martir</t>
  </si>
  <si>
    <t>Hernández-Andreu, J (corresponding author), Catholic Univ Valencia San Vicente Martir, Dept Basic Biomed Sci, C Quevedo 2, Valencia 46001, Spain.;Hernández-Andreu, J (corresponding author), Catholic Univ Valencia San Vicente Martir, Mol &amp; Mitochondrial Med Res Grp, Valencia 46001, Spain.</t>
  </si>
  <si>
    <t>mj.vega@ucv.es; ml.moreno@ucv.es; rossana.estelles@ucv.es; jmiguel.hernandez@ucv.es; jesus.prieto@ucv.es</t>
  </si>
  <si>
    <t>Moreno, Mari Luz/0000-0002-2471-0862</t>
  </si>
  <si>
    <t>Catholic University of Valencia San Vicente Martir [2011-011-012]</t>
  </si>
  <si>
    <t>Catholic University of Valencia San Vicente Martir</t>
  </si>
  <si>
    <t>This work was supported by Catholic University of Valencia San Vicente Martir (Grant number: 2011-011-012).</t>
  </si>
  <si>
    <t>1420-3049</t>
  </si>
  <si>
    <t>Molecules</t>
  </si>
  <si>
    <t>10.3390/molecules28217317</t>
  </si>
  <si>
    <t>Y2BW1</t>
  </si>
  <si>
    <t>WOS:001103382400001</t>
  </si>
  <si>
    <t>Ribeiro, N; Herraiz-Borreguero, L; Rintoul, SR; Williams, G; Mcmahon, CR; Hindell, M; Guinet, C</t>
  </si>
  <si>
    <t>Ribeiro, Natalia; Herraiz-Borreguero, Laura; Rintoul, Stephen R.; Williams, Guy; Mcmahon, Clive R.; Hindell, Mark; Guinet, Christophe</t>
  </si>
  <si>
    <t>Oceanic Regime Shift to a Warmer Continental Shelf Adjacent to the Shackleton Ice Shelf, East Antarctica</t>
  </si>
  <si>
    <t>East Antarctic margins; modified Circumpolar Deep Water (mCDW) intrusions; basal melting of ice shelves; DSW freshening; climate change; Southern Ocean</t>
  </si>
  <si>
    <t>WATER MASSES; BASAL MELT; SEA-WATER; VARIABILITY; CIRCULATION; IMPACT; ISLAND</t>
  </si>
  <si>
    <t>The long-held view that the East Antarctic margin is isolated from warm offshore waters has been challenged by recent observations showing incursions of warm modified Circumpolar Deep Water (mCDW) reaching several East Antarctic ice shelves. However, large areas of the East Antarctic continental shelf remain poorly observed, making it challenging to determine if the supply of oceanic heat to the ice shelves is changing. Here, we use temperature and salinity profiles to the west of the Shackleton Ice Shelf (SIS; approximate to 100 degrees E) spanning 60 years to assess the variability of the water masses in the context of a changing climate. We document warming and freshening of shelf waters. Prior to 1996, cold mCDW water (theta &lt; -1.6 degrees C) was found below the surface mixed layer and cold Dense Shelf Water (DSW) with a salinity of &gt;34.5 dominated the water column. After 2010, warm mCDW (&gt;= -1.0 degrees C) was widespread over the continental shelf and DSW with salinity over 34.5 was no longer present. The mixing ratio of glacial meltwater indicates that warm mCDW observed in 2011 caused basal melting of the SIS, possibly reducing the salinity of DSW. Increased access of warm waters to the continental shelf may have also occurred on the eastern side of the ice shelf, where glaciological evidence shows the grounding line has retreated. These observations suggest a shift occurred prior to 2011 that has increased the ocean heat supply to the continental shelf and to the SIS, increasing basal melt and reducing DSW formation.</t>
  </si>
  <si>
    <t>[Ribeiro, Natalia; Hindell, Mark] Univ Tasmania, Inst Marine &amp; Antarctic Studies, Hobart, Tas, Australia; [Herraiz-Borreguero, Laura; Rintoul, Stephen R.] CSIRO, Hobart, Tas, Australia; [Herraiz-Borreguero, Laura; Rintoul, Stephen R.] Univ Tasmania, Australian Antarctic Program Partnership, Hobart, Tas, Australia; [Williams, Guy] First Inst Oceanog, Qingdao, Peoples R China; [Williams, Guy] Ocean Univ China, Qingdao, Peoples R China; [Mcmahon, Clive R.] Sydney Inst Marine Sci, IMOS Anim Tagging, Mosman, NSW, Australia; [Guinet, Christophe] Rochelle Univ, Ctr Etud Biol Chize, CNRS, UMR 7372, Villiers En Bois, France</t>
  </si>
  <si>
    <t>University of Tasmania; Commonwealth Scientific &amp; Industrial Research Organisation (CSIRO); University of Tasmania; First Institute of Oceanography, Ministry of Natural Resources; Ocean University of China; Sydney Institute of Marine Science; Centre National de la Recherche Scientifique (CNRS); CNRS - Institute of Ecology &amp; Environment (INEE)</t>
  </si>
  <si>
    <t>Ribeiro, N (corresponding author), Univ Tasmania, Inst Marine &amp; Antarctic Studies, Hobart, Tas, Australia.</t>
  </si>
  <si>
    <t>natalia.ribeirosantos@utas.edu.au</t>
  </si>
  <si>
    <t>McMahon, Clive R/D-5713-2013</t>
  </si>
  <si>
    <t>McMahon, Clive R/0000-0001-5241-8917; Hindell, Mark/0000-0002-7823-7185</t>
  </si>
  <si>
    <t>University of Tasmania [DP180101667]; Australian Research Council [ASCI00002]; Australian Government as part of the Antarctic Science Collaboration Initiative program; Centre for Southern Hemisphere Oceans Research; CSIRO; Qingdao National Laboratory for Marine Science and Technology (QNLM) [109, 1201, CNES-TOSCA]; University of New South Wales; Integrated Marine Observing System (IMOS); Wiley - University of Tasmania agreement via the Council of Australian University Librarians</t>
  </si>
  <si>
    <t>University of Tasmania; Australian Research Council(Australian Research Council); Australian Government as part of the Antarctic Science Collaboration Initiative program(Australian Government); Centre for Southern Hemisphere Oceans Research(Commonwealth Scientific &amp; Industrial Research Organisation (CSIRO)); CSIRO(Commonwealth Scientific &amp; Industrial Research Organisation (CSIRO)); Qingdao National Laboratory for Marine Science and Technology (QNLM); University of New South Wales; Integrated Marine Observing System (IMOS); Wiley - University of Tasmania agreement via the Council of Australian University Librarians</t>
  </si>
  <si>
    <t>This project and authors received grant funding from the University of Tasmania, the Australian Research Council (DP180101667), and the Australian Government as part of the Antarctic Science Collaboration Initiative program (ASCI00002) and by the Centre for Southern Hemisphere Oceans Research, a collaboration between CSIRO, the Qingdao National Laboratory for Marine Science and Technology (QNLM), the University of Tasmania and the University of New South Wales. The seal CTD-SRDL tags and deployment were funded and supported through a collaboration between the French Polar Institute (program 109: PI. H. Weimerskirch and 1201: PI. C. Gilbert and C. Guinet), the SNO-MEMO and CNES-TOSCA and the Integrated Marine Observing System (IMOS). IMOS is enabled by the National Collaborative Research Infrastructure Strategy (NCRIS) and is operated by a consortium of institutions as an unincorporated joint venture, with the University of Tasmania as Lead Agent. The authors would like to thank the MEOP consortium and all scientists who participated in the data collection and processing of the Southern Ocean Data Base (SODB), World Ocean Atlas (WOA), and WOCE Global Hydrographic Climatology (WOCE), making all data used in this work free and publicly available. We would like to thank Dr. Sarah Thompson and Dr. Roland Warner from UTAS for their advice regarding reviewers' glaciological enquiries, and Ms Esmee van Wijk for her support on the enquiries regarding the east of the Shackleton Ice Shelf, during the peer-review process of this manuscript. Finally, we would also like to thank and acknowledge Dr. Kaihe Yamazaki and the anonymous reviewers for their thorough, thoughtful and positive reviews of our paper. Our paper has been improved greatly by their input. Open access publishing facilitated by University of Tasmania, as part of the Wiley - University of Tasmania agreement via the Council of Australian University Librarians.</t>
  </si>
  <si>
    <t>e2023JC019882</t>
  </si>
  <si>
    <t>10.1029/2023JC019882</t>
  </si>
  <si>
    <t>X5MP7</t>
  </si>
  <si>
    <t>WOS:001098892900001</t>
  </si>
  <si>
    <t>Karam, S; Heuzé, C; Müller, V; Zheng, YX</t>
  </si>
  <si>
    <t>Karam, Salar; Heuze, Celine; Mueller, Vasco; Zheng, Yixi</t>
  </si>
  <si>
    <t>Recirculation of Canada Basin Deep Water in the Amundsen Basin, Arctic</t>
  </si>
  <si>
    <t>Ocean; Arctic; Boundary currents; Eddies; Intermediate waters; Water masses/storage</t>
  </si>
  <si>
    <t>OCEAN BOUNDARY CURRENT; ATLANTIC WATER; MESOSCALE EDDIES; LOMONOSOV RIDGE; EURASIAN BASIN; BOTTOM WATER; FRAM STRAIT; ICE; HEAT; FLOW</t>
  </si>
  <si>
    <t>It is evident from hydrographic profiles in the Arctic Ocean that relatively warm and salty Canada Basin Deep Water (CBDW) flows over the Lomonosov Ridge into the Amundsen Basin, in the Eurasian Arctic. However, oceanographic data in the deep Arctic Ocean are scarce, making it difficult to analyze the spatial extent or the dynamics of this inflow. Here we present new hydrographic data from two recent expeditions as well as historical data from previous expeditions in the central Arctic. We use an end-member analysis to quantify the presence of CBDW in the Amundsen and Nansen Basins and infer new circulation pathways. We find that the inflow of CBDW is intermittent, and that it recir-culates in the Amundsen Basin along the Gakkel Ridge. Although the forcing mechanisms for the inflow of CBDW into the Amundsen Basin remain unclear owing to the lack of continuous observations, we demonstrate that density-driven overflows, even intermittent, and the pressure gradient across the Lomonosov Ridge are unlikely drivers. We also find multiple deep eddies with a CBDW content of up to 600 g kg21 and a vertical extent of up to 1200 m in the Amundsen Basin. The high CBDW content of these eddies suggests that they can efficiently trap CBDW and transport its heat and salt over long distances.</t>
  </si>
  <si>
    <t>[Karam, Salar; Heuze, Celine] Univ Gothenburg, Dept Earth Sci, Gothenburg, Sweden; [Mueller, Vasco] Helmholtz Zent Polar &amp; Meeresforsch, Alfred Wegener Inst, Bremerhaven, Germany; [Zheng, Yixi] Univ East Anglia, Ctr Ocean &amp; Atmospher Sci, Sch Environm Sci, Norwich, England</t>
  </si>
  <si>
    <t>University of Gothenburg; Helmholtz Association; Alfred Wegener Institute, Helmholtz Centre for Polar &amp; Marine Research; University of East Anglia</t>
  </si>
  <si>
    <t>Karam, S (corresponding author), Univ Gothenburg, Dept Earth Sci, Gothenburg, Sweden.</t>
  </si>
  <si>
    <t>salar.karam@gu.se</t>
  </si>
  <si>
    <t>Müller, Vasco/JXM-2603-2024; Heuzé, Céline/U-5058-2017</t>
  </si>
  <si>
    <t>Müller, Vasco/0000-0002-8019-2852; Heuzé, Céline/0000-0002-8850-5868; Karam, Salar/0000-0001-5728-5017</t>
  </si>
  <si>
    <t>Swedish Research Council [2018-03859]; Swedish Research Polar Secretariat; EPICA project in the research theme MARE:N-Polarfor- schung/MOSAiC  - German Federal Ministry for Education and Research [H2020-EU.1.1.]; China Scholarship Council; University of East Anglia; European Research Council [741120, NE/W007045/1]; NERC Research Grant [AWI_PS122_00]; Swedish Polar Research Secretariat; MOSAiC20192020; [03F0889A]; Swedish Research Council [2018-03859] Funding Source: Swedish Research Council; European Research Council (ERC) [741120] Funding Source: European Research Council (ERC); NERC [NE/W007045/1] Funding Source: UKRI</t>
  </si>
  <si>
    <t>Swedish Research Council(Swedish Research Council); Swedish Research Polar Secretariat; EPICA project in the research theme MARE:N-Polarfor- schung/MOSAiC  - German Federal Ministry for Education and Research; China Scholarship Council(China Scholarship Council); University of East Anglia; European Research Council(European Research Council (ERC)); NERC Research Grant; Swedish Polar Research Secretariat; MOSAiC20192020; ; Swedish Research Council(Swedish Research Council); European Research Council (ERC)(European Research Council (ERC)Spanish Government); NERC(UK Research &amp; Innovation (UKRI)Natural Environment Research Council (NERC))</t>
  </si>
  <si>
    <t>This work is funded by the Swedish Research Council, Grant 2018-03859, awarded to CH. Particpation of SK in MOSAiC and SAS was supported by the Swedish Research Polar Secretariat. VM was funded by the EPICA project in the research theme MARE:N-Polarfor- schung/MOSAiC  funded by the German Federal Ministry for Education and Research with funding 03F0889A. YZ acknowledges support from the China Scholarship Council, the University of East Anglia, the European Research Council (under H2020-EU.1.1.) Research Grant 741120: Climate -relevant Ocean Measurements and Processes on the Antarctic continental Shelf and Slope (COMPASS) , and the NERC Research Grant NE/W007045/1 NSFGEO-NERC: Collaborative Research: Accelerating Thwaites Ecosystem Impacts for the Southern Ocean (ARTEMIS) . This work was carried out and data used in this manuscript were produced as part of MOSAiC with the tag MOSAiC20192020 (AWI_PS122_00) . We thank all those who contributed to MOSAiC and made this endeavor possible (Nixdorf et al. 2021) . We similarly thank all those who contributed to SAS, and in particular, the Swedish Polar Research Secretariat. Finally, we thank the two anonymous reviewers and the editor Yueng-Djern Lenn for their comments, which greatly improved this manuscript.</t>
  </si>
  <si>
    <t>10.1175/JPO-D-22-0252.1</t>
  </si>
  <si>
    <t>X2BZ5</t>
  </si>
  <si>
    <t>WOS:001096571400001</t>
  </si>
  <si>
    <t>Ray, AE; Tribbia, DZ; Cowan, DA; Ferrari, BC</t>
  </si>
  <si>
    <t>Ray, Angelique E.; Tribbia, Dana Z.; Cowan, Don A.; Ferrari, Belinda C.</t>
  </si>
  <si>
    <t>Clearing the air: unraveling past and guiding future research in atmospheric chemosynthesis</t>
  </si>
  <si>
    <t>MICROBIOLOGY AND MOLECULAR BIOLOGY REVIEWS</t>
  </si>
  <si>
    <t>atmospheric chemosynthesis; microbial ecology; astrobiology; nutrient cycling; climate change; aerobiology; trace gases; hydrogenase; primary production; foundational science</t>
  </si>
  <si>
    <t>CARBON-MONOXIDE OXIDATION; MCMURDO DRY VALLEYS; MOLECULAR-HYDROGEN; GLOBAL ATMOSPHERE; VASCULAR PLANTS; ORGANIC-CARBON; CLIMATE-CHANGE; ENERGY-SOURCE; SOIL; BACTERIA</t>
  </si>
  <si>
    <t>Atmospheric chemosynthesis is a recently proposed form of chemoautotrophic microbial primary production. The proposed process relies on the oxidation of trace concentrations of hydrogen (&lt;= 530 ppbv), carbon monoxide (&lt;= 90 ppbv), and methane (&lt;= 1,870 ppbv) gases using high-affinity enzymes. Atmospheric hydrogen and carbon monoxide oxidation have been primarily linked to microbial growth in desert surface soils scarce in liquid water and organic nutrients, and low in photosynthetic communities. It is well established that the oxidation of trace hydrogen and carbon monoxide gases widely supports the persistence of microbial communities in a diminished metabolic state, with the former potentially providing a reliable source of metabolic water. Microbial atmospheric methane oxidation also occurs in oligotrophic desert soils and is widespread throughout copiotrophic environments, with established links to microbial growth. Despite these findings, the direct link between trace gas oxidation and carbon fixation remains disputable. Here, we review the supporting evidence, outlining major gaps in our understanding of this phenomenon, and propose approaches to validate atmospheric chemosynthesis as a primary production process. We also explore the implications of this minimalistic survival strategy in terms of nutrient cycling, climate change, aerobiology, and astrobiology.</t>
  </si>
  <si>
    <t>[Ray, Angelique E.; Tribbia, Dana Z.; Ferrari, Belinda C.] UNSW Sydney, Sch Biotechnol &amp; Biomol Sci, E26 Biosci South, Sydney, Australia; [Ray, Angelique E.; Tribbia, Dana Z.; Ferrari, Belinda C.] UNSW Sydney, Australian Ctr Astrobiol, Sydney, Australia; [Cowan, Don A.] Univ Pretoria, Ctr Microbial Ecol &amp; Genom, Dept Biochem Genet &amp; Microbiol, Pretoria, South Africa</t>
  </si>
  <si>
    <t>University of New South Wales Sydney; University of New South Wales Sydney; University of Pretoria</t>
  </si>
  <si>
    <t>Ferrari, BC (corresponding author), UNSW Sydney, Sch Biotechnol &amp; Biomol Sci, E26 Biosci South, Sydney, Australia.;Ferrari, BC (corresponding author), UNSW Sydney, Australian Ctr Astrobiol, Sydney, Australia.</t>
  </si>
  <si>
    <t>b.ferrari@unsw.edu.au</t>
  </si>
  <si>
    <t>Ray, Angelique/0000-0003-0051-1938; Ferrari, Belinda/0000-0001-5043-3726; Tribbia, Dana/0000-0003-4165-0352</t>
  </si>
  <si>
    <t>A.E.R. wrote the article and generated the figure. B.C.F., D.A.C., and D.Z.T. were involved in discussions of the content and the revision and editing of the manuscript.</t>
  </si>
  <si>
    <t>This work was supported by the Australian Government Research Training Program (RTP) Scholarship (awarded to D.T.), an Australian Research Council Future Fellowship (FT170100341), an ARC Discovery Project (DP220103430), and the Australian Antarctic Science project grant (4406) awarded to B.C.F. Biorender was used to generate the figure.r A.E.R. wrote the article and generated the figure. B.C.F., D.A.C., and D.Z.T. were involved in discussions of the content and the revision and editing of the manuscript.</t>
  </si>
  <si>
    <t>1092-2172</t>
  </si>
  <si>
    <t>1098-5557</t>
  </si>
  <si>
    <t>MICROBIOL MOL BIOL R</t>
  </si>
  <si>
    <t>Microbiol. Mol. Biol. Rev.</t>
  </si>
  <si>
    <t>10.1128/mmbr.00048-23</t>
  </si>
  <si>
    <t>CW0B3</t>
  </si>
  <si>
    <t>WOS:001095457600001</t>
  </si>
  <si>
    <t>Sauve, J; Gray, AR; Prend, CJ; Bushinsky, SM; Riser, SC</t>
  </si>
  <si>
    <t>Sauve, Jade; Gray, Alison R.; Prend, Channing J.; Bushinsky, Seth M.; Riser, Stephen C.</t>
  </si>
  <si>
    <t>Carbon Outgassing in the Antarctic Circumpolar Current Is Supported by Ekman Transport From the Sea Ice Zone in an Observation-Based Seasonal Mixed-Layer Budget</t>
  </si>
  <si>
    <t>southern ocean; air-sea flux; carbon; mixed layer</t>
  </si>
  <si>
    <t>DISSOLVED INORGANIC CARBON; SURFACE OCEAN PCO(2); SOUTHERN-OCEAN; BIOGEOCHEMICAL TRACERS; GLOBAL OCEAN; CO2; VARIABILITY; FLUX; ALKALINITY; NUTRIENTS</t>
  </si>
  <si>
    <t>Despite its importance for the global cycling of carbon, there are still large gaps in our understanding of the processes driving annual and seasonal carbon fluxes in the high-latitude Southern Ocean. This is due in part to a historical paucity of observations in this remote, turbulent, and seasonally ice-covered region. Here, we use autonomous biogeochemical float data spanning 6 full seasonal cycles and with circumpolar coverage of the Southern Ocean, complemented by atmospheric reanalysis, to construct a monthly climatology of the mixed layer budget of dissolved inorganic carbon (DIC). We investigate the processes that determine the annual mean and seasonal cycle of DIC fluxes in two different zones of the Southern Ocean-the Sea Ice Zone (SIZ) and Antarctic Southern Zone (ASZ). We find that, annually, mixing with carbon-rich waters at the base of the mixed layer supplies DIC which is, in the ASZ, either used for net biological production or outgassed to the atmosphere. In contrast, in the SIZ, where carbon outgassing and the biological pump are weaker, the surplus of DIC is instead advected northward to the ASZ. In other words, carbon outgassing in the southern Antarctic Circumpolar Current (ACC), which has been attributed to remineralized carbon from deep water upwelled in the ACC, is also due to the wind-driven transport of DIC from the SIZ. These results stem from the first observation-based carbon budget of the circumpolar Southern Ocean and thus provide a useful benchmark to evaluate climate models, which have significant biases in this region.</t>
  </si>
  <si>
    <t>[Sauve, Jade; Gray, Alison R.; Prend, Channing J.; Riser, Stephen C.] Univ Washington, Sch Oceanog, Seattle, WA 98195 USA; [Prend, Channing J.] CALTECH, Environm Sci &amp; Engn, Pasadena, CA USA; [Bushinsky, Seth M.] Univ Hawaii Manoa, Sch Ocean &amp; Earth Sci &amp; Technol, Dept Oceanog, Honolulu, HI 96822 USA</t>
  </si>
  <si>
    <t>University of Washington; University of Washington Seattle; California Institute of Technology; University of Hawaii System; University of Hawaii Manoa</t>
  </si>
  <si>
    <t>Sauve, J (corresponding author), Univ Washington, Sch Oceanog, Seattle, WA 98195 USA.</t>
  </si>
  <si>
    <t>jsauve@uw.edu</t>
  </si>
  <si>
    <t>; Bushinsky, Seth/Q-3379-2017</t>
  </si>
  <si>
    <t>Prend, Channing/0000-0003-4661-0480; Bushinsky, Seth/0000-0001-5106-4678; Gray, Alison/0000-0002-1644-7654</t>
  </si>
  <si>
    <t>National Science Foundation; University of Washington Program on Climate Change fellowship; NOAA Climate &amp; Global Change Postdoctoral Fellowship [OCE-1756882]; NSF [DE-SC0022243]; Department of Energy [NSF PLR-1425989]; National Science Foundation, Division of Polar Programs [NNX14AP49B]; NASA; U.S. Department of Energy (DOE) [DE-SC0022243] Funding Source: U.S. Department of Energy (DOE)</t>
  </si>
  <si>
    <t>National Science Foundation(National Science Foundation (NSF)); University of Washington Program on Climate Change fellowship; NOAA Climate &amp; Global Change Postdoctoral Fellowship; NSF(National Science Foundation (NSF)); Department of Energy(United States Department of Energy (DOE)); National Science Foundation, Division of Polar Programs(National Science Foundation (NSF)); NASA(National Aeronautics &amp; Space Administration (NASA)); U.S. Department of Energy (DOE)(United States Department of Energy (DOE))</t>
  </si>
  <si>
    <t>This work was supported through National Science Foundation Grants OPP-193622 (SOCCOM) and awards 1946578 (GO-BGC) and 2110258 (GO-BGC Operational Support). Additionally, we acknowledge the generous continuing support of NOAA through Grant NA20OAR4320271 (US Argo). JS was also partly supported by a University of Washington Program on Climate Change fellowship. CJP also received funding through a NOAA Climate &amp; Global Change Postdoctoral Fellowship. ARG acknowledges additional support from NSF through award OCE-1756882 and from the Department of Energy through Award DE-SC0022243. Profiling float data were collected and made freely available by the Southern Ocean Carbon and Climate Observations and Modeling (SOCCOM) Project funded by the National Science Foundation, Division of Polar Programs (NSF PLR-1425989), supplemented by NASA (NNX14AP49B), and by Argo and the NOAA programs that contribute to it. The Argo data were collected and made freely available by the International Argo Program and the national programs that contribute to it (, ). The Argo Program is part of the Global Ocean Observing System. Generated using Copernicus Climate Change Service information (2021). Input from B. Carter and N. Williams is gratefully acknowledged.</t>
  </si>
  <si>
    <t>e2023JC019815</t>
  </si>
  <si>
    <t>10.1029/2023JC019815</t>
  </si>
  <si>
    <t>W9IY0</t>
  </si>
  <si>
    <t>WOS:001094703800001</t>
  </si>
  <si>
    <t>Vieira, G; Sette, LD; de Angelis, DA; Sass, DC</t>
  </si>
  <si>
    <t>Vieira, Gabrielle; Sette, Lara Duraes; de Angelis, Derlene Attili; Sass, Daiane Cristina</t>
  </si>
  <si>
    <t>Antifungal activity of cyclopaldic acid from Antarctic Penicillium against phytopathogenic fungi</t>
  </si>
  <si>
    <t>3 BIOTECH</t>
  </si>
  <si>
    <t>Cyclopaldic acid; Penicillium; Macrophomina phaseolina; Rhizoctonia solani; Sclerotinia sclerotiorum</t>
  </si>
  <si>
    <t>BIOLOGICAL-ACTIVITIES; DISEASE; ANTIBACTERIAL; METABOLITES; MYCOTOXINS; DIVERSITY; LOSSES; DRUGS; ROT</t>
  </si>
  <si>
    <t>Plant pathogens cause great economic losses in agriculture. To reduce damage, chemical pesticides have been frequently used, but these compounds in addition to causing risks to the environment and health, its continuous use has given rise to resistant phytopathogens, threatening the efficiency of control methods. One alternative for such a problem is the use of natural products with high antifungal activity and low toxicity. Here, we present the production, isolation, and identification of cyclopaldic acid, a bioactive compound produced by Penicillium sp. CRM 1540, a fungal strain isolated from Antarctic marine sediment. The crude extract was fractionated by reversed-phase chromatography and yielded 40 fractions, from which fraction F17 was selected. We used 1D and 2D Nuclear Magnetic Resonance analysis in DMSO-d6 and CDCl3, together with mass spectrometry, to identify the compound as cyclopaldic acid C11H10O6 (238 Da). The pure compound was evaluated for antimicrobial activity against phytopathogenic fungi of global agricultural importance, namely: Macrophomina phaseolina, Rhizoctonia solani, and Sclerotinia sclerotiorum. The antifungal assay revealed the potential of cyclopaldic acid, produced by Penicillium sp. CRM 1540, as a leading molecule against M. phaseolina and R. solani, with more than 90% of growth inhibition after 96h of contact with the fungal cells using 100 mu g mL(-1), and more than 70% using 50 mu g mL(-1).</t>
  </si>
  <si>
    <t>[Vieira, Gabrielle; Sette, Lara Duraes; Sass, Daiane Cristina] Sao Paulo State Univ Campus Rio Claro, Inst Biosci, Dept Gen &amp; Appl Biol, Av 24-A,1515, BR-13506900 Rio Claro, SP, Brazil; [de Angelis, Derlene Attili] Univ Estadual Campinas, Cidade Univ Zeferino Vaz, Div Microbial Resources, CPQBA, BR-13083970 Campinas, SP, Brazil</t>
  </si>
  <si>
    <t>Universidade Estadual Paulista; Universidade Estadual de Campinas</t>
  </si>
  <si>
    <t>Sass, DC (corresponding author), Sao Paulo State Univ Campus Rio Claro, Inst Biosci, Dept Gen &amp; Appl Biol, Av 24-A,1515, BR-13506900 Rio Claro, SP, Brazil.</t>
  </si>
  <si>
    <t>daiane.sass@unesp.br</t>
  </si>
  <si>
    <t>Sass, Daiane Cristina/0000-0001-9466-5633; Attili-Angelis, Derlene/0000-0002-3582-4056; Sette, Lara/0000-0002-5980-3786</t>
  </si>
  <si>
    <t>We thank Prof Robert J Capon and Zeinab Khalil from the of the University of Queensland, Brisbane, QLD, Australia for valued help on the purification process of the crude extract at the Institute for Molecular Bioscience.</t>
  </si>
  <si>
    <t>2190-572X</t>
  </si>
  <si>
    <t>2190-5738</t>
  </si>
  <si>
    <t>3 Biotech</t>
  </si>
  <si>
    <t>10.1007/s13205-023-03792-9</t>
  </si>
  <si>
    <t>W3US6</t>
  </si>
  <si>
    <t>WOS:001090918200001</t>
  </si>
  <si>
    <t>Lea, MA; Tainsh, LW; Mattlin, R; Torres, L; Herrin, KV; Thompson, DR; Hindell, MA</t>
  </si>
  <si>
    <t>Lea, Mary-Anne; Tainsh, Lachlan W.; Mattlin, Rob; Torres, Leigh; Vinette Herrin, Kimberly; Thompson, David R.; Hindell, Mark A.</t>
  </si>
  <si>
    <t>The benthic-pelagic continuum: Age class and sex differences in the use of the vertical dimension by a rare pinniped</t>
  </si>
  <si>
    <t>Campbell Island; diving; fisheries; foraging behaviour; Motu Ihupuku; satellite telemetry; sea lion; sub-Antarctic; threatened species</t>
  </si>
  <si>
    <t>LIONS PHOCARCTOS-HOOKERI; DIVING BEHAVIOR; FORAGING STRATEGIES; PUP PRODUCTION; ZEALAND; ONTOGENY; GROWTH; ANESTHESIA; PHYSIOLOGY; ENERGETICS</t>
  </si>
  <si>
    <t>Sea lions as a group, display strong site fidelity, and varying degrees of vulnerability to environmental change, disease and fisheries interactions. One of the rarest pinnipeds, the New Zealand sea lion (NZSL, Phocarctos hookeri) has a very restricted breeding range. At Campbell Island/Motu Ihupuku, one of the two primary breeding sites, at-sea foraging behaviour is unknown. We hypothesised that NZSL of various sex and age classes would utilise the water column differently due to differing physiological constraints and therefore have different accessibility to prey resources. We tested whether sea lion diving behaviour varied in relation to (i) age and sex class, (ii) time of day and (iii) water depth. We also hypothesised that the proportion of benthic/pelagic diving, and consequently risk of fisheries interaction, would vary in relation to age and sex. Satellite telemetry tags were deployed on 25 NZSL from a range of age/sex classes recording dive depth, duration and location. Adult females and juveniles used inshore, benthic habitats, while sub-adult males also utilised benthic habitats, they predominantly used pelagic habitat at greater distances from the island. Adult females and juveniles exhibited shorter dives than the same age/sex classes at the Auckland Islands, suggesting a lower dive effort for these age/sex classes at Campbell Island/Motu Ihupuku. Adult females dived more frequently than other age/sex classes, likely operating closer to their physiological limits; however, further data for this age class is needed. Sub-adult male use of pelagic prey may increase their exposure to mid-water trawls; however, further research detailing the degree of spatial overlap with fisheries is required. This study highlights the utility of spatially explicit dive data to predict vertical habitat use, niche separation of various age and sex classes of marine predators and attribute potential fisheries interaction risk in relation to predator habitat use.</t>
  </si>
  <si>
    <t>[Lea, Mary-Anne; Tainsh, Lachlan W.; Hindell, Mark A.] Univ Tasmania, Inst Marine &amp; Antarctic Studies, Hobart, Tas, Australia; [Mattlin, Rob] Marine Wildlife Res Ltd, Nelson, New Zealand; [Torres, Leigh] Oregon State Univ, Hatfield Marine Sci Ctr, Dept Fisheries &amp; Wildlife, Marine Mammal Inst, Newport, OR USA; [Vinette Herrin, Kimberly] Taronga Conservat Soc, Mosman, NSW, Australia; [Thompson, David R.] NIWA, Wellington, New Zealand; [Lea, Mary-Anne] Univ Tasmania, Inst Marine &amp; Antarctic Studies, 20 Castray Esplanade, Battery Point, Tas 7004, Australia</t>
  </si>
  <si>
    <t>University of Tasmania; Oregon State University; Taronga Conservation Society Australia; National Institute of Water &amp; Atmospheric Research (NIWA) - New Zealand; University of Tasmania</t>
  </si>
  <si>
    <t>Lea, MA (corresponding author), Univ Tasmania, Inst Marine &amp; Antarctic Studies, 20 Castray Esplanade, Battery Point, Tas 7004, Australia.</t>
  </si>
  <si>
    <t>maryanne.lea@utas.edu.au</t>
  </si>
  <si>
    <t>Hindell, Mark/0000-0002-7823-7185</t>
  </si>
  <si>
    <t>We dedicate this manuscript posthumously to Dr Robert Mattlin. All fieldwork in Aotearoa New Zeland was carried out with permission from local iwi Kaitiaki Ropu ki Murihiku. Animal Ethics permits were obtained from the National Institute of Water and Atmos [TMMA103]; National Institute of Water and Atmospheric Research; Institute for Marine and Antarctic Studies (University of Tasmania), New Zealand Department of Conservation; Wiley - University of Tasmania agreement via the Council of Australian University Librarians</t>
  </si>
  <si>
    <t>We dedicate this manuscript posthumously to Dr Robert Mattlin. All fieldwork in Aotearoa New Zeland was carried out with permission from local iwi Kaitiaki Ropu ki Murihiku. Animal Ethics permits were obtained from the National Institute of Water and Atmos; National Institute of Water and Atmospheric Research; Institute for Marine and Antarctic Studies (University of Tasmania), New Zealand Department of Conservation; Wiley - University of Tasmania agreement via the Council of Australian University Librarians</t>
  </si>
  <si>
    <t>We dedicate this manuscript posthumously to Dr Robert Mattlin. All fieldwork in Aotearoa New Zeland was carried out with permission from local iwi Kaitiaki Ropu ki Murihiku. Animal Ethics permits were obtained from the National Institute of Water and Atmospheric Research to manipulate New Zealand sea lions at Campbell Island, with the proviso that all work would be undertaken with approval from the Department of Conservation and the NZ Department of Conservation permit (SO-32768-MAR) issued under the Marine Mammal Protection Act (1978). We acknowledge the major supporting institutions; Institute for Marine and Antarctic Studies (University of Tasmania), New Zealand Department of Conservation and the National Institute of Water and Atmospheric Research (grant number TMMA103 to Marine Wildlife Research). We also gratefully acknowledge the following people for their contributions, Simon Wotherspoon, Ben Arthur (analysis assistance), Jim Roberts, Dave Boyle, Penny Pascoe, Marcus Salton and Henk Haazen (RV Tiama and crew). We thank S. Hamilton and two anonymous reviewers for their helpful, critical reviews of the manuscript. Open access publishing facilitated by University of Tasmania, as part of the Wiley - University of Tasmania agreement via the Council of Australian University Librarians.</t>
  </si>
  <si>
    <t>e10601</t>
  </si>
  <si>
    <t>10.1002/ece3.10601</t>
  </si>
  <si>
    <t>X1JD3</t>
  </si>
  <si>
    <t>WOS:001096069600001</t>
  </si>
  <si>
    <t>Terrats, L; Claustre, H; Briggs, N; Poteau, A; Briat, B; Lacour, L; Ricour, F; Mangin, A; Neukermans, G</t>
  </si>
  <si>
    <t>Terrats, Louis; Claustre, Herve; Briggs, Nathan; Poteau, Antoine; Briat, Benjamin; Lacour, Leo; Ricour, Florian; Mangin, Antoine; Neukermans, Griet</t>
  </si>
  <si>
    <t>BioGeoChemical-Argo Floats Reveal Stark Latitudinal Gradient in the Southern Ocean Deep Carbon Flux Driven by Phytoplankton Community Composition</t>
  </si>
  <si>
    <t>biological carbon pump; sinking particles; POC flux; phytoplankton; BGC-Argo floats; mesopelagic layer</t>
  </si>
  <si>
    <t>PARTICULATE ORGANIC-CARBON; HIGH-RESOLUTION OBSERVATIONS; IRON-FERTILIZED AREA; POLAR FRONTAL ZONES; SEA-ICE ZONE; IN-SITU; BEAM ATTENUATION; SINKING VELOCITY; FECAL PELLETS; PARTICLE-SIZE</t>
  </si>
  <si>
    <t>The gravitational sinking of particles in the mesopelagic layer (similar to 200-1,000 m) transfers to the deep ocean a part of atmospheric carbon fixed by phytoplankton. This process, called the gravitational pump, exerts an important control on atmospheric CO2 levels but remains poorly characterized given the limited spatio-temporal coverage of ship-based flux measurements. Here, we examined the gravitational pump with BioGeoChemical-Argo floats in the Southern Ocean, a critically under-sampled area. Using time-series of bio-optical measurements, we characterized the concentration of particles in the productive zone, their export and transfer efficiency in the underlying mesopelagic zone, and the magnitude of sinking flux at 1,000 m. We separated float observations into six environments delineated by latitudinal fronts, sea-ice coverage, and natural iron fertilization. Results show a significant increase in the sinking-particle flux at 1,000 m with increasing latitude, despite comparable particle concentrations in the productive layer. The variability in deep flux was driven by changes in the transfer efficiency of the flux, related to the composition of the phytoplanktonic community and the size of particles, with intense flux associated with the predominance of micro-phytoplankton and large particles at the surface. We quantified the relationships between the nature of surface particles and the flux at 1,000 m and used these results to upscale our flux survey across the whole Southern Ocean using surface observations by floats and satellites. We then estimated the basin-wide Spring-Summer flux of sinking particles at 1,000 m over the Southern Ocean (0.054 +/- 0.021 Pg C).</t>
  </si>
  <si>
    <t>[Terrats, Louis; Claustre, Herve; Poteau, Antoine; Briat, Benjamin; Lacour, Leo; Ricour, Florian] Sorbonne Univ, Lab Oceanog Villefranche, CNRS, LOV, Villefranche Sur Mer, France; [Terrats, Louis; Mangin, Antoine] ACRI ST, Sophia Antipolis, France; [Briggs, Nathan] Natl Oceanog Ctr, Southampton, England; [Lacour, Leo] Univ Tasmania, Inst Marine &amp; Antarctic Studies, Hobart, Tas, Australia; [Ricour, Florian] Univ Liege, Freshwater &amp; Ocean Sci Unit Res FOCUS, Liege, Belgium; [Neukermans, Griet] Univ Ghent, MarSens Res Grp, Biol Dept, Ghent, Belgium; [Neukermans, Griet] Flanders Marine Inst VLIZ, InnovOcean Campus, Oostende, Belgium</t>
  </si>
  <si>
    <t>Sorbonne Universite; Centre National de la Recherche Scientifique (CNRS); NERC National Oceanography Centre; University of Tasmania; University of Liege; Ghent University</t>
  </si>
  <si>
    <t>Terrats, L (corresponding author), Sorbonne Univ, Lab Oceanog Villefranche, CNRS, LOV, Villefranche Sur Mer, France.;Terrats, L (corresponding author), ACRI ST, Sophia Antipolis, France.</t>
  </si>
  <si>
    <t>louis.terrats@imev-mer.fr</t>
  </si>
  <si>
    <t>Lacour, Leo/0000-0003-1792-5969; /0000-0001-6059-9236</t>
  </si>
  <si>
    <t>remOcean (European Research Council) [246777]; REFINE (European Research Council) [834177]; CarbOcean (European Research Council) [853516]; SOCLIM (BNP Foundation); BGC-Argo-France (CNES-TOSCA); European Union Horizon 2020 Marie Sklodowska-Curie [892653]; CIFRE fellowship-ACRI-st [2018/1815]; Marie Curie Actions (MSCA) [892653] Funding Source: Marie Curie Actions (MSCA); European Research Council (ERC) [853516, 834177] Funding Source: European Research Council (ERC)</t>
  </si>
  <si>
    <t>remOcean (European Research Council)(European Research Council (ERC)); REFINE (European Research Council)(European Research Council (ERC)); CarbOcean (European Research Council); SOCLIM (BNP Foundation); BGC-Argo-France (CNES-TOSCA); European Union Horizon 2020 Marie Sklodowska-Curie; CIFRE fellowship-ACRI-st; Marie Curie Actions (MSCA)(Marie Curie Actions); European Research Council (ERC)(European Research Council (ERC)Spanish Government)</t>
  </si>
  <si>
    <t>This study is a contribution to the following projects: remOcean (European Research Council, Grant agreement 246777); REFINE (European Research Council, Grant agreement 834177); CarbOcean (European Research Council, Grant agreement 853516); SOCLIM (BNP Foundation); and BGC-Argo-France (CNES-TOSCA). The Argo Program is part of the Global Ocean Observing System. Leo Lacour was supported by a European Union Horizon 2020 Marie Sklodowska-Curie grant (no. 892653). Louis Terrats was supported by a CIFRE fellowship funded by ACRI-st (no. 2018/1815). This study has been conducted using E.U. Copernicus Marine Service Information (https://marine.copernicus.eu/) and data provided by the NOAA PSL, Boulder, Colorado, USA, from their website at . We thank R. Sauzede and C. Schmechtig for help in BGC-Argo data management; and L. Beaufort and H. Loisel for fruitful discussions. We thank J. Uitz, C. Penkerc'h, E. Leymarie, and M. Rembauville for their contribution to float deployments in the Southern Ocean. The authors received several helpful suggestions for improving this manuscript from Christina Schallenberg and one anonymous reviewer, and their help is gratefully acknowledged.</t>
  </si>
  <si>
    <t>e2022GB007624</t>
  </si>
  <si>
    <t>10.1029/2022GB007624</t>
  </si>
  <si>
    <t>W5MJ6</t>
  </si>
  <si>
    <t>WOS:001092063600001</t>
  </si>
  <si>
    <t>Foley, ML; Putlitz, B; Baumgartner, LP; Renda, EM; Ulianov, A; Siron, G; Chiaradia, M</t>
  </si>
  <si>
    <t>Foley, Michelle L.; Putlitz, Benita; Baumgartner, Lukas P.; Renda, Emiliano M.; Ulianov, Alexey; Siron, Guillaume; Chiaradia, Massimo</t>
  </si>
  <si>
    <t>Identifying crustal contributions in the Patagonian Chon Aike Silicic Large Igneous Province</t>
  </si>
  <si>
    <t>CONTRIBUTIONS TO MINERALOGY AND PETROLOGY</t>
  </si>
  <si>
    <t>Chon Aike Silicic Large Igneous Province; Zircon; Geochronology; Oxygen isotopes; Hafnium isotopes; Gondwana</t>
  </si>
  <si>
    <t>ND ISOTOPIC COMPOSITION; PROTO-PACIFIC MARGIN; PB SHRIMP AGES; HF-O ISOTOPES; COMBINED U-PB; LU-HF; ANTARCTIC PENINSULA; DETRITAL ZIRCONS; OXYGEN ISOTOPES; BREAK-UP</t>
  </si>
  <si>
    <t>The volcanic rocks of the Chon Aike Silicic Large Igneous Province (CASP) are recognized as magmas dominantly produced by crustal anatexis. Investigating the zircon of the CASP provides an opportunity to gain further insight into geochemical and isotopic differences of the potential magmatic sources (i.e., crust versus mantle), to identify crustal reservoirs that contributed to the felsic magmas during anatexis, and to quantify the contributions of the respective sources. We present a combined zircon oxygen and hafnium isotope and trace element dataset for 16 volcanic units of the two youngest volcanic phases in Patagonia, dated here with LA-ICP-MS U-Pb geochronology at ca. 148-153 Ma (El Quemado Complex, EQC) and ca. 159 Ma (western Chon Aike Formation, WCA). The EQC zircon have 18O-enriched values (delta 18O from 7 to 9.5 parts per thousand) with correspondingly negative initial epsilon Hf values (- 2.0 to - 8.0). The WCA zircon have delta 18O values between 6 and 7 parts per thousand and epsilon Hf values ranging between - 4.0 and + 1.5. Binary delta 18O-epsilon Hf mixing models require an average of 70 and 60% melt derived from partial melting of isotopically distinct metasedimentary basements for the EQC and WCA, respectively. Zircon trace element compositions are consistent with anatexis of sedimentary protoliths derived from LIL-depleted upper continental crustal sources. The overlap between a high heat flux environment (i.e., widespread extension and lithospheric thinning) during supercontinental breakup and a fertile metasedimentary crust was key in producing voluminous felsic volcanism via anatexis following the injection and emplacement of basaltic magmas into the lower crust.</t>
  </si>
  <si>
    <t>[Foley, Michelle L.; Putlitz, Benita; Baumgartner, Lukas P.; Renda, Emiliano M.; Ulianov, Alexey] Univ Lausanne, Inst Earth Sci, UNIL Mouline, CH-1015 Lausanne, Switzerland; [Foley, Michelle L.] Univ Arizona, Dept Geosci, Tucson, AZ 85721 USA; [Renda, Emiliano M.] Inst Invest Paleobiol &amp; Geol UNRN CONICET, Ave Julio A Roca 1242,R8332EXZ, General Roca, Argentina; [Siron, Guillaume] Univ Wisconsin, Dept Geosci, WiscSIMS, Madison, WI 53706 USA; [Siron, Guillaume] Univ Bologna, Dept Biol Geol &amp; Environm Sci, I-40126 Bologna, Italy; [Chiaradia, Massimo] Univ Geneva, Dept Earth Sci, Rue Maraichers 13, CH-1205 Geneva, Switzerland</t>
  </si>
  <si>
    <t>University of Lausanne; University of Arizona; University of Wisconsin System; University of Wisconsin Madison; University of Bologna; University of Geneva</t>
  </si>
  <si>
    <t>Foley, ML (corresponding author), Univ Lausanne, Inst Earth Sci, UNIL Mouline, CH-1015 Lausanne, Switzerland.;Foley, ML (corresponding author), Univ Arizona, Dept Geosci, Tucson, AZ 85721 USA.</t>
  </si>
  <si>
    <t>michellefoley@arizona.edu</t>
  </si>
  <si>
    <t>Siron, Guillaume/AAE-4293-2022; Foley, Michelle/JXN-0766-2024</t>
  </si>
  <si>
    <t>Siron, Guillaume/0000-0001-6646-7648; Putlitz, Benita/0009-0006-0268-4372</t>
  </si>
  <si>
    <t>Swiss National Science Foundation; National Science Foundation; [200021_175808]; [EAR-1658823]</t>
  </si>
  <si>
    <t>Swiss National Science Foundation(Swiss National Science Foundation (SNSF)); National Science Foundation(National Science Foundation (NSF)); ;</t>
  </si>
  <si>
    <t>The authors are grateful for the support and field assistance of Andres Kosmal in El Chalten (Argentina). They further thank the authorities of the Parque Nacional de los Glaciares (Argentina) for their permission to sample in the region of El Chalten. They also thank Vincente Sanchez, the Head Geologist, and the staff of the La Josefina Project (Hunt Mining) for their generosity and openness to sharing geological knowledge and resources on site. They thank D.O. Zakharov for thoughtful comments and suggestions on earlier versions of this manuscript. They also thank editor Dante Canil and two anonymous reviewers for their comments and suggestions which helped the clarity of this manuscript. This research is funded by the Swiss National Science Foundation (200021_175808 to BP). The WiscSIMS instrumentation is partially supported by the National Science Foundation (EAR-1658823).</t>
  </si>
  <si>
    <t>0010-7999</t>
  </si>
  <si>
    <t>1432-0967</t>
  </si>
  <si>
    <t>CONTRIB MINERAL PETR</t>
  </si>
  <si>
    <t>Contrib. Mineral. Petrol.</t>
  </si>
  <si>
    <t>10.1007/s00410-023-02065-1</t>
  </si>
  <si>
    <t>Geochemistry &amp; Geophysics; Mineralogy</t>
  </si>
  <si>
    <t>W0VF0</t>
  </si>
  <si>
    <t>WOS:001088885900002</t>
  </si>
  <si>
    <t>Yang, CC; Cheng, XH; von Storch, JS; Qin, JH; Qiu, B</t>
  </si>
  <si>
    <t>Yang, Chengcheng; Cheng, Xuhua; von Storch, Jin-Song; Qin, Jianhuang; Qiu, Bo</t>
  </si>
  <si>
    <t>Interbasin Differences in Interannual Variations of the Antarctic Circumpolar Current Transport</t>
  </si>
  <si>
    <t>ACC transport; GRACE; inter-basin differences; interannual variations; SAM; ENSO</t>
  </si>
  <si>
    <t>EDDY SATURATION; BOTTOM PRESSURE; VARIABILITY; PACIFIC; CIRCULATION; DYNAMICS; MODEL</t>
  </si>
  <si>
    <t>Despite the critical role of the Antarctic Circumpolar Current (ACC) in global convey belt, its temporal variability and spatial difference are poorly investigated due to the lack of full-depth observations. This study quantitatively investigates the interannual variability of the ACC transport in different basins using Gravity Recovery and Climate Experiment (GRACE) ocean bottom pressure (OBP) data and In Situ Analysis System 17 (ISAS17) temperature and salinity fields. The results reveal that the interannual variation differs significantly in the Indian basin, the Pacific and Atlantic basins, and is likely caused by the meridional distribution of the wind stress curl, rather than the westerly winds. The interannual variation is correlated with the Southern Annular Mode (SAM) in the Indian basin, but also modulated by El Nino-Southern Oscillation (ENSO) in the Pacific and Atlantic basins. The results are further verified by a mass conservation ocean model with elaborating the important influence of both local and global atmospheric variability on the spatial-temporal variability of the ACC. The difference of the ACC transports in the major basins might be ascribed to the respective meridional transport in each basin.</t>
  </si>
  <si>
    <t>[Yang, Chengcheng; Cheng, Xuhua; Qin, Jianhuang] Hohai Univ, Coll Oceanog, Nanjing, Peoples R China; [Yang, Chengcheng; von Storch, Jin-Song] Max Planck Inst Meteorol, Hamburg, Germany; [Qiu, Bo] Univ Hawaii Manoa, Dept Oceanog, Honolulu, HI USA</t>
  </si>
  <si>
    <t>Hohai University; Max Planck Society; University of Hawaii System; University of Hawaii Manoa</t>
  </si>
  <si>
    <t>Cheng, XH (corresponding author), Hohai Univ, Coll Oceanog, Nanjing, Peoples R China.</t>
  </si>
  <si>
    <t>xuhuacheng@hhu.edu.cn</t>
  </si>
  <si>
    <t>Cheng, Xuhua/AAQ-6124-2020</t>
  </si>
  <si>
    <t>Cheng, Xuhua/0000-0001-6815-1970; von Storch, Jin-Song/0000-0002-2308-6834</t>
  </si>
  <si>
    <t>Xuhua Cheng is supported by the Natural Science Foundation of China (Grant 41876002). Chengcheng Yang is supported by a scholarship from the China Scholarship Council (Grant CSC, 202206710084), and Postgraduate Research amp; Practice Innovation Program of [41876002]; Natural Science Foundation of China [202206710084]; China Scholarship Council [KYCX22_0585]; Postgraduate Research amp; Practice Innovation Program of Jiangsu Province [42106003]; National Natural Science Foundation of China</t>
  </si>
  <si>
    <t>Xuhua Cheng is supported by the Natural Science Foundation of China (Grant 41876002). Chengcheng Yang is supported by a scholarship from the China Scholarship Council (Grant CSC, 202206710084), and Postgraduate Research amp; Practice Innovation Program of; Natural Science Foundation of China(National Natural Science Foundation of China (NSFC)); China Scholarship Council(China Scholarship Council); Postgraduate Research amp; Practice Innovation Program of Jiangsu Province; National Natural Science Foundation of China(National Natural Science Foundation of China (NSFC))</t>
  </si>
  <si>
    <t>Xuhua Cheng is supported by the Natural Science Foundation of China (Grant 41876002). Chengcheng Yang is supported by a scholarship from the China Scholarship Council (Grant CSC, 202206710084), and Postgraduate Research &amp; Practice Innovation Program of Jiangsu Province (Grant KYCX22_0585). Jianhuang Qin is supported by the National Natural Science Foundation of China (Grant 42106003). We are grateful to the editor and two reviewers for their constructive comments to improve the readability of the manuscript.</t>
  </si>
  <si>
    <t>e2023JC020327</t>
  </si>
  <si>
    <t>10.1029/2023JC020327</t>
  </si>
  <si>
    <t>W4XX8</t>
  </si>
  <si>
    <t>WOS:001091683700001</t>
  </si>
  <si>
    <t>Zhu, CY</t>
  </si>
  <si>
    <t>Zhu, Chenyu</t>
  </si>
  <si>
    <t>Deglacial change of Antarctic Bottom Water in transient simulations</t>
  </si>
  <si>
    <t>ATMOSPHERIC AND OCEANIC SCIENCE LETTERS</t>
  </si>
  <si>
    <t>Antarctic Bottom Water; Deglacial change; Southern ocean sea-ice; Transient simulations</t>
  </si>
  <si>
    <t>OVERTURNING CIRCULATION; OCEAN CIRCULATION; EXPERIMENTAL PROTOCOLS; MODEL; STRATIFICATION; IMPACT</t>
  </si>
  <si>
    <t>The deglacial change of Antarctic Bottom Water (AABW) since the Last Glacial Maximum (LGM) was investigated using transient simulations of climate evolution forced by individual deglacial forcings. The TraCE21k simulation faithfully reproduces the -500 m deepening of the cell interface between AABW and North Atlantic Deep Water (NADW) and suggests an approximate 1.5 Sv (1 Sv equivalent to 106 m3 s- 1) weakening in the deep Atlantic AABW from the LGM to the modern state. The deglacial Atlantic AABW change is approximately the combined impacts of increasing greenhouse gases and retreating ice sheets. The Southern Ocean sea-ice melting induced by deglacial warming serves as a major controlling factor for both AABW intensity and geometry. Increased surface buoyancy flux associated with reduced brine release leads to a suppressed deep convection over the Weddell Sea and reduced AABW, while the retreat of permanent sea ice favors a deepening of the cell interface. The buoyancy change in the Southern Ocean may also have modulated the deglacial NADW change from an adiabatic overturning perspective.</t>
  </si>
  <si>
    <t>[Zhu, Chenyu] Ocean Univ China, Phys Oceanog Lab, Qingdao, Peoples R China; [Zhu, Chenyu] Chinese Acad Sci, Inst Atmospher Phys, Beijing, Peoples R China</t>
  </si>
  <si>
    <t>Ocean University of China; Chinese Academy of Sciences; Institute of Atmospheric Physics, CAS</t>
  </si>
  <si>
    <t>Zhu, CY (corresponding author), Ocean Univ China, Phys Oceanog Lab, Qingdao, Peoples R China.;Zhu, CY (corresponding author), Chinese Acad Sci, Inst Atmospher Phys, Beijing, Peoples R China.</t>
  </si>
  <si>
    <t>zhuchenyu91@pku.edu.cn</t>
  </si>
  <si>
    <t>Zhu, Chenyu/0000-0002-9330-4294</t>
  </si>
  <si>
    <t>National Natural Science Foundation of China [42106013]</t>
  </si>
  <si>
    <t>This work was supported by the National Natural Science Foundation of China [Grant No. 42106013] .</t>
  </si>
  <si>
    <t>KEAI PUBLISHING LTD</t>
  </si>
  <si>
    <t>16 DONGHUANGCHENGGEN NORTH ST, Building 5, Room 411, BEIJING, DONGCHENG DISTRICT 100009, PEOPLES R CHINA</t>
  </si>
  <si>
    <t>1674-2834</t>
  </si>
  <si>
    <t>2376-6123</t>
  </si>
  <si>
    <t>ATMOS OCEAN SCI LETT</t>
  </si>
  <si>
    <t>Atmos. Ocean. Sci. Lett.</t>
  </si>
  <si>
    <t>10.1016/j.aosl.2023.100333</t>
  </si>
  <si>
    <t>W1XU6</t>
  </si>
  <si>
    <t>WOS:001089640500001</t>
  </si>
  <si>
    <t>de França, P; Costa, JH; Fill, TP; Lancellotti, M; Ruiz, ALTG; Fantinatti-Garboggini, F</t>
  </si>
  <si>
    <t>de Franca, Paula; Costa, Jonas Henrique; Fill, Taicia Pacheco; Lancellotti, Marcelo; Ruiz, Ana Lucia Tasca Gois; Fantinatti-Garboggini, Fabiana</t>
  </si>
  <si>
    <t>Genome mining reveals secondary metabolites of Antarctic bacterium Streptomyces albidoflavus related to antimicrobial and antiproliferative activities</t>
  </si>
  <si>
    <t>ARCHIVES OF MICROBIOLOGY</t>
  </si>
  <si>
    <t>Secondary metabolites; Marine-associated bacteria; Polyketide; Non-ribosomal peptide</t>
  </si>
  <si>
    <t>MASS-SPECTROMETRY; NATURAL-PRODUCTS; DISCOVERY; SEQUENCES; DATABASE; TOOL; DNA</t>
  </si>
  <si>
    <t>The urgent need for new antimicrobials arises from antimicrobial resistance. Actinobacteria, especially Streptomyces genus, are responsible for production of numerous clinical antibiotics and anticancer agents. Genome mining reveals the biosynthetic gene clusters (BGCs) related to secondary metabolites and the genetic potential of a strain to produce natural products. However, this potential may not be expressed under laboratory conditions. In the present study, the Antarctic bacterium was taxonomically affiliated as Streptomyces albidoflavus ANT_B131 (CBMAI 1855). The crude extracts showed antimicrobial activity against both fungi, Gram-positive and Gram-negative bacteria and antiproliferative activity against five human tumor cell lines. Whole-genome sequencing reveals a genome size of 6.96 Mb, and the genome mining identified 24 BGCs, representing 13.3% of the genome. The use of three culture media and three extraction methods reveals the expression and recovery of 20.8% of the BGCs. The natural products identified included compounds, such as surugamide A, surugamide D, desferrioxamine B + Al, desferrioxamine E, and ectoine. This study reveals the potential of S. albidoflavus ANT_B131 as a natural product producer. Yet, the diversity of culture media and extraction methods could enhance the BGCs expression and recovery of natural products, and could be a strategy to intensify the BGC expression of natural products.</t>
  </si>
  <si>
    <t>[de Franca, Paula; Fantinatti-Garboggini, Fabiana] Univ Estadual Campinas, Pluridisciplinary Ctr Chem Biol &amp; Agr Res, Div Microbial Resources, Paulinia, SP, Brazil; [de Franca, Paula] Univ Estadual Campinas, Inst Biol, Grad Program Genet &amp; Mol Biol, Campinas, SP, Brazil; [Costa, Jonas Henrique; Fill, Taicia Pacheco] Univ Estadual Campinas, Inst Chem, CP 6154, BR-13083970 Campinas, SP, Brazil; [Lancellotti, Marcelo; Ruiz, Ana Lucia Tasca Gois] Univ Estadual Campinas, Fac Pharmaceut Sci, Campinas, SP, Brazil</t>
  </si>
  <si>
    <t>Universidade Estadual de Campinas; Universidade de Sao Paulo; Universidade Estadual de Campinas; Universidade Estadual de Campinas; Universidade Estadual de Campinas</t>
  </si>
  <si>
    <t>de França, P; Fantinatti-Garboggini, F (corresponding author), Univ Estadual Campinas, Pluridisciplinary Ctr Chem Biol &amp; Agr Res, Div Microbial Resources, Paulinia, SP, Brazil.;de França, P (corresponding author), Univ Estadual Campinas, Inst Biol, Grad Program Genet &amp; Mol Biol, Campinas, SP, Brazil.</t>
  </si>
  <si>
    <t>pauladfranca@gmail.com; fabianaf@cpqba.unicamp.br</t>
  </si>
  <si>
    <t>Franca, Paula/KHW-1787-2024</t>
  </si>
  <si>
    <t>de Franca, Paula/0000-0002-4416-0845; Costa, Jonas Henrique/0000-0002-6415-3984</t>
  </si>
  <si>
    <t>The authors would like to thank Prof. Itamar Soares Melo and Prof. Eduardo Carlos Hadju for the contribution to the collection of marine Antarctic samples.</t>
  </si>
  <si>
    <t>0302-8933</t>
  </si>
  <si>
    <t>1432-072X</t>
  </si>
  <si>
    <t>ARCH MICROBIOL</t>
  </si>
  <si>
    <t>Arch. Microbiol.</t>
  </si>
  <si>
    <t>10.1007/s00203-023-03691-w</t>
  </si>
  <si>
    <t>W1CP7</t>
  </si>
  <si>
    <t>WOS:001089079400001</t>
  </si>
  <si>
    <t>Zhang, C; Li, SL</t>
  </si>
  <si>
    <t>Zhang, Chao; Li, Shuanglin</t>
  </si>
  <si>
    <t>Causes of the record-low Antarctic sea-ice in austral summer 2022</t>
  </si>
  <si>
    <t>Antarctic sea-ice; Record low; Unprecedented stratospheric ozone depletion; Southern annular mode; La Nina; Amundsen Sea Low</t>
  </si>
  <si>
    <t>OCEAN; ATMOSPHERE</t>
  </si>
  <si>
    <t>The Antarctic sea-ice area reached a record minimum during austral summer 2022 (December 2021 to February 2022), with particularly considerable loss in the West Antarctic. Based on lead-lag correlation analysis, the authors found that the record minimum was closely linked to the preceding near-strongest positive-phase South-ern Annular Mode during August-October 2021 and stronger positive SST anomaly in the Maritime Continent during July-September 2021. The former remained at a historically near-strongest or strongest level because of the stratospheric cooling effect of the unprecedented stratospheric ozone depletion, which induced a deepened and southwestward-shifted Amundsen Sea Low (ASL), causing sea-ice retreat via horizontal wind anomalies. The latter persisted into summer and favored the development of La Nina, which generated deep convection over the southwestern subtropical Pacific and triggered a southeastward-propagated Rossby wave train, deepening the ASL remotely. The ozone reduction also induced surface warming in the West Antarctic by increasing the net downward shortwave radiation, thereby intensifying the sea-ice loss. Additionally, positive feedback between the SST, net shortwave radiation and cloudiness, along with the Ekman heat transport, amplified the surface warming.</t>
  </si>
  <si>
    <t>[Zhang, Chao; Li, Shuanglin] China Univ Geosci, Sch Environm Studies, Dept Atmospher Sci, Wuhan, Peoples R China; [Zhang, Chao; Li, Shuanglin] China Univ Geosci, Technol Innovat Ctr, Sch Environm Studies, Wuhan, Peoples R China; [Li, Shuanglin] Chinese Acad Sci, Climate Change Res Ctr, Inst Atmospher Phys, Beijing, Peoples R China; [Li, Shuanglin] Univ Chinese Acad Sci, Coll Earth &amp; Planetary Sci, Beijing, Peoples R China</t>
  </si>
  <si>
    <t>China University of Geosciences; China University of Geosciences; Chinese Academy of Sciences; Institute of Atmospheric Physics, CAS; Chinese Academy of Sciences; University of Chinese Academy of Sciences, CAS</t>
  </si>
  <si>
    <t>Li, SL (corresponding author), China Univ Geosci, Sch Environm Studies, Dept Atmospher Sci, Wuhan, Peoples R China.;Li, SL (corresponding author), China Univ Geosci, Technol Innovat Ctr, Sch Environm Studies, Wuhan, Peoples R China.;Li, SL (corresponding author), Chinese Acad Sci, Climate Change Res Ctr, Inst Atmospher Phys, Beijing, Peoples R China.;Li, SL (corresponding author), Univ Chinese Acad Sci, Coll Earth &amp; Planetary Sci, Beijing, Peoples R China.</t>
  </si>
  <si>
    <t>shuanglin.li@mail.iap.ac.cn</t>
  </si>
  <si>
    <t>Li, Shuanglin/D-5695-2013</t>
  </si>
  <si>
    <t>Zhang, Chao/0000-0003-1701-775X</t>
  </si>
  <si>
    <t>Strategic Project of the Chinese Academy of Sciences [XDA19070402]; National Nat-ural Science Foundation of China [41790473]; Post-doctoral Innovation Foundation of Hubei Province</t>
  </si>
  <si>
    <t>Strategic Project of the Chinese Academy of Sciences; National Nat-ural Science Foundation of China(National Natural Science Foundation of China (NSFC)); Post-doctoral Innovation Foundation of Hubei Province</t>
  </si>
  <si>
    <t>This work was jointly supported by a Strategic Project of the Chinese Academy of Sciences [grant number XDA19070402] , the National Nat-ural Science Foundation of China [grant number 41790473] , and the Post-doctoral Innovation Foundation of Hubei Province .</t>
  </si>
  <si>
    <t>10.1016/j.aosl.2023.100353</t>
  </si>
  <si>
    <t>W1XW8</t>
  </si>
  <si>
    <t>WOS:001089642700001</t>
  </si>
  <si>
    <t>Ryan-Keogh, TJ; Thomalla, SJ; Chang, NCLT; Moalusi, T</t>
  </si>
  <si>
    <t>Ryan-Keogh, Thomas J.; Thomalla, Sandy J.; Chang, Nicolette; Moalusi, Tumelo</t>
  </si>
  <si>
    <t>A new global oceanic multi-model net primary productivity data product</t>
  </si>
  <si>
    <t>MARINE PRIMARY PRODUCTIVITY; MIXED-LAYER; COLOR MODEL; PHYTOPLANKTON; TEMPERATURE; COASTAL; TRENDS; SCALE; WATER</t>
  </si>
  <si>
    <t>Net primary production of the oceans contributes approximately half of the total global net primary production, and long-term observational records are required to assess any climate-driven changes. The Ocean Colour Climate Change Initiative (OC-CCI) has proven to be robust whilst also being one of the longest records of ocean colour. However, to date, only one primary production algorithm has been applied to this data product, with other algorithms typically applied to single-sensor missions. The data product presented here addresses this issue by applying five algorithms to the OC-CCI data product, which allows the user to interrogate the range of distributions across multiple models and to identify consensus or outliers for their specific region of interest. Outputs are compared to single-sensor data missions, highlighting good overall global agreement, with some small regional discrepancies. Inter-model assessments address the source of these discrepancies, highlighting the choice of the mixed-layer data product as a vital component for accurate primary production estimates. The datasets are published in the Zenodo repository at 10.5281/zenodo.7849935, 10.5281/zenodo.7858590, 10.5281/zenodo.7860491 and 10.5281/zenodo.7861158 (Ryan-Keogh et al., 2023a, b, c, d).</t>
  </si>
  <si>
    <t>[Ryan-Keogh, Thomas J.; Thomalla, Sandy J.; Chang, Nicolette; Moalusi, Tumelo] CSIR, Southern Ocean Carbon Climate Observ, Cape Town, South Africa; [Thomalla, Sandy J.] Univ Cape Town, Marine &amp; Antarctic Res Ctr Innovat &amp; Sustainabil, Dept Oceanog, Cape Town, South Africa; [Moalusi, Tumelo] Univ Witwatersrand, Global Change Inst, Johannesburg, South Africa</t>
  </si>
  <si>
    <t>Council for Scientific &amp; Industrial Research (CSIR) - South Africa; University of Cape Town; University of Witwatersrand</t>
  </si>
  <si>
    <t>Ryan-Keogh, TJ (corresponding author), CSIR, Southern Ocean Carbon Climate Observ, Cape Town, South Africa.</t>
  </si>
  <si>
    <t>tryankeogh@csir.co.za</t>
  </si>
  <si>
    <t>Ryan-Keogh, Thomas/AAS-3716-2021</t>
  </si>
  <si>
    <t>Ryan-Keogh, Thomas/0000-0001-5144-171X</t>
  </si>
  <si>
    <t>CSIR Parliamentary Grant; Department of Science and Innovation</t>
  </si>
  <si>
    <t>CSIR Parliamentary Grant(Council of Scientific &amp; Industrial Research (CSIR) - India); Department of Science and Innovation</t>
  </si>
  <si>
    <t>We would like to acknowledge the OC-CCI group for providing the satellite data used in this paper. The authors acknowledge their institutional support from the CSIR Parliamentary Grant and the Department of Science and Innovation. We similarly acknowledge the Centre for High-Performance Computing (CSIR-CHPC) for the support and provision of the computational hours required for the analysis of this work. We would like to acknowledge Greg Silsbe for sharing the code for the CAFE algorithm.</t>
  </si>
  <si>
    <t>OCT 31</t>
  </si>
  <si>
    <t>10.5194/essd-15-4829-2023</t>
  </si>
  <si>
    <t>JC4E7</t>
  </si>
  <si>
    <t>WOS:001170936200001</t>
  </si>
  <si>
    <t>Docquier, D; Ponsoni, L; Simon, A; Piola, AR</t>
  </si>
  <si>
    <t>Docquier, David; Ponsoni, Leandro; Simon, Amelie; Piola, Alberto R.</t>
  </si>
  <si>
    <t>Editorial: Sea ice - ocean interactions</t>
  </si>
  <si>
    <t>sea ice; ocean; interactions; Arctic; Antarctic; observations; models</t>
  </si>
  <si>
    <t>[Docquier, David] Royal Meteorol Inst Belgium, Dynam Meteorol &amp; Climatol Unit, Brussels, Belgium; [Ponsoni, Leandro] Flanders Marine Inst, Marine Robot Ctr, Oostende, Belgium; [Simon, Amelie] Inst Mines Telecom IMT Atlantique, UMR 6285, Unite Mixte Rech, Lab STICC,Ctr,CNRS, Brest, France; [Piola, Alberto R.] Univ Buenos Aires, Fac Ciencias Exactas &amp; Nat, Dept Ciencias Atmosfera &amp; Oceanos, Buenos Aires, Argentina; [Piola, Alberto R.] Univ Buenos Aires UBA, CONICET, Inst Franco Argentino Estudios Clima &amp; Impactos, CNRS,Inst Rech Dev IRD, Buenos Aires, Argentina</t>
  </si>
  <si>
    <t>Royal Meteorological Institute of Belgium; Universite de Bretagne Occidentale; Centre National de la Recherche Scientifique (CNRS); IMT - Institut Mines-Telecom; IMT Atlantique; University of Buenos Aires; Consejo Nacional de Investigaciones Cientificas y Tecnicas (CONICET); University of Buenos Aires</t>
  </si>
  <si>
    <t>Docquier, D (corresponding author), Royal Meteorol Inst Belgium, Dynam Meteorol &amp; Climatol Unit, Brussels, Belgium.</t>
  </si>
  <si>
    <t>david.docquier@meteo.be</t>
  </si>
  <si>
    <t>Docquier, David/P-5635-2019; Ponsoni, Leandro/B-5425-2018</t>
  </si>
  <si>
    <t>Docquier, David/0000-0002-5720-4253; Ponsoni, Leandro/0000-0002-2218-271X</t>
  </si>
  <si>
    <t>The author(s) declare financial support was received for the research, authorship, and/or publication of this article. DD is funded by the Belgian Science Policy Office (BELSPO) under the RESIST project ('REcent Arctic and Antarctic Sea Ice lows: Same caus [RT/23/RESIST]; Belgian Science Policy Office (BELSPO) under the RESIST project [ANR-22-POCE-0005]; ANR and France</t>
  </si>
  <si>
    <t>The author(s) declare financial support was received for the research, authorship, and/or publication of this article. DD is funded by the Belgian Science Policy Office (BELSPO) under the RESIST project ('REcent Arctic and Antarctic Sea Ice lows: Same caus; Belgian Science Policy Office (BELSPO) under the RESIST project; ANR and France(Agence Nationale de la Recherche (ANR))</t>
  </si>
  <si>
    <t>We thank the Frontiers in Marine Science editorial staff for their support and all of the authors and reviewers who participated in this Research Topic.r The author(s) declare financial support was received for the research, authorship, and/or publication of this article. DD is funded by the Belgian Science Policy Office (BELSPO) under the RESIST project ('REcent Arctic and Antarctic Sea Ice lows: Same causes, same impacTs?'; contract no. RT/23/RESIST). AS is funded by ANR and France 2030 through the project CLIMArcTIC (grant ANR-22-POCE-0005).</t>
  </si>
  <si>
    <t>10.3389/fmars.2023.1323361</t>
  </si>
  <si>
    <t>Y4NM0</t>
  </si>
  <si>
    <t>WOS:001105045100001</t>
  </si>
  <si>
    <t>Rashid, A; Fang, C; Qin, D; Zhang, YS; Nkinahamira, F; Bo, J; Sun, Q</t>
  </si>
  <si>
    <t>Rashid, Azhar; Fang, Chao; Qin, Dan; Zhang, Yusheng; Nkinahamira, Francois; Bo, Jun; Sun, Qian</t>
  </si>
  <si>
    <t>Spatiotemporal profile and ecological impacts of major and trace elements in surface sediments of marginal seas of the Arctic and Northern Pacific Oceans</t>
  </si>
  <si>
    <t>Arctic and Northern Pacific oceans; Surface sediments; Elements; Risk assessment</t>
  </si>
  <si>
    <t>RARE-EARTH-ELEMENTS; HEAVY-METAL CONTAMINATION; RISK-ASSESSMENT; DEEP-SEA; RIVER SEDIMENTS; POLLUTION; ESTUARY; ACCUMULATION; CHUKCHI; BIOACCUMULATION</t>
  </si>
  <si>
    <t>The status and ecological impacts of sedimentary elements of the marginal seas of Arctic and Northern Pacific Oceans was investigated during 2016 to 2018 by using inductively coupled plasma mass spectrometry. Industrial (0.006 mg kg -1-64.6 g kg -1), precious (0.003-43.8 mg kg -1), rare earth (0.006-112.9 mg kg -1), and heavy metal (0.009-398.9 mg kg -1) elements showed spatial variation, and temporal uniformity. The results indicated sigma REEs and light REEs enrichment compared to chondrite and heavy REEs, respectively, while nonsignificant positive and negative delta Ce and delta Eu anomalies existed, respectively. High contamination and extreme enrichment of priority control, industrial (As, Mo, Re, Sb), precious (Au, Ir, Pd, Pt, and Ru) and RE elements indicated potential moderate to high ecological and biological risks. The study highlighted the ecological importance and fragile nature of these ecosystems and calls for an urgent action to ensure sustainability of these ecosystems.</t>
  </si>
  <si>
    <t>[Rashid, Azhar; Qin, Dan; Sun, Qian] Chinese Acad Sci, Inst Urban Environm, CAS Key Lab Urban Pollutant Convers, Fujian Key Lab Watershed Ecol, Xiamen 361021, Peoples R China; [Rashid, Azhar] Univ Haripur, Dept Environm Sci, Haripur 22620, Pakistan; [Fang, Chao; Zhang, Yusheng; Bo, Jun] Minist Nat Resources, Inst Oceanog 3, MNR Key Lab Marine Ecol Conservat &amp; Restorat, Fujian Key Lab Marine Ecol Conservat &amp; Restorat, Xiamen 361005, Peoples R China</t>
  </si>
  <si>
    <t>Chinese Academy of Sciences; Institute of Urban Environment, CAS; Third Institute of Oceanography, Ministry of Natural Resources; Ministry of Natural Resources of the People's Republic of China</t>
  </si>
  <si>
    <t>Sun, Q (corresponding author), Chinese Acad Sci, Inst Urban Environm, CAS Key Lab Urban Pollutant Convers, Fujian Key Lab Watershed Ecol, Xiamen 361021, Peoples R China.;Bo, J (corresponding author), Minist Nat Resources, Inst Oceanog 3, MNR Key Lab Marine Ecol Conservat &amp; Restorat, Fujian Key Lab Marine Ecol Conservat &amp; Restorat, Xiamen 361005, Peoples R China.</t>
  </si>
  <si>
    <t>bojun@tio.org.cn; dqin@iue.ac.cn</t>
  </si>
  <si>
    <t>SUN, Qian/AAF-3313-2021</t>
  </si>
  <si>
    <t>SUN, Qian/0000-0002-0774-1608; Rashid, Azhar/0000-0002-4386-0399</t>
  </si>
  <si>
    <t>Scientific Research Foundation of the Third Institute of Oceanography, MNR [2022015, 2020017]; Natural Science Foundation of Fujian Province [2021J01506]; Chinese Arctic and Antarctic Administration [41807411]; National Natural Science Foundation of China [41807411]</t>
  </si>
  <si>
    <t>Scientific Research Foundation of the Third Institute of Oceanography, MNR; Natural Science Foundation of Fujian Province(Natural Science Foundation of Fujian Province); Chinese Arctic and Antarctic Administration; National Natural Science Foundation of China(National Natural Science Foundation of China (NSFC))</t>
  </si>
  <si>
    <t>This work was supported by the Scientific Research Foundation of the Third Institute of Oceanography, MNR (No. 2022015, 2020017) , the Natural Science Foundation of Fujian Province (No. 2021J01506) , the Chinese Arctic and Antarctic Administration and the National Natural Science Foundation of China (No. 41807411) .</t>
  </si>
  <si>
    <t>10.1016/j.marpolbul.2023.115702</t>
  </si>
  <si>
    <t>OCT 2023</t>
  </si>
  <si>
    <t>Y4VT1</t>
  </si>
  <si>
    <t>WOS:001105260300001</t>
  </si>
  <si>
    <t>Mittal, P; Sipani, R; Pandiyan, A; Sulthana, S; Sinha, AK; Hussain, A; Ray, MK; Pavankumar, TL</t>
  </si>
  <si>
    <t>Mittal, Pragya; Sipani, Rashmi; Pandiyan, Apuratha; Sulthana, Shaheen; Sinha, Anurag K.; Hussain, Ashaq; Ray, Malay K.; Pavankumar, Theetha L.</t>
  </si>
  <si>
    <t>Exoribonuclease RNase R protects Antarctic Pseudomonas syringae Lz4W from DNA damage and oxidative stress</t>
  </si>
  <si>
    <t>APPLIED AND ENVIRONMENTAL MICROBIOLOGY</t>
  </si>
  <si>
    <t>Pseudomonas syringae; RNase R; DNA damage; oxidative stress; RNA degradation; RNA degradosome</t>
  </si>
  <si>
    <t>ESCHERICHIA-COLI; POLYNUCLEOTIDE PHOSPHORYLASE; LOW-TEMPERATURE; RIBONUCLEASE-II; QUALITY-CONTROL; RIBOSOMAL-RNA; DEGRADATION; GROWTH; GENE; IDENTIFICATION</t>
  </si>
  <si>
    <t>RNase R is a highly processive, 3'-5' exoribonuclease involved in RNA degradation, maturation, and processing in bacteria. In Pseudomonas syringae Lz4W, RNase R interacts with RNase E to form the RNA degradosome complex and is essential for growth at low temperature. RNase R is also implicated in general stress response in many bacteria. We show here that the deletion mutant of rnr gene (encoding RNase R) of P. syringae is highly sensitive to various DNA damaging agents and oxidative stress. RNase R is a multidomain protein comprised of cold shock domain, RNB, and S1 domains. We investigated the role of each domain of RNase R and its exoribonuclease activity in nucleic acid damage and oxidative stress response. Our results revealed that the RNB domain alone without its exoribonuclease activity is sufficient to protect against DNA damage and oxidative stress. We also show that the association of RNase R with the degradosome complex is not required for this function. Our study has discovered for the first time a hitherto unknown role of RNase R in protecting P. syringae Lz4W against DNA damage and oxidative stress.</t>
  </si>
  <si>
    <t>[Mittal, Pragya; Sipani, Rashmi; Pandiyan, Apuratha; Sulthana, Shaheen; Sinha, Anurag K.; Hussain, Ashaq; Ray, Malay K.; Pavankumar, Theetha L.] Council Sci &amp; Ind Res CSIR, Ctr Cellular &amp; Mol Biol CCMB, Hyderabad, India</t>
  </si>
  <si>
    <t>Mittal, P; Pavankumar, TL (corresponding author), Council Sci &amp; Ind Res CSIR, Ctr Cellular &amp; Mol Biol CCMB, Hyderabad, India.</t>
  </si>
  <si>
    <t>pragya.mittal@ed.ac.uk; pavan@ucdavis.edu</t>
  </si>
  <si>
    <t>Sinha, Anurag Kumar/GXA-0049-2022; Pavankumar, Theetha/R-6118-2017</t>
  </si>
  <si>
    <t>Sinha, Anurag Kumar/0000-0002-6051-4930; Pavankumar, Theetha/0000-0003-1845-9592</t>
  </si>
  <si>
    <t>We thank Dr. Manjula Reddy of Centre for Cellular and Molecular Biology, Hyderabad, India, for gifting us wt and rnr mutant cells of E. coli. We also thank Drs. Diedre F. Reitz and Artem G. Lada of the Dep; Council of Scientific and Industrial Research, New Delhi, India</t>
  </si>
  <si>
    <t>We thank Dr. Manjula Reddy of Centre for Cellular and Molecular Biology, Hyderabad, India, for gifting us wt and rnr mutant cells of E. coli. We also thank Drs. Diedre F. Reitz and Artem G. Lada of the Dep; Council of Scientific and Industrial Research, New Delhi, India(Council of Scientific &amp; Industrial Research (CSIR) - India)</t>
  </si>
  <si>
    <t>We thank Dr. Manjula Reddy of Centre for Cellular and Molecular Biology, Hyderabad, India, for gifting us wt and rnr mutant cells of E. coli. We also thank Drs. Diedre F. Reitz and Artem G. Lada of the Department of Microbiology, University of California, Davis, USA, for the comments and suggestions on the manuscript. This study was funded by the Council of Scientific and Industrial Research, New Delhi, India.</t>
  </si>
  <si>
    <t>0099-2240</t>
  </si>
  <si>
    <t>1098-5336</t>
  </si>
  <si>
    <t>APPL ENVIRON MICROB</t>
  </si>
  <si>
    <t>Appl. Environ. Microbiol.</t>
  </si>
  <si>
    <t>10.1128/aem.01168-23</t>
  </si>
  <si>
    <t>Biotechnology &amp; Applied Microbiology; Microbiology</t>
  </si>
  <si>
    <t>EL1L4</t>
  </si>
  <si>
    <t>WOS:001099060200001</t>
  </si>
  <si>
    <t>Garcia, SM; Miller, LE; Falcini, FAM; Stearns, LA</t>
  </si>
  <si>
    <t>Garcia, Santiago Munevar; Miller, Lauren Elizabeth; Falcini, Francesca Anna Maria; Stearns, Leigh Asher</t>
  </si>
  <si>
    <t>Characterizing bed roughness on the Antarctic continental margin</t>
  </si>
  <si>
    <t>glacial geomorphology; ice streams; processes and landforms of glacial erosion; subglacial processes</t>
  </si>
  <si>
    <t>PINE ISLAND GLACIER; ICE-SHEET DYNAMICS; BENEATH CONTEMPORARY; THWAITES GLACIER; GROUNDING-LINE; FLOW; STREAM; RETREAT; BATHYMETRY; SHELF</t>
  </si>
  <si>
    <t>Spatial variability in bed topography, characterized as bed roughness, impacts ice-sheet flow and organization and can be used to infer subglacial conditions and processes, yet is difficult to quantify due to sparse observations. Paleo-subglacial beds of formerly expanded glaciers found across the Antarctic continental shelf are well preserved, have relatively limited post-glacial sediment cover and contain glacial landforms that can be resolved at sub-meter vertical scales. We analyze high-resolution bathymetry offshore of Pine Island and Thwaites glaciers in the Amundsen Sea to explore spatial variability of bed roughness where streamlined subglacial landforms allow for the determination of ice-flow direction. We quantify bed roughness using std dev. and Fast Fourier Transform methods, each employed at local (100 km) and regional (101-2 km) scales and in along- and across-flow orientations to determine roughness expressions across spatial scales. We find that the magnitude of roughness is impacted by the parameters selected - which are often not sufficiently reported in studies - to quantify roughness. Important spatial patterns can be discerned from high-resolution bathymetry, highlighting both its usefulness in identifying patterns of streaming ice flow and underscores the need for a standardized way of characterizing topographic variability.</t>
  </si>
  <si>
    <t>[Garcia, Santiago Munevar; Miller, Lauren Elizabeth] Univ Virginia, Dept Environm Sci, Charlottesville, VA 22904 USA; [Stearns, Leigh Asher] Univ Kansas, Dept Geol, Lawrence, KS USA</t>
  </si>
  <si>
    <t>University of Virginia; University of Kansas</t>
  </si>
  <si>
    <t>Garcia, SM (corresponding author), Univ Virginia, Dept Environm Sci, Charlottesville, VA 22904 USA.</t>
  </si>
  <si>
    <t>sm9nq@virginia.edu</t>
  </si>
  <si>
    <t>Miller, Lauren/0000-0002-9075-5196; Munevar Garcia, Santiago/0000-0003-1291-7978</t>
  </si>
  <si>
    <t>National Science Foundation Office of Polar Programs [1745043]</t>
  </si>
  <si>
    <t>National Science Foundation Office of Polar Programs(National Science Foundation (NSF)NSF - Directorate for Geosciences (GEO))</t>
  </si>
  <si>
    <t>S. M. G. and L. E. M. conceived the research project.Methodology was developed by S. M. G., F. A. M. F. andL. E. M. S. M. G. conducted formal analysis and wrote the manuscript with contributions from L. E. M., F. A. M. F. and L. A. S. Funding acquisition was provided by L. E. M. through the National Science Foundation Office of Polar Programs (Grant 1745043)</t>
  </si>
  <si>
    <t>2023 OCT 31</t>
  </si>
  <si>
    <t>10.1017/jog.2023.88</t>
  </si>
  <si>
    <t>W3ZN8</t>
  </si>
  <si>
    <t>WOS:001091044300001</t>
  </si>
  <si>
    <t>Danz, A; Quandt, CA</t>
  </si>
  <si>
    <t>Danz, August; Quandt, C. Alisha</t>
  </si>
  <si>
    <t>A review of the taxonomic diversity, host-parasite interactions, and experimental research on chytrids that parasitize diatoms</t>
  </si>
  <si>
    <t>FRONTIERS IN MICROBIOLOGY</t>
  </si>
  <si>
    <t>diatoms (Bacillariophyceae); fungi; diversity; parasitism; mycoloop; mechanism; infection; freshwater</t>
  </si>
  <si>
    <t>ASTERIONELLA-FORMOSA HASSALL; FRESH-WATER DIATOM; ZYGORHIZIDIUM-PLANKTONICUM CANTER; FRAGILARIA-CROTONENSIS KITTON; RHIZOPHYDIUM-PLANKTONICUM; FUNGAL PARASITISM; CHYTRIDIACEOUS FUNGI; POPULATION-DYNAMICS; COMMUNITY STRUCTURE; MARINE DIATOMS</t>
  </si>
  <si>
    <t>Diatoms (Bacillariophyta) are a major source of primary production on Earth, generating between 1/4 to 1/2 of all oxygen. They are found in almost all bodies of water, the ice of mountains, the arctic and the antarctic, and soils. Diatoms are also a major source of food in aquatic systems, a key component of the silica cycle, and are carbon capturers in oceans. Recently, diatoms have been examined as sources of biofuels, food, and other economic boons. Chytrids are members of the Kingdom fungi comprising, at a minimum, Chytridiomycota, Blastocladiomycota, and Neocallimastigales. Most chytrids are saprobes, plant pathogens, or parasites, and play an important role in aquatic ecosystems. Chytrid parasitism of diatoms has been reported to cause epidemics of over 90% fatality, though most of the information regarding these epidemics is limited to interactions between just a few hosts and parasites. Given the ubiquity of diatoms, their importance in natural and economic systems, and the massive impact epidemics can have on populations, the relative lack of knowledge regarding parasitism by chytrids is alarming. Here we present a list of the firsthand accounts of diatoms reported parasitized by chytrids. The list includes 162 named parasitic chytrid-diatom interactions, with 63 unique chytrid taxa from 11 genera, and 74 unique diatom taxa from 28 genera. Prior to this review, no list of all documented diatom-chytrid interactions existed. We also synthesize the currently known methods of infection, defense, and experiments examining diatoms and chytrids, and we document the great need for work examining both a greater breadth of taxonomic diversity of parasites and hosts, and a greater depth of experiments probing their interactions. This resource is intended to serve as a building block for future researchers studying diatom-parasite interactions and global planktonic communities in both fresh and marine systems.</t>
  </si>
  <si>
    <t>[Danz, August; Quandt, C. Alisha] Univ Colorado, Dept Ecol &amp; Evolutionary Biol, Boulder, CO 80302 USA; [Danz, August] Univ Colorado, Museum Nat Hist, Boulder, CO 80309 USA</t>
  </si>
  <si>
    <t>Danz, A; Quandt, CA (corresponding author), Univ Colorado, Dept Ecol &amp; Evolutionary Biol, Boulder, CO 80302 USA.;Danz, A (corresponding author), Univ Colorado, Museum Nat Hist, Boulder, CO 80309 USA.</t>
  </si>
  <si>
    <t>august.danz@colorado.edu; alisha.quandt@colorado.edu</t>
  </si>
  <si>
    <t>Quandt, Alisha/0000-0003-0260-8995; Danz, August/0000-0003-1476-2500</t>
  </si>
  <si>
    <t>The author(s) declare that no financial support was received for the research, authorship, and/or publication of this article.</t>
  </si>
  <si>
    <t>We are grateful to J. Patrick Kociolek for providing us with images of diatoms infected by chytrids, for generously sharing access to his library of early 20th century phycological literature, and for clarifying our questions regarding Accepted Diatom Names. We would also like to thank the reviewers of this manuscript for their feedback and valuable suggestions; we appreciate their comments which helped clarify and round out portions of this review.r The author(s) declare that no financial support was received for the research, authorship, and/or publication of this article.</t>
  </si>
  <si>
    <t>1664-302X</t>
  </si>
  <si>
    <t>FRONT MICROBIOL</t>
  </si>
  <si>
    <t>Front. Microbiol.</t>
  </si>
  <si>
    <t>OCT 30</t>
  </si>
  <si>
    <t>10.3389/fmicb.2023.1281648</t>
  </si>
  <si>
    <t>X8FP2</t>
  </si>
  <si>
    <t>WOS:001100744300001</t>
  </si>
  <si>
    <t>Dupuis, B; Kato, A; Joly, N; Saraux, C; Ropert-Coudert, Y; Chiaradia, A; Chimienti, M</t>
  </si>
  <si>
    <t>Dupuis, Benjamin; Kato, Akiko; Joly, Nicolas; Saraux, Claire; Ropert-Coudert, Yan; Chiaradia, Andre; Chimienti, Marianna</t>
  </si>
  <si>
    <t>COVID-related anthropause highlights the impact of marine traffic but not of tourism on breeding little penguins</t>
  </si>
  <si>
    <t>BIOLOGICAL CONSERVATION</t>
  </si>
  <si>
    <t>Anthropogenic activities; Breeding ecology; COVID-19 lock-down; Little penguins; Long -term monitoring</t>
  </si>
  <si>
    <t>EUDYPTULA-MINOR; FORAGING BEHAVIOR; STABLE-ISOTOPES; SEABIRDS; COLONY; ISLAND; SEGREGATION; INDICATORS; PLASTICITY; ATTENDANCE</t>
  </si>
  <si>
    <t>The COVID-19 pandemic and its lock-down measures have resulted in periods of reduced human activity, known as anthropause. While this period was expected to be favorable for the marine ecosystem, due to a probable reduction of pollution, shipping traffic, industrial activity and fishing pressure, negative counterparts such as reduced fisheries surveillance could counterbalance these positive effects. Simultaneously, on-land pressure due to human disturbance and tourism should have drastically decreased, potentially benefiting land-breeding marine animals such as seabirds. We analyzed 11 breeding seasons of data on several biological parameters of little penguins from a popular tourist attraction at Phillip Island, Australia. We investigated the impact of anthropogenic activities on penguin behavior during the breeding season measured by (1) distribution at sea, (2) colony attendance, (3) isotopic niche (4) chick meal mass, and (5) offspring investment against shipping traffic and number of tourists. The 2020 lock-downs resulted in a near absence of tourists visiting the Penguin Parade (R), which was otherwise visited by 800,000+ visitors on average per breeding season. However, our long-term analysis showed no effect of the presence of visitors on little penguins' activities. Surprisingly, the anthropause did not trigger any changes in maritime traffic intensity and distribution in the region. We found inter-and intra-annual variations for most parameters, we detected a negative effect of marine traffic on the foraging efficiency. Our results suggest that environmental variations have a greater influence on the breeding behavior of little penguins compared to short-term anthropause events. Our long-term dataset was key to test whether changes in anthropogenic activities affected the wildlife during the COVID-19 pandemic.</t>
  </si>
  <si>
    <t>[Dupuis, Benjamin; Kato, Akiko; Ropert-Coudert, Yan; Chimienti, Marianna] La Rochelle Univ, Ctr Etud Biol Chize, CNRS, UMR 7372, F-79360 Villiers En Bois, France; [Joly, Nicolas; Saraux, Claire] Univ Strasbourg, Inst Pluridisciplinaire Hubert Curien IPHC, CNRS, UMR 7178, 23 Rue Becquerel, F-67000 Strasbourg, France; [Chiaradia, Andre] Phillip Isl Nat Pk, Conservat Dept, Cowes, Vic 3922, Australia; [Chiaradia, Andre] Monash Univ, Sch Biol Sci, Clayton, Australia</t>
  </si>
  <si>
    <t>Centre National de la Recherche Scientifique (CNRS); CNRS - Institute of Ecology &amp; Environment (INEE); Universites de Strasbourg Etablissements Associes; Universite de Strasbourg; Centre National de la Recherche Scientifique (CNRS); CNRS - National Institute of Nuclear and Particle Physics (IN2P3); Monash University</t>
  </si>
  <si>
    <t>Dupuis, B (corresponding author), La Rochelle Univ, Ctr Etud Biol Chize, CNRS, UMR 7372, F-79360 Villiers En Bois, France.</t>
  </si>
  <si>
    <t>benjamin.dupuis@ens-lyon.org</t>
  </si>
  <si>
    <t>saraux, claire/AAX-8709-2020</t>
  </si>
  <si>
    <t>saraux, claire/0000-0001-5061-4009</t>
  </si>
  <si>
    <t>Penguin Foundation; Australian Academy of Science; Australian Research Council; Australian Antarctic Division; Kean Electronics; ATT Kings; Japan Society for the Promotion of Science; European Union [890284]; Marie Curie Actions (MSCA) [890284] Funding Source: Marie Curie Actions (MSCA)</t>
  </si>
  <si>
    <t>Penguin Foundation; Australian Academy of Science; Australian Research Council(Australian Research Council); Australian Antarctic Division; Kean Electronics; ATT Kings; Japan Society for the Promotion of Science(Ministry of Education, Culture, Sports, Science and Technology, Japan (MEXT)Japan Society for the Promotion of Science); European Union(European Union (EU)); Marie Curie Actions (MSCA)(Marie Curie Actions)</t>
  </si>
  <si>
    <t>The long-term data set received several funding sources over the years: the Penguin Foundation, Australian Academy of Science, Australian Research Council, Australian Antarctic Division, Kean Electronics, ATT Kings, and Japan Society for the Promotion of Science. This project has received funding from the European Union's Horizon 2020 research and innovation programme under the Marie Sklodowska-Curie grant agreement No 890284, Modelling Foraging Fitness in Marine predators (MuFFIN) , awarded to Marianna Chimienti.</t>
  </si>
  <si>
    <t>0006-3207</t>
  </si>
  <si>
    <t>1873-2917</t>
  </si>
  <si>
    <t>BIOL CONSERV</t>
  </si>
  <si>
    <t>Biol. Conserv.</t>
  </si>
  <si>
    <t>10.1016/j.biocon.2023.110323</t>
  </si>
  <si>
    <t>Y1BS2</t>
  </si>
  <si>
    <t>WOS:001102696000001</t>
  </si>
  <si>
    <t>Sueiro, MC; Awruch, CA; Somoza, GM; Svagelj, WS; Palacios, MG</t>
  </si>
  <si>
    <t>Sueiro, Maria Cruz; Awruch, Cynthia A.; Somoza, Gustavo M.; Svagelj, Walter S.; Palacios, Maria G.</t>
  </si>
  <si>
    <t>Links between reproduction and immunity in two sympatric wild marine fishes</t>
  </si>
  <si>
    <t>COMPARATIVE BIOCHEMISTRY AND PHYSIOLOGY A-MOLECULAR &amp; INTEGRATIVE PHYSIOLOGY</t>
  </si>
  <si>
    <t>Ecoimmunology; Marine fish; Innate immunity; Reproductive hormones; Trade-off</t>
  </si>
  <si>
    <t>SEASONAL-CHANGES; STEROID-HORMONES; TRADE-OFFS; ECOLOGICAL IMMUNOLOGY; HEALTH-STATE; TEMPERATURE; PARAMETERS; SYSTEM; ESTRADIOL; STRESS</t>
  </si>
  <si>
    <t>According to life-history theory, limited resources can result in trade-offs between costly physiological functions. Particularly, it can be expected that individuals present lower immune function, or an alternative immunological strategy, during their reproductive compared to their non-reproductive season. Here we investigate the link between reproduction and immunity in two sympatric marine fish species, the rockfish Sebastes oculatus and the sandperch Pinguipes brasilianus. The results showed lower values of total white blood cells and spleen index, but higher levels of natural antibodies (only in females) in reproductive rockfish compared to non-reproductive ones. On the other hand, reproductively active sandperch showed lower levels of natural antibodies and a higher neutrophil to lymphocyte ratio and spleen index (only in males), compared to non-reproductive ones. Also, negative correlations between reproductive and immune parameters were observed in female rockfish at the individual level, but not in sandperch. Our results are consistent with the presence of different immunological strategies in reproductive and non-reproductive periods, with patterns that appear to be species-specific. This specificity suggests that various aspects of immunity might respond differentially to resource limitation, which could be associated with the disparate life-history strategies of the studied species. Alternatively, though not exclusively, the observed patterns could be driven by abiotic factors that characterize the reproductive season of each species (i.e., winter for rockfish, summer for sandperch). Our study contributes to ecoimmunological knowledge on free-living fish and highlights that detection of trade-offs can depend on the combination of study species, season, sex, and specific immune components measured.</t>
  </si>
  <si>
    <t>[Sueiro, Maria Cruz; Awruch, Cynthia A.; Palacios, Maria G.] Consejo Nacl Invest Cient &amp; Tecn CENPAT CONICET, Ctr Nacl Patagon, Ctr Estudio Sistemas Marinos CESIMAR, Puerto Madryn, Chubut, Argentina; [Awruch, Cynthia A.] Univ Tasmania, Sch Nat Sci, Hobart, Tas, Australia; [Awruch, Cynthia A.] Univ Tasmania, Inst Marine &amp; Antarctic Studies IMAS, Hobart, Tas, Australia; [Somoza, Gustavo M.] Inst Tecnol Chascomus CONICET UNSAM, Chascomus, Buenos Aires, Argentina; [Somoza, Gustavo M.] Escuela Bio &amp; Nanotecnol UNSAM, Chascomus, Argentina; [Svagelj, Walter S.] Inst Invest Marinas &amp; Costeras UNMdP CONICET, Mar Del Plata, Buenos Aires, Argentina; [Sueiro, Maria Cruz] Blvd Brown 2915,U9120ACD, Puerto Madryn, Chubut, Argentina</t>
  </si>
  <si>
    <t>Centro Nacional Patagonico (CENPAT); Consejo Nacional de Investigaciones Cientificas y Tecnicas (CONICET); University of Tasmania; University of Tasmania; Consejo Nacional de Investigaciones Cientificas y Tecnicas (CONICET)</t>
  </si>
  <si>
    <t>Sueiro, MC (corresponding author), Consejo Nacl Invest Cient &amp; Tecn CENPAT CONICET, Ctr Nacl Patagon, Ctr Estudio Sistemas Marinos CESIMAR, Puerto Madryn, Chubut, Argentina.;Sueiro, MC (corresponding author), Blvd Brown 2915,U9120ACD, Puerto Madryn, Chubut, Argentina.</t>
  </si>
  <si>
    <t>cruz@cenpat-conicet.gob.ar</t>
  </si>
  <si>
    <t>Agencia Nacional de Promocion Cientifica y Tecnologica (ANPCyT) [PICT 2013-3006]</t>
  </si>
  <si>
    <t>Agencia Nacional de Promocion Cientifica y Tecnologica (ANPCyT)(ANPCyTSpanish Government)</t>
  </si>
  <si>
    <t>We are grateful to M. Cuestas, A. Irigoyen, M. Lupiano, G. Zamora, and the Centro Nacional Patagonico (CENPAT) crew for field support and handling of fish. Funding was provided by Agencia Nacional de Promocion Cientifica y Tecnologica (ANPCyT PICT 2013-3006) . We thank the two anonymous reviewers for their comments and suggestions, which helped us improve the manuscript.</t>
  </si>
  <si>
    <t>1095-6433</t>
  </si>
  <si>
    <t>1531-4332</t>
  </si>
  <si>
    <t>COMP BIOCHEM PHYS A</t>
  </si>
  <si>
    <t>Comp. Biochem. Physiol. A-Mol. Integr. Physiol.</t>
  </si>
  <si>
    <t>10.1016/j.cbpa.2023.111538</t>
  </si>
  <si>
    <t>Biochemistry &amp; Molecular Biology; Physiology; Zoology</t>
  </si>
  <si>
    <t>Y0ZW6</t>
  </si>
  <si>
    <t>WOS:001102647900001</t>
  </si>
  <si>
    <t>Li, Z; England, MH; Groeskamp, S</t>
  </si>
  <si>
    <t>Li, Zhi; England, Matthew H.; Groeskamp, Sjoerd</t>
  </si>
  <si>
    <t>Recent acceleration in global ocean heat accumulation by mode and intermediate waters</t>
  </si>
  <si>
    <t>NORTH-ATLANTIC; INTERANNUAL VARIABILITY; PACIFIC; ABYSSAL; DRIVEN; TEMPERATURE; CIRCULATION; SUBDUCTION; PROFILES; MASSES</t>
  </si>
  <si>
    <t>The ocean absorbs &gt;90% of anthropogenic heat in the Earth system, moderating global atmospheric warming. However, it remains unclear how this heat uptake is distributed by basin and across water masses. Here we analyze historical and recent observations to show that ocean heat uptake has accelerated dramatically since the 1990s, nearly doubling during 2010-2020 relative to 1990-2000. Of the total ocean heat uptake over the Argo era 2005-2020, about 89% can be found in global mode and intermediate water layers, spanning both hemispheres and both subtropical and subpolar mode waters. Due to anthropogenic warming, there are significant changes in the volume of these water-mass layers as they warm and freshen. After factoring out volumetric changes, the combined warming of these layers accounts for similar to 76% of global ocean warming. We further decompose these water-mass layers into regional water masses over the subtropical Pacific and Atlantic Oceans and in the Southern Ocean. This shows that regional mode and intermediate waters are responsible for a disproportionate fraction of total heat uptake compared to their volume, with important implications for understanding ongoing ocean warming, sea-level rise, and climate impacts.</t>
  </si>
  <si>
    <t>[Li, Zhi] Univ New South Wales, Climate Change Res Ctr, Sydney, NSW 2052, Australia; [Li, Zhi; England, Matthew H.] Univ New South Wales, Australian Ctr Excellence Antarctic Sci, Sydney, NSW 2052, Australia; [Li, Zhi; England, Matthew H.] Univ New South Wales, Ctr Marine Sci &amp; Innovat CMSI, Sydney, NSW 2052, Australia; [Groeskamp, Sjoerd] NIOZ Royal Netherlands Inst Sea Res, Dept Ocean Syst, NL-1790 AB Den Burg, Texel, Netherlands</t>
  </si>
  <si>
    <t>University of New South Wales Sydney; University of New South Wales Sydney; University of New South Wales Sydney; Utrecht University; Royal Netherlands Institute for Sea Research (NIOZ)</t>
  </si>
  <si>
    <t>Li, Z (corresponding author), Univ New South Wales, Climate Change Res Ctr, Sydney, NSW 2052, Australia.;Li, Z (corresponding author), Univ New South Wales, Australian Ctr Excellence Antarctic Sci, Sydney, NSW 2052, Australia.;Li, Z (corresponding author), Univ New South Wales, Ctr Marine Sci &amp; Innovat CMSI, Sydney, NSW 2052, Australia.</t>
  </si>
  <si>
    <t>zhi.li4@unsw.edu.au</t>
  </si>
  <si>
    <t>England, Matthew/A-7539-2011</t>
  </si>
  <si>
    <t>England, Matthew/0000-0001-9696-2930; Groeskamp, Sjoerd/0000-0002-7898-3030; Li, Zhi/0000-0002-0166-9289</t>
  </si>
  <si>
    <t>Australian Research Council; Centre for Southern Hemisphere Oceans Research (CSHOR); Foundation of China Scholarship Council; [SR200100008]; [201806330075]</t>
  </si>
  <si>
    <t>Australian Research Council(Australian Research Council); Centre for Southern Hemisphere Oceans Research (CSHOR); Foundation of China Scholarship Council(China Scholarship Council); ;</t>
  </si>
  <si>
    <t>Z.L. and M.H.E. are supported by the Australian Research Council (SR200100008). M.H.E. also acknowledges past support from the Centre for Southern Hemisphere Oceans Research (CSHOR; a joint research center between QNLM, CSIRO, UNSW and UTAS). Z.L. received support from the Foundation of China Scholarship Council (No. 201806330075). We thank Ivana Cerovecki for helpful discussions on aspects of this work.</t>
  </si>
  <si>
    <t>OCT 28</t>
  </si>
  <si>
    <t>10.1038/s41467-023-42468-z</t>
  </si>
  <si>
    <t>W7IO3</t>
  </si>
  <si>
    <t>WOS:001093326300008</t>
  </si>
  <si>
    <t>Wang, S; Lin, SY; Liu, KX; Liu, Y; Liu, QZ; Sun, N</t>
  </si>
  <si>
    <t>Wang, Shan; Lin, Songyi; Liu, Kexin; Liu, Yao; Liu, Qiaozhen; Sun, Na</t>
  </si>
  <si>
    <t>Digestion-Resistant Linear Epitopes as Dominant Contributors to Strong Allergenicity of Tropomyosin in Antarctic Krill (Euphausia superba)</t>
  </si>
  <si>
    <t>JOURNAL OF AGRICULTURAL AND FOOD CHEMISTRY</t>
  </si>
  <si>
    <t>Antarctic krill; tropomyosin; allergenicity; gastrointestinal digestion; structure characteristics; digestion-resistant linear epitopes</t>
  </si>
  <si>
    <t>FOOD ALLERGENS; PROTEIN; SHRIMP; IGE; IDENTIFICATION; SENSITIZATION</t>
  </si>
  <si>
    <t>Although tropomyosin has been identified as a major allergen in Antarctic krill, the digestive fate of Antarctic krill tropomyosin and its relationship with allergenicity are unknown. In this study, Antarctic krill tropomyosin was administered to BALB/c mice via both gavage and intraperitoneal injection to explore its sensitizing and eliciting capacity, and its digestion products were analyzed for structural changes and digestion-resistant linear epitopes. Mice gavaged with tropomyosin exhibited lower levels of specific IgE and IgG(1), mast cell degranulation, vascular permeability, and anaphylaxis symptoms than those in the intraperitoneal injection group. This may be due to the destruction of macromolecular aggregates, loose expansion of the tertiary structure, complete disappearance of alpha-helix, and significant changes in molecular force upon the digestion of tropomyosin. Nevertheless, the intragastric administration of Antarctic krill tropomyosin still triggered strong allergic reactions, which was attributed to the existence of seven digestion-resistant linear epitopes (Glu26-His44, Thr111-Arg125, Glu157-Glu164, Glu177-Gly186, Val209-Ile225, Arg244-Arg255, and Val261-Ile270).</t>
  </si>
  <si>
    <t>[Wang, Shan; Lin, Songyi; Liu, Kexin; Liu, Yao; Liu, Qiaozhen; Sun, Na] Dalian Polytech Univ, Natl Engn Res Ctr Seafood, Sch Food Sci &amp; Technol, Dalian 116034, Peoples R China; [Lin, Songyi; Sun, Na] Dalian Polytech Univ, Liaoning Engn Res Ctr Special Dietary Food, Dalian 116034, Peoples R China</t>
  </si>
  <si>
    <t>Dalian Polytechnic University; Dalian Polytechnic University</t>
  </si>
  <si>
    <t>Sun, N (corresponding author), Dalian Polytech Univ, Natl Engn Res Ctr Seafood, Sch Food Sci &amp; Technol, Dalian 116034, Peoples R China.;Sun, N (corresponding author), Dalian Polytech Univ, Liaoning Engn Res Ctr Special Dietary Food, Dalian 116034, Peoples R China.</t>
  </si>
  <si>
    <t>sunna1215@126.com</t>
  </si>
  <si>
    <t>Wang, Jiawei/KHC-8971-2024; Lin, Song-Y i/A-1778-2012</t>
  </si>
  <si>
    <t>National Natural Science Foundation of China [32022067]; Dalian Sci-Tech Talent Innovation Support Program [2022RY04]</t>
  </si>
  <si>
    <t>National Natural Science Foundation of China(National Natural Science Foundation of China (NSFC)); Dalian Sci-Tech Talent Innovation Support Program</t>
  </si>
  <si>
    <t>This work was financially supported by the National Natural Science Foundation of China (No. 32022067) and the Dalian Sci-Tech Talent Innovation Support Program (No. 2022RY04).</t>
  </si>
  <si>
    <t>0021-8561</t>
  </si>
  <si>
    <t>1520-5118</t>
  </si>
  <si>
    <t>J AGR FOOD CHEM</t>
  </si>
  <si>
    <t>J. Agric. Food Chem.</t>
  </si>
  <si>
    <t>10.1021/acs.jafc.3c04999</t>
  </si>
  <si>
    <t>Agriculture, Multidisciplinary; Chemistry, Applied; Food Science &amp; Technology</t>
  </si>
  <si>
    <t>Agriculture; Chemistry; Food Science &amp; Technology</t>
  </si>
  <si>
    <t>Y0GM8</t>
  </si>
  <si>
    <t>WOS:001096859300001</t>
  </si>
  <si>
    <t>Connan, M; Jones, CW; Risi, MM; Smyth, LK; Oppel, S; Perold, V; Stevens, KL; Daling, R; Ryan, PG</t>
  </si>
  <si>
    <t>Connan, Maelle; Jones, Christopher W.; Risi, Michelle M.; Smyth, Lucy K.; Oppel, Steffen; Perold, Vonica; Stevens, Kim L.; Daling, Roelf; Ryan, Peter G.</t>
  </si>
  <si>
    <t>First evidence of mouse predation killing adult great albatrosses</t>
  </si>
  <si>
    <t>BIOLOGICAL INVASIONS</t>
  </si>
  <si>
    <t>Tristan Albatross; Wandering Albatross; House Mouse; Marion Island; Gough Island; Conservation threat</t>
  </si>
  <si>
    <t>GIANT PETRELS; MUS-MUSCULUS; HOUSE MICE; MARION; IMPACT</t>
  </si>
  <si>
    <t>Invasive rodents threaten native species in numerous ecosystems, especially oceanic islands. The House Mouse Mus musculus is the only introduced mammal species on sub-Antarctic Gough and Marion Islands. Ample evidence exists of mice preying upon seabird chicks on these two islands, but there have been only a few reports of attacks on adult seabirds, none of which has been fatal. We report the first deaths of adult great albatrosses due to mouse attacks. On Gough Island, three Tristan Albatrosses Diomedea dabbenena (Critically Endangered) brooding small chicks were observed with wounds typical of mouse attacks in March-April 2021; two likely abandoned their chick, causing breeding failure, and the third was found dead eight days after discovery with large blowfly larvae in the wound. On Marion Island, two wounded and eight dead adult Wandering Albatrosses D. exulans (Vulnerable) were found in April 2023. Inspection of the wounded individuals, as well as the injuries on the fresh carcasses strongly suggest that mouse predation was the cause of death. Gough Island is home to virtually all Tristan Albatrosses, and Marion Island is the single most important breeding site for Wandering Albatrosses, home to about a quarter of all breeding birds. The death of breeding adults of these long-lived species emphasizes the urgent need to eradicate introduced mice from these islands.</t>
  </si>
  <si>
    <t>[Connan, Maelle; Jones, Christopher W.; Risi, Michelle M.; Smyth, Lucy K.] Nelson Mandela Univ, Inst Coastal &amp; Marine Res, Dept Zool, Marine Apex Predator Res Unit MAPRU, POB 77000, ZA-6031 Gqeberha, South Africa; [Oppel, Steffen; Perold, Vonica; Stevens, Kim L.; Daling, Roelf] Royal Soc Protect Birds, RSPB Ctr Conservat Sci, David Attenborough Bldg, Cambridge, England; [Perold, Vonica; Stevens, Kim L.; Ryan, Peter G.] Univ Cape Town, FitzPatrick Inst African Ornithol FIAO, Rondebosch, South Africa</t>
  </si>
  <si>
    <t>Nelson Mandela University; Royal Society for Protection of Birds; University of Cape Town</t>
  </si>
  <si>
    <t>Connan, M (corresponding author), Nelson Mandela Univ, Inst Coastal &amp; Marine Res, Dept Zool, Marine Apex Predator Res Unit MAPRU, POB 77000, ZA-6031 Gqeberha, South Africa.</t>
  </si>
  <si>
    <t>maelle.connan@gmail.com; chrisj22123@gmail.com; mish.risi22@gmail.com; lucyksmyth@gmail.com; steffen.oppel@vogelwarte.ch; vperold@gmail.com; stevenskim18@gmail.com; roelfdaling@icloud.com; pryan31@gmail.com</t>
  </si>
  <si>
    <t>Oppel, Steffen/H-2771-2019</t>
  </si>
  <si>
    <t>Oppel, Steffen/0000-0002-8220-3789; Ryan, Peter/0000-0002-3356-2056; Stevens, Kim/0000-0002-5885-1559; Smyth, Lucy/0000-0002-6177-3133; Jones, Christopher/0000-0002-4112-1912</t>
  </si>
  <si>
    <t>We thank L. Dorman and R. Goodwill for checking Tristan Albatross colonies on Gough Island in 2023. We also thank A. Makhado, A. Mdluli and S. Peta for their help during the incubation round island on Marion Island and A. Wolfaardt, E. van Ginkel and C. Sm; Environment (DFFE, South Africa)</t>
  </si>
  <si>
    <t>We thank L. Dorman and R. Goodwill for checking Tristan Albatross colonies on Gough Island in 2023. We also thank A. Makhado, A. Mdluli and S. Peta for their help during the incubation round island on Marion Island and A. Wolfaardt, E. van Ginkel and C. Smyth for their check of the Wandering Albatrosses on the west side of the island in April 2023. Permission to undertake research on Gough Island was given by the Tristan da Cunha Conservation Department, and we appreciate the support by T. Glass, and general assistance for the work on the island by A. Callender, A. Schofield and A. Steinfurth. Research on Marion Island was carried out under permit from the Department of Forestry, Fisheries and the Environment (DFFE, South Africa).</t>
  </si>
  <si>
    <t>1387-3547</t>
  </si>
  <si>
    <t>1573-1464</t>
  </si>
  <si>
    <t>BIOL INVASIONS</t>
  </si>
  <si>
    <t>Biol. Invasions</t>
  </si>
  <si>
    <t>10.1007/s10530-023-03177-2</t>
  </si>
  <si>
    <t>EL4W1</t>
  </si>
  <si>
    <t>WOS:001093480300001</t>
  </si>
  <si>
    <t>Dishliyska, V; Stoyancheva, G; Abrashev, R; Miteva-Staleva, J; Spasova, B; Angelova, M; Krumova, E</t>
  </si>
  <si>
    <t>Dishliyska, Vladislava; Stoyancheva, Galina; Abrashev, Radoslav; Miteva-Staleva, Jeny; Spasova, Boriana; Angelova, Maria; Krumova, Ekaterina</t>
  </si>
  <si>
    <t>Catalase from the Antarctic Fungus Aspergillus fumigatus I-9-Biosynthesis and Gene Characterization</t>
  </si>
  <si>
    <t>INDIAN JOURNAL OF MICROBIOLOGY</t>
  </si>
  <si>
    <t>Antarctic; Fungi; Catalase; Gene</t>
  </si>
  <si>
    <t>GLUCOSE-OXIDASE; CRYSTAL-STRUCTURE; LOW-TEMPERATURE; PROTEIN; STRESS; PEROXIDASES; ADAPTATION; DIVERSITY; STABILITY; EVOLUTION</t>
  </si>
  <si>
    <t>Extremely cold habitats are a serious challenge for the existing there organisms. Inhabitants of these conditions are mostly microorganisms and lower mycetae. The mechanisms of microbial adaptation to extreme conditions are still unclear. Low temperatures cause significant physiological and biochemical changes in cells. Recently, there has been increasing interest in the relationship between low-temperature exposure and oxidative stress events, as well as the importance of antioxidant enzymes for survival in such conditions. The catalase is involved in the first line of the cells' antioxidant defense. Published information supports the concept of a key role for catalase in antioxidant defense against cold stress in a wide range of organisms isolated from the Antarctic. Data on representatives of microscopic fungi, however, are rarely found. There is scarce information on the characterization of catalase synthesized by adapted to cold stress organisms. Overall, this study aimed to observe the role of catalase in the survival strategy of filamentous fungi in extremely cold habitats and to identify the gene encoded catalase enzyme. Our results clearly showed that catalase is the main part of antioxidant enzyme defense in fungal cells against oxidative stress caused by low temperature exposure.</t>
  </si>
  <si>
    <t>[Dishliyska, Vladislava; Abrashev, Radoslav; Miteva-Staleva, Jeny; Spasova, Boriana; Angelova, Maria; Krumova, Ekaterina] Bulgarian Acad Sci, Stephan Angeloff Inst Microbiol, Dept Mycol, Acad G,Bonchev Str Bl26, Sofia 1113, Bulgaria; [Stoyancheva, Galina] Bulgarian Acad Sci, Stephan Angeloff Inst Microbiol, Dept Gen Microbiol, Acad G,Bonchev Str Bl 26, Sofia 1113, Bulgaria</t>
  </si>
  <si>
    <t>Krumova, E (corresponding author), Bulgarian Acad Sci, Stephan Angeloff Inst Microbiol, Dept Mycol, Acad G,Bonchev Str Bl26, Sofia 1113, Bulgaria.</t>
  </si>
  <si>
    <t>e_krumova@microbio.bas.bg</t>
  </si>
  <si>
    <t>0046-8991</t>
  </si>
  <si>
    <t>0973-7715</t>
  </si>
  <si>
    <t>INDIAN J MICROBIOL</t>
  </si>
  <si>
    <t>Indian J. Microbiol.</t>
  </si>
  <si>
    <t>10.1007/s12088-023-01110-8</t>
  </si>
  <si>
    <t>AD1X1</t>
  </si>
  <si>
    <t>WOS:001094980900001</t>
  </si>
  <si>
    <t>Schwoerbel, J; Visch, W; Wright, JT; Bellgrove, A; Sanderson, JC; Hurd, CL</t>
  </si>
  <si>
    <t>Schwoerbel, Jakop; Visch, Wouter; Wright, Jeffrey T.; Bellgrove, Alecia; Sanderson, J. Craig; Hurd, Catriona L.</t>
  </si>
  <si>
    <t>Thermal performance curves identify seasonal and site-specific variation in the development of Ecklonia radiata (Phaeophyceae) gametophytes and sporophytes</t>
  </si>
  <si>
    <t>climate change; early life stage; kelp; modeling; thermal range; tolerance</t>
  </si>
  <si>
    <t>KELP GAMETOPHYTES; CLIMATE-CHANGE; MACROCYSTIS-PYRIFERA; NEUTRAL LIPIDS; TEMPERATURE; REPRODUCTION; LAMINARIALES; GROWTH; RESPONSES; ADAPTATION</t>
  </si>
  <si>
    <t>Rapid ocean warming is affecting kelp forests globally. While the sporophyte life stage has been well studied for many species, the microscopic life stages of laminarian kelps have been understudied, particularly regarding spatial and temporal variations in thermal tolerance and their interaction. We investi-gated the thermal tolerance of growth, survival, development, and fertilization of Ecklonia radiata gametophytes, derived from zoospores sampled from two sites in Tasmania, Australia, throughout a year, over a temperature gradient (3-30 degrees C). For growth we found a relatively stable thermal optimum at-20.5 degrees C and stable thermal maxima (25.3-27.7 degrees C). The magnitude of growth was highly variable and depended on season and site, with no consistent spatial pattern for growth and gametophyte size. Survival also had a relatively stable thermal optimum of -17 degrees C, 3 degrees C below the optimum for growth. Gametophytes grew to single cells between 5 and 25 degrees C, but sporophytes were only observed between 10 and 20 degrees C, indicating reproductive failure outside this range. The results reveal complex effects of source population and season of collection on gametophyte performance in E. radiata , with implications when comparing results from material collected at different localities and times. In Tasmania, gametophytes grow considerably below the estimated thermal maxima and thermal optima that are currently only reached during summer heatwaves, whereas optima for survival (-17 degrees C) are frequently reached and surpassed during heatwaves, which may affect the persistence and recruitment of E. ra-diata in a warmer climate.</t>
  </si>
  <si>
    <t>[Schwoerbel, Jakop; Visch, Wouter; Wright, Jeffrey T.; Hurd, Catriona L.] Inst Marine &amp; Antarctic Studies, 20 Castray Esplanade, Battery Point, Tas 7004, Australia; [Bellgrove, Alecia] Deakin Univ, Ctr Marine Sci, Sch Life &amp; Environm Sci, Warrnambool, Vic, Australia; [Sanderson, J. Craig] Tassal Grp Ltd, Hobart, Tas, Australia</t>
  </si>
  <si>
    <t>Schwoerbel, J (corresponding author), Inst Marine &amp; Antarctic Studies, 20 Castray Esplanade, Battery Point, Tas 7004, Australia.</t>
  </si>
  <si>
    <t>jakop.schwoerbel@utas.edu.au</t>
  </si>
  <si>
    <t>Wright, Jeffrey/J-7536-2014; Bellgrove, Alecia/K-2601-2014</t>
  </si>
  <si>
    <t>Wright, Jeffrey/0000-0002-1085-4582; Sanderson, John CRAIG/0000-0003-0456-7170; Schwoerbel, Jakop/0000-0002-9354-7608; Bellgrove, Alecia/0000-0002-0499-3439; Visch, Wouter/0000-0003-4291-6239</t>
  </si>
  <si>
    <t>All Ecklonia radiata from the field were obtained under a permit of the Tasmanian government (Section 12 Living Marine Resources Management Act 1995; permit number: 21168). The authors would like to thank Robert Kilpatrick, Allyson Nardell [21168]; Antarctic Studies (IMAS), Hobart, Tasmania, Australia; Wiley - University of Tasmania agreement via the Council of Australian University Librarians</t>
  </si>
  <si>
    <t>All Ecklonia radiata from the field were obtained under a permit of the Tasmanian government (Section 12 Living Marine Resources Management Act 1995; permit number: 21168). The authors would like to thank Robert Kilpatrick, Allyson Nardell; Antarctic Studies (IMAS), Hobart, Tasmania, Australia; Wiley - University of Tasmania agreement via the Council of Australian University Librarians</t>
  </si>
  <si>
    <t>All Ecklonia radiata from the field were obtained under a permit of the Tasmanian government (Section 12 Living Marine Resources Management Act 1995; permit number: 21168). The authors would like to thank Robert Kilpatrick, Allyson Nardelli, and Glenn Farrington for their help with the field collections. We would also like to thank the project partners at Tassal, Spring Bay Seafoods, and Sea Forest for their support. Thanks to Dr. Pam Quayle and Dr. Axel Durant for their help in the laboratory. All experiments were conducted at the Institute for Marine and Antarctic Studies (IMAS), Hobart, Tasmania, Australia. Open access publishing facilitated by University of Tasmania, as part of the Wiley - University of Tasmania agreement via the Council of Australian University Librarians.</t>
  </si>
  <si>
    <t>10.1111/jpy.13406</t>
  </si>
  <si>
    <t>WOS:001091348100001</t>
  </si>
  <si>
    <t>Orihuela-Pinto, B; Santoso, A; England, MH; Taschetto, AS</t>
  </si>
  <si>
    <t>Orihuela-Pinto, Bryam; Santoso, Agus; England, Matthew H.; Taschetto, Andrea S.</t>
  </si>
  <si>
    <t>Coupled Feedbacks From the Tropical Pacific to the Atlantic Meridional Overturning Circulation</t>
  </si>
  <si>
    <t>Atlantic meridional overturning circulation (AMOC); tropical Pacific; Pacific-North Atlantic teleconnection; tropical-extratropical teleconnection; interbasin interactions; multidecadal timescale</t>
  </si>
  <si>
    <t>OCEAN; IMPACT; AMOC</t>
  </si>
  <si>
    <t>The tropical Pacific Ocean is a key regulator of Earth's climate, with teleconnections that influence remote locations all around the world. Here we use partially coupled climate model experiments to show that tropical Pacific cooling related to an abrupt Atlantic Meridional Overturning Circulation (AMOC) slowdown can strengthen the AMOC by similar to 25%. This tropical-extratropical teleconnection occurs initially via atmospheric Rossby waves propagating from the tropical Pacific to the North Atlantic which alter surface climate conditions locally. These changes facilitate ocean heat loss from the subpolar gyre, favoring enhanced oceanic convection. The AMOC strengthening is subsequently enhanced by anomalous northward salt advection in the Atlantic, with a potential contribution from oceanic wave adjustment triggered by increased Southern Ocean westerly winds. These results highlight the influence of the tropical Pacific on the AMOC on multidecadal timescales and suggest that cold phases of tropical Pacific decadal variability could drive temporary strengthening of the AMOC.Plain Language Summary Changes in the tropical Pacific sea surface temperature can exert significant remote weather and climate impacts via physical mechanisms known as teleconnections. In this study, we report unexplored teleconnections to the Atlantic basin which act in a timescale of decades. In particular we found that a mean cooling in the tropical Pacific could act to accelerate a large-scale ocean circulation in the Atlantic basin known as the Atlantic Meridional Overturning Circulation (AMOC). This occurs via atmospheric and oceanic waves which propagate to the North Atlantic and alter local conditions, favoring the acceleration of the AMOC.</t>
  </si>
  <si>
    <t>[Orihuela-Pinto, Bryam; Santoso, Agus; England, Matthew H.; Taschetto, Andrea S.] Univ New South Wales, Climate Change Res Ctr, Sydney, NSW, Australia; [Orihuela-Pinto, Bryam; Santoso, Agus; Taschetto, Andrea S.] Univ New South Wales, Australian Res Council, Ctr Excellence Climate Extremes, Sydney, NSW, Australia; [England, Matthew H.] Univ New South Wales, Australian Ctr Excellence Antarctic Sci, Sydney, NSW, Australia</t>
  </si>
  <si>
    <t>University of New South Wales Sydney; University of New South Wales Sydney; University of New South Wales Sydney</t>
  </si>
  <si>
    <t>Orihuela-Pinto, B (corresponding author), Univ New South Wales, Climate Change Res Ctr, Sydney, NSW, Australia.;Orihuela-Pinto, B (corresponding author), Univ New South Wales, Australian Res Council, Ctr Excellence Climate Extremes, Sydney, NSW, Australia.</t>
  </si>
  <si>
    <t>bryamorihuela@gmail.com</t>
  </si>
  <si>
    <t>England, Matthew/A-7539-2011; Santoso, Agus/J-7350-2012</t>
  </si>
  <si>
    <t>England, Matthew/0000-0001-9696-2930; Santoso, Agus/0000-0001-7749-8124</t>
  </si>
  <si>
    <t>Australian Research Council (ARC); Earth Science and Climate Change Hub of the Australian Government's National Environmental Science Program (NESP); Centre for Southern Hemisphere Oceans Research (CSHOR); Australian National Computational Infrastructure (NCI)</t>
  </si>
  <si>
    <t>Australian Research Council (ARC)(Australian Research Council); Earth Science and Climate Change Hub of the Australian Government's National Environmental Science Program (NESP); Centre for Southern Hemisphere Oceans Research (CSHOR); Australian National Computational Infrastructure (NCI)(United States Department of Health &amp; Human ServicesNational Institutes of Health (NIH) - USA)</t>
  </si>
  <si>
    <t>This study was supported by the Australian Research Council (ARC Grants CE170100023 and FT160100495).A.S. and A.S.T. are supported by the Earth Science and Climate Change Hub of the Australian Government's National Environmental Science Program (NESP). M.H.E. and A.S. were also supported by the Centre for Southern Hemisphere Oceans Research (CSHOR). We thank the computational resources provided by the Australian National Computational Infrastructure (NCI).</t>
  </si>
  <si>
    <t>e2023GL103250</t>
  </si>
  <si>
    <t>10.1029/2023GL103250</t>
  </si>
  <si>
    <t>W1HU7</t>
  </si>
  <si>
    <t>WOS:001089215300001</t>
  </si>
  <si>
    <t>Gorte, T; Lovenduski, NS; Nisssen, C; Lenaerts, JTM</t>
  </si>
  <si>
    <t>Gorte, Tessa; Lovenduski, Nicole S.; Nisssen, Cara; Lenaerts, Jan T. M.</t>
  </si>
  <si>
    <t>Antarctic Ice Sheet Freshwater Discharge Drives Substantial Southern Ocean Changes Over the 21st Century</t>
  </si>
  <si>
    <t>Antarctica; freshwater; sea ice; convection; temperature; climate model</t>
  </si>
  <si>
    <t>SEA-LEVEL RISE; BOTTOM WATER; CLIMATE; FUTURE; MELT; SHELVES; FLUXES</t>
  </si>
  <si>
    <t>Multidecadal satellite observations indicate that the Antarctic Ice Sheet (AIS) is losing mass at an accelerating rate, which has the potential to impact many aspects of the climate system. While previous studies demonstrated the importance of AIS freshwater (FW) discharge for regional and global climate processes using climate model experiments, many have applied unrealistic FW forcings. Here, we explore potential Southern Ocean (SO) impacts of realistic AIS mass loss over the 21st century in the Community Earth System Model version 2 by applying observation-based historical and ice sheet model-based future AIS FW forcing. The added FW reduces wintertime deep convective area by 72% while retaining 83% more sea ice. Congruent with other studies, we find the increased FW discharge extensively impacts local and remote SO surface and subsurface temperature and stratification. These results demonstrate the necessity of accounting for AIS mass loss in global climate models for projecting future climate. We know from several decades of satellite observations that the Antarctic Ice Sheet is losing mass at an accelerating rate. This accelerated mass loss (solid and liquid FW) is often poorly represented-if at all-in global climate models (GCM) and previous studies indicate that even a simple representation of mass loss can have profound climate impacts. Here, we apply a more realistic (in space and time) representation of Antarctic mass loss to a GCM. We find that the added FW leads to more retention of Antarctic sea ice, a decline in wintertime convection of surface waters to the interior ocean, a cooler surface but warmer interior ocean, and a more strongly stratified upper ocean. As such, we argue that properly accounting for Antarctic mass loss in GCMs is imperative for accurately projecting long-term future climate change. We explore impacts of realistic Antarctic Ice Sheet (AIS) freshwater discharge on the Southern Ocean (SO) using a state-of-the-art climate modelAIS discharge drives drastic changes in SO stratification, winter deep convection, surface and interior temperature, and sea iceOur results suggest that regional AIS discharge can have far-reaching impacts on the SO that can feedback on the climate system</t>
  </si>
  <si>
    <t>[Gorte, Tessa; Lovenduski, Nicole S.; Nisssen, Cara; Lenaerts, Jan T. M.] Univ Colorado Boulder, Dept Atmospher &amp; Ocean Sci, Boulder, CO 80309 USA; [Gorte, Tessa; Lovenduski, Nicole S.; Nisssen, Cara] Univ Colorado Boulder, Inst Arctic &amp; Alpine Res, Boulder, CO 80309 USA</t>
  </si>
  <si>
    <t>Gorte, T (corresponding author), Univ Colorado Boulder, Dept Atmospher &amp; Ocean Sci, Boulder, CO 80309 USA.;Gorte, T (corresponding author), Univ Colorado Boulder, Inst Arctic &amp; Alpine Res, Boulder, CO 80309 USA.</t>
  </si>
  <si>
    <t>tessa.gorte@colorado.edu</t>
  </si>
  <si>
    <t>Nissen, Cara/HTQ-9512-2023; Lenaerts, Jan/D-9423-2012; Lovenduski, Nicole/A-6226-2011</t>
  </si>
  <si>
    <t>Nissen, Cara/0000-0001-5804-3191; Lenaerts, Jan/0000-0003-4309-4011; Lovenduski, Nicole/0000-0001-5893-1009; Gorte, Tessa/0000-0003-4875-260X</t>
  </si>
  <si>
    <t>We would like to thank Dr. Leo van Kampenhout for his work in the setup of these experiments. This work was performed at the University of Colorado Boulder and Institute of Arctic and Alpine Research. TG and JTML were supported by NASAapos;s Sea Level Cha [80NSSC20K1123]; NASAapos;s Sea Level Change Team [DE-SC0022243]; U.S. Department of Energy [1752724]; National Science Foundationapos;s Division of Ocean Sciences; U.S. Department of Energy (DOE) [DE-SC0022243] Funding Source: U.S. Department of Energy (DOE)</t>
  </si>
  <si>
    <t>We would like to thank Dr. Leo van Kampenhout for his work in the setup of these experiments. This work was performed at the University of Colorado Boulder and Institute of Arctic and Alpine Research. TG and JTML were supported by NASAapos;s Sea Level Cha; NASAapos;s Sea Level Change Team; U.S. Department of Energy(United States Department of Energy (DOE)); National Science Foundationapos;s Division of Ocean Sciences; U.S. Department of Energy (DOE)(United States Department of Energy (DOE))</t>
  </si>
  <si>
    <t>We would like to thank Dr. Leo van Kampenhout for his work in the setup of these experiments. This work was performed at the University of Colorado Boulder and Institute of Arctic and Alpine Research. TG and JTML were supported by NASA's Sea Level Change Team (award #80NSSC20K1123) and NSL and CN are grateful for funding from the U.S. Department of Energy (DE-SC0022243). NSL's contributions were additionally funded by the National Science Foundation's Division of Ocean Sciences (#1752724).</t>
  </si>
  <si>
    <t>e2023GL104949</t>
  </si>
  <si>
    <t>10.1029/2023GL104949</t>
  </si>
  <si>
    <t>U8EN8</t>
  </si>
  <si>
    <t>WOS:001087080500001</t>
  </si>
  <si>
    <t>Willatt, R; Stroeve, JC; Nandan, V; Newman, T; Mallett, R; Hendricks, S; Ricker, R; Mead, J; Itkin, P; Tonboe, R; Wagner, DN; Spreen, G; Liston, G; Schneebeli, M; Krampe, D; Tsamados, M; Demir, O; Wilkinson, J; Jaggi, M; Zhou, L; Huntemann, M; Raphael, IA; Jutila, A; Oggier, M</t>
  </si>
  <si>
    <t>Willatt, Rosemary; Stroeve, Julienne C.; Nandan, Vishnu; Newman, Thomas; Mallett, Robbie; Hendricks, Stefan; Ricker, Robert; Mead, James; Itkin, Polona; Tonboe, Rasmus; Wagner, David N.; Spreen, Gunnar; Liston, Glen; Schneebeli, Martin; Krampe, Daniela; Tsamados, Michel; Demir, Oguz; Wilkinson, Jeremy; Jaggi, Matthias; Zhou, Lu; Huntemann, Marcus; Raphael, Ian A.; Jutila, Arttu; Oggier, Marc</t>
  </si>
  <si>
    <t>Retrieval of Snow Depth on Arctic Sea Ice From Surface-Based, Polarimetric, Dual-Frequency Radar Altimetry</t>
  </si>
  <si>
    <t>sea ice; snow; radar; altimetry; polarimetric; climate</t>
  </si>
  <si>
    <t>KU; CRYOSAT-2; THICKNESS; VARIABILITY; FREEBOARD; ACCUMULATION</t>
  </si>
  <si>
    <t>Snow depth on sea ice is an Essential Climate Variable and a major source of uncertainty in satellite altimetry-derived sea ice thickness. During winter of the MOSAiC Expedition, the KuKa dual-frequency, fully polarized Ku- and Ka-band radar was deployed in stare nadir-looking mode to investigate the possibility of combining these two frequencies to retrieve snow depth. Three approaches were investigated: dual-frequency, dual-polarization and waveform shape, and compared to independent snow depth measurements. Novel dual-polarization approaches yielded r2 values up to 0.77. Mean snow depths agreed within 1 cm, even for data sub-banded to CryoSat-2 SIRAL and SARAL AltiKa bandwidths. Snow depths from co-polarized dual-frequency approaches were at least a factor of four too small and had a r2 0.15 or lower. r2 for waveform shape techniques reached 0.72 but depths were underestimated. Snow depth retrievals using polarimetric information or waveform shape may therefore be possible from airborne/satellite radar altimeters. Data collected using a surface-based radar instrument on sea ice during the MOSAiC Arctic expedition were used to develop new techniques to estimate the depth of the overlying snow. We used different polarizations of the radiation to detect the depths of the upper and lower snow surfaces, and subtracted them to give snow depth. These depths agreed well with an independently collected snow depth data set. Estimates of snow depth using two different radar frequencies were less accurate, whilst using information of the shape of the returning pulse of radiation also showed a relationship with the independent snow depths, though not as strong as the polarization method. These results indicate that polarimetry (using a new satellite mission) and/or waveform shape (using existing missions) could be used to estimate snow depth on sea ice from airborne or satellite platforms. Novel polarization-based snow depth estimation techniques were developed using surface-based Ku- and Ka-band polarimetric radar altimeter dataThe dominant scattering surface was the air/snow and snow/ice interface in co- and cross-polarized data, respectively, at both frequenciesRadar-derived snow depths agreed with independent measurements, with r2 up to 0.77 and accuracy of 1 cm for best-performing techniques</t>
  </si>
  <si>
    <t>[Willatt, Rosemary; Stroeve, Julienne C.; Newman, Thomas; Mallett, Robbie; Tsamados, Michel] UCL, Ctr Polar Observat &amp; Modelling, Earth Sci, London WC1E 6BT, England; [Stroeve, Julienne C.] Univ Colorado, Natl Snow &amp; Ice Data Ctr, Boulder, CO USA; [Stroeve, Julienne C.; Nandan, Vishnu; Mallett, Robbie] Univ Manitoba, Ctr Earth Observat Sci, Winnipeg, MB, Canada; [Nandan, Vishnu] Univ Calgary, Cryosphere Climate Res Grp, Calgary, AB, Canada; [Hendricks, Stefan] Alfred Wegener Inst, Helmholtz Ctr Polar &amp; Marine Res, Bremerhaven, Germany; [Ricker, Robert] NORCE Norwegian Res Ctr, Tromso, Norway; [Mead, James] ProSensing, Amherst, MA USA; [Itkin, Polona] UiT Arctic Univ Norway, Dept Phys &amp; Technol, Tromso, Norway; [Tonboe, Rasmus] Tech Univ Denmark, Lyngby, Denmark; [Wagner, David N.; Schneebeli, Martin; Jaggi, Matthias] WSL Inst Snow &amp; Avalanche Res SLF, Davos, Switzerland; [Wagner, David N.] Ecole Polytech Fed Lausanne, Sch Architecture Civil &amp; Environm Engn, CRYOS, Lausanne, Switzerland; [Spreen, Gunnar; Huntemann, Marcus] Univ Bremen, Inst Environm Phys, Bremen, Germany; [Liston, Glen] Colorado State Univ, Cooperat Inst Res Atmosphere, Ft Collins, CO USA; [Demir, Oguz] Ohio State Univ, ElectroSci Lab, Columbus, OH USA; [Wilkinson, Jeremy] British Antarctic Survey, Cambridge, England; [Zhou, Lu] Univ Gothenburg, Dept Earth Sci, Gothenburg, Sweden; [Raphael, Ian A.] Dartmouth Coll, Thayer Sch, Hanover, NH USA; [Jutila, Arttu] Finnish Meteorol Inst, Helsinki, Finland; [Oggier, Marc] Univ Alaska Fairbanks, Int Arctic Res Ctr, Fairbanks, AK USA</t>
  </si>
  <si>
    <t>University of London; University College London; University of Colorado System; University of Colorado Boulder; University of Manitoba; University of Calgary; Helmholtz Association; Alfred Wegener Institute, Helmholtz Centre for Polar &amp; Marine Research; Norwegian Research Centre (NORCE); UiT The Arctic University of Tromso; Technical University of Denmark; Swiss Federal Institutes of Technology Domain; Swiss Federal Institute for Forest, Snow &amp; Landscape Research; Swiss Federal Institutes of Technology Domain; Ecole Polytechnique Federale de Lausanne; University of Bremen; Colorado State University; University System of Ohio; Ohio State University; UK Research &amp; Innovation (UKRI); Natural Environment Research Council (NERC); NERC British Antarctic Survey; University of Gothenburg; Dartmouth College; Finnish Meteorological Institute; University of Alaska System; University of Alaska Fairbanks</t>
  </si>
  <si>
    <t>Willatt, R (corresponding author), UCL, Ctr Polar Observat &amp; Modelling, Earth Sci, London WC1E 6BT, England.</t>
  </si>
  <si>
    <t>r.willatt@ucl.ac.uk</t>
  </si>
  <si>
    <t>Ricker, Robert/Z-4214-2019; Zhou, Lu/KAM-1449-2024; Spreen, Gunnar/A-4533-2010; yang, liu/JXX-5043-2024; Nandan, Vishnu/IUP-4703-2023; Hendricks, Stefan/D-5168-2011</t>
  </si>
  <si>
    <t>Ricker, Robert/0000-0001-6928-7757; Spreen, Gunnar/0000-0003-0165-8448; Nandan, Vishnu/0000-0001-9643-6658; Hendricks, Stefan/0000-0002-1412-3146; Willatt, Rosemary/0000-0003-2512-562X; Tonboe, Rasmus Tage/0000-0003-1463-4832; Mallett, Robbie/0000-0002-1069-6529; Zhou, Lu/0000-0001-8520-937X; Stroeve, Julienne/0000-0001-7316-8320; Newman, Thomas/0009-0005-0440-8366</t>
  </si>
  <si>
    <t>RW, JS, JW and MT were funded from NERC Grant NE/S002510/1. RW, JS, and GS also received funding from the European Union's Horizon 2020 research and innovation programme via project CRiceS (Grant 101003826). JS and VN are additionally funded under the Cana [NE/T000546/1, NE/X004643/1]; NERC [730965]; European Union [PO 5001027396]; European Space Agency; Canada's Marine Environmental Observation, Prediction and Response Network (MEOPAR) postdoctoral funds [NE/L002485/1]; London NERC Doctoral Training Partnership Grant; Canada 150 Chair program [DIRCR-2018-003]; Swiss Polar Institute [1820927]; National Science Fundation (NSF) [287871]; Research Council of Norway [420499875]; Deutsche Forschungsgemeinschaft (DFG) through the MOSAiCmicrowaveRS project [SNSF-200020_179130]; Swiss National Science Foundation [03F0866A, ESA/AO/1-9132/17/NL/MP, ESA/AO/1-10061/19/I-EF]; German Ministry for Education and Research (BMBF) [OPP-1724540, NSF OPP-1724424, (MOSAiC) MOSAiC20192020, AWI_PS122_00]; NSF</t>
  </si>
  <si>
    <t>RW, JS, JW and MT were funded from NERC Grant NE/S002510/1. RW, JS, and GS also received funding from the European Union's Horizon 2020 research and innovation programme via project CRiceS (Grant 101003826). JS and VN are additionally funded under the Cana; NERC(UK Research &amp; Innovation (UKRI)Natural Environment Research Council (NERC)); European Union(European Union (EU)); European Space Agency(European Space Agency); Canada's Marine Environmental Observation, Prediction and Response Network (MEOPAR) postdoctoral funds; London NERC Doctoral Training Partnership Grant; Canada 150 Chair program; Swiss Polar Institute; National Science Fundation (NSF)(National Science Foundation (NSF)); Research Council of Norway(Research Council of Norway); Deutsche Forschungsgemeinschaft (DFG) through the MOSAiCmicrowaveRS project(German Research Foundation (DFG)); Swiss National Science Foundation(Swiss National Science Foundation (SNSF)); German Ministry for Education and Research (BMBF)(Federal Ministry of Education &amp; Research (BMBF)); NSF(National Science Foundation (NSF))</t>
  </si>
  <si>
    <t>RW, JS, JW and MT were funded from NERC Grant NE/S002510/1. RW, JS, and GS also received funding from the European Union's Horizon 2020 research and innovation programme via project CRiceS (Grant 101003826). JS and VN are additionally funded under the Canada C150 Chair program (Grant G00321321) and the European Space Agency (Grant PO 5001027396). VN was also supported by Canada's Marine Environmental Observation, Prediction and Response Network (MEOPAR) postdoctoral funds. RM acknowledges funding from the London NERC Doctoral Training Partnership Grant (NE/L002485/1) and the Canada 150 Chair program via JS. MS and MJ were supported by Swiss Polar Institute (SPI reference DIRCR-2018-003) and European Union's Horizon 2020 research and innovation program projects ARICE (Grant 730965) for berth fees associated with the participation of the DEARice project. PI and GL were funded by National Science Fundation (NSF) Grant 1820927 (MiSNOW). PI was also supported by Research Council of Norway Grant 287871 (SIDRiFT). MH and GS were supported by the Deutsche Forschungsgemeinschaft (DFG) through the MOSAiCmicrowaveRS project (Grant 420499875). DNW was supported by the Swiss National Science Foundation (Grant SNSF-200020_179130) and the Swiss Polar Institute (SPI reference DIRCR-2018-003). The work of AJ was supported by the German Ministry for Education and Research (BMBF) project IceSense (Grant 03F0866A). MT acknowledges support from ESA (ESA/AO/1-9132/17/NL/MP and ESA/AO/1-10061/19/I-EF) and NERC (NE/T000546/1 and NE/X004643/1). IAR was supported by NSF OPP-1724540 and NSF OPP-1724424. Data used in this manuscript was produced as part of the international Multidisciplinary drifting Observatory for the Study of the Arctic Climate (MOSAiC) MOSAiC20192020, Project_ID AWI_PS122_00. We thank all those who contributed to MOSAiC and made this endeavor possible (Nixdorf et al., 2021).</t>
  </si>
  <si>
    <t>e2023GL104461</t>
  </si>
  <si>
    <t>10.1029/2023GL104461</t>
  </si>
  <si>
    <t>U8YE7</t>
  </si>
  <si>
    <t>Green Accepted, Green Published, hybrid</t>
  </si>
  <si>
    <t>WOS:001087593200001</t>
  </si>
  <si>
    <t>Buchovecky, B; Macgilchrist, GA; Bushuk, M; Haumann, FA; Frölicher, TL; Le Grix, N; Dunne, J</t>
  </si>
  <si>
    <t>Buchovecky, Benjamin; Macgilchrist, Graeme A.; Bushuk, Mitchell; Haumann, F. Alexander; Froelicher, Thomas L.; Le Grix, Natacha; Dunne, John</t>
  </si>
  <si>
    <t>Potential Predictability of the Spring Bloom in the Southern Ocean Sea Ice Zone</t>
  </si>
  <si>
    <t>PHYTOPLANKTON BLOOMS; PART I; FORMULATION; MODEL; VARIABILITY; MECHANISMS; DRIVERS</t>
  </si>
  <si>
    <t>Every austral spring when Antarctic sea ice melts, favorable growing conditions lead to an intense phytoplankton bloom, which supports much of the local marine ecosystem. Recent studies have found that Antarctic sea ice is predictable several years in advance, suggesting that the spring bloom might exhibit similar predictability. Using a suite of perfect model predictability experiments, we find that November net primary production (NPP) is potentially predictable 7 to 10 years in advance in many Southern Ocean regions. Sea ice extent predictability peaks in late winter, followed by absorbed shortwave radiation and NPP with a 2 to 3 months lag. This seasonal progression of predictability supports our hypothesis that sea ice and light limitation control the inherent predictability of the spring bloom. Our results suggest skillful interannual predictions of NPP may be achievable, with implications for managing fisheries and the marine ecosystem, and guiding conservation policy in the Southern Ocean. Plain Language Summary In very much the same way as we do for the weather, we can make forecasts of many aspects of the earth system. For example, rather than trying to predict how much rain will fall next Tuesday, we can explore how much algal growth might take place in the oceans around Antarctica in several months time. Such predictions could be extremely useful for managing the fragile ecosystems of these regions, for example, informing fishing quotas in an upcoming season. However, just like for weather forecasts, there are upper limits for how far into the future we can expect to accurately make such predictions. It's this upper limit that we try to understand in this theoretical modeling study. We find that the upper limit is actually rather long (as much as 10 years!), and show that this is because of the close relationship between algal growth and sea ice (ice formed at the ocean surface) in this cold polar region. In turn, the extent of the sea ice can be predicted a long time in advance because there is a lot memory in this component of the earth system.</t>
  </si>
  <si>
    <t>[Buchovecky, Benjamin] Princeton Univ, Dept Geosci, Princeton, NJ USA; [Macgilchrist, Graeme A.; Haumann, F. Alexander] Princeton Univ, Program Atmospher &amp; Ocean Sci, Princeton, NJ 08540 USA; [Macgilchrist, Graeme A.] Univ St Andrews, Sch Earth &amp; Environm Sci, St Andrews, Scotland; [Bushuk, Mitchell; Dunne, John] NOAA, OAR, Geophys Fluid Dynam Lab, Princeton, NJ USA; [Haumann, F. Alexander] Helmholtz Ctr Polar &amp; Marine Res, Alfred Wegener Inst, Bremerhaven, Germany; [Haumann, F. Alexander] Ludwig Maximilian Univ Munich, Munich, Germany; [Froelicher, Thomas L.; Le Grix, Natacha] Univ Bern, Phys Inst, Climate &amp; Environm Phys, Bern, Switzerland; [Froelicher, Thomas L.; Le Grix, Natacha] Univ Bern, Oeschger Ctr Climate Change Res, Bern, Switzerland</t>
  </si>
  <si>
    <t>Princeton University; National Oceanic Atmospheric Admin (NOAA) - USA; Princeton University; University of St Andrews; National Oceanic Atmospheric Admin (NOAA) - USA; Helmholtz Association; Alfred Wegener Institute, Helmholtz Centre for Polar &amp; Marine Research; University of Munich; University of Bern; University of Bern</t>
  </si>
  <si>
    <t>Macgilchrist, GA (corresponding author), Princeton Univ, Program Atmospher &amp; Ocean Sci, Princeton, NJ 08540 USA.;Macgilchrist, GA (corresponding author), Univ St Andrews, Sch Earth &amp; Environm Sci, St Andrews, Scotland.</t>
  </si>
  <si>
    <t>graeme.macgilchrist@gmail.com</t>
  </si>
  <si>
    <t>Froelicher, Thomas/AAG-9598-2019; Haumann, Alexander/J-6679-2014; Bushuk, Mitch/L-7032-2015; Dunne, John/F-8086-2012</t>
  </si>
  <si>
    <t>Froelicher, Thomas/0000-0003-2348-7854; Haumann, Alexander/0000-0002-8218-977X; MacGilchrist, Graeme/0000-0003-1409-8937; Buchovecky, Benjamin/0009-0006-3022-4488; Le Grix, Natacha/0000-0001-9938-5841; Bushuk, Mitch/0000-0002-0063-1465; Dunne, John/0000-0002-8794-0489</t>
  </si>
  <si>
    <t>High Meadows Environmental Institute at Princeton University [PLR-1425989]; NSF's Southern Ocean Carbon and Climate Observations and Modeling (SOCCOM) Project under the NSF [80NSSC19K1115]; NASA [101041743, MR/W013835/1]; European Union (ERC) [P00P2_198897]; Swiss National Science Foundation; Swiss National Supercomputing Centre [820989, 862923]; European Union</t>
  </si>
  <si>
    <t>High Meadows Environmental Institute at Princeton University; NSF's Southern Ocean Carbon and Climate Observations and Modeling (SOCCOM) Project under the NSF; NASA(National Aeronautics &amp; Space Administration (NASA)); European Union (ERC)(European Union (EU)European Research Council (ERC)); Swiss National Science Foundation(Swiss National Science Foundation (SNSF)); Swiss National Supercomputing Centre; European Union(European Union (EU))</t>
  </si>
  <si>
    <t>This work was supported by the High Meadows Environmental Institute at Princeton University and the NSF's Southern Ocean Carbon and Climate Observations and Modeling (SOCCOM) Project under the NSF Award PLR-1425989. F.A.H. was supported by NASA Grant 80NSSC19K1115 and by the European Union (ERC, VERTEXSO, 101041743). G.A.M was supported under SOCCOM and UKRI Grant MR/W013835/1. T.L.F was supported by Swiss National Science Foundation (Grant P00P2_198897) and the Swiss National Supercomputing Centre. N.L was supported by the European Union's Horizon 2020 research and innovation program under Grant 820989 (project COMFORT) and no. 862923 (project AtlantECO) as well as the Bretscher Funds. We are grateful to Yushi Morioka, Jessica Luo, and two anonymous reviewers for insightful comments on the manuscript, and Keith Rodgers for help in setting up the model experiments.</t>
  </si>
  <si>
    <t>e2023GL105139</t>
  </si>
  <si>
    <t>10.1029/2023GL105139</t>
  </si>
  <si>
    <t>U6XJ0</t>
  </si>
  <si>
    <t>Green Submitted, hybrid, Green Published</t>
  </si>
  <si>
    <t>WOS:001086212300001</t>
  </si>
  <si>
    <t>Torres, R; Waldman, R; Mak, J; Séférian, R</t>
  </si>
  <si>
    <t>Torres, Romain; Waldman, Robin; Mak, Julian; Seferian, Roland</t>
  </si>
  <si>
    <t>Global Estimation of the Eddy Kinetic Energy Dissipation From a Diagnostic Energy Balance</t>
  </si>
  <si>
    <t>mesoscale eddies; eddy kinetic energy; eddy dissipation; ocean energetics; eddy energy balance</t>
  </si>
  <si>
    <t>OCEAN CIRCULATION; PARAMETERIZATION; INSTABILITY; SATURATION; WIND</t>
  </si>
  <si>
    <t>Mesoscale eddies dominate the ocean kinetic energy reservoir. However, how and where this energy flows out from the mesoscale remains uncertain. Here, a simplified mesoscale energy budget is used where sources due to baroclinic instability are balanced by all the dissipative processes approximated as a linear damping rate. In this simple model, the eddy kinetic energy (EKE) dissipation is computed from a climatological mean field of density and satellite altimeter data, and is proportional to an eddy efficiency parameter alpha. Assuming an eddy efficiency of alpha = 0.1, we find a global EKE dissipation rate of 0.66 +/- 0.19 TW. The results show an intense dissipation near western boundary currents and in the Antarctic Circumpolar Current, where both large levels of energy and baroclinic conversion occur. The resulting geographical distribution of the dissipation rate brings new insights for closing the ocean kinetic energy budget, as well as constraining future mesoscale parameterizations and associated mixing processes. The ocean is home to abundant and large swirls from tens to hundreds of kilometers, called mesoscale eddies. These eddies contain more momentum than most ocean currents and can thus impact the climate evolution. There are now good reasons to believe the effect of mesoscale eddies is directly related to their strength, and so to their kinetic energy. However, how the energy is removed from these eddies is still unclear mostly due to instrumental and theoretical limitations. In this work, a simplification of the eddy energetic behavior is used to indirectly estimate the dissipation from observations of temperature, salinity and surface currents. Our results confirm intensified dissipation near strong ocean currents and hence constitute a new attempt for the global reconstruction of the eddy kinetic energy dissipation in the world ocean. The work presented here is consistent and complementary to other studies and can help us to understand the ocean energy cycle. Global mesoscale eddy kinetic energy dissipation rate estimated to 0.66 +/- 0.19 TW from observation-based and statistically analyzed data setsMore than 25% of the total dissipation occurs in the western boundary currents and 38% is found in the Antarctic Circumpolar CurrentEstimation of the eddy dissipation timescale from observations to inform future parameterization developments</t>
  </si>
  <si>
    <t>[Torres, Romain; Waldman, Robin; Seferian, Roland] Univ Toulouse, CNRM, Meteo France, CNRS, Toulouse, France; [Mak, Julian] Hong Kong Univ Sci &amp; Technol, Dept Ocean Sci, Kowloon, Hong Kong, Peoples R China; [Mak, Julian] Hong Kong Univ Sci &amp; Technol, Ctr Ocean Res Hong Kong &amp; Macau, Kowloon, Hong Kong, Peoples R China; [Mak, Julian] Natl Oceanog Ctr, Southampton, England</t>
  </si>
  <si>
    <t>Meteo France; Universite de Toulouse; Centre National de la Recherche Scientifique (CNRS); Hong Kong University of Science &amp; Technology; Hong Kong University of Science &amp; Technology; NERC National Oceanography Centre</t>
  </si>
  <si>
    <t>Torres, R (corresponding author), Univ Toulouse, CNRM, Meteo France, CNRS, Toulouse, France.</t>
  </si>
  <si>
    <t>romain.torres@meteo.fr</t>
  </si>
  <si>
    <t>, Romain/0009-0002-7426-356X; Mak, Julian/0000-0001-5862-6469; Seferian, Roland/0000-0002-2571-2114</t>
  </si>
  <si>
    <t>European Union [101003536]; RGC Early Career Scheme [2630020]; Center for Ocean Research in Hong Kong and Macau; Qingdao National Laboratory for Marine Science and Technology; Hong Kong University of Science and Technology</t>
  </si>
  <si>
    <t>European Union(European Union (EU)); RGC Early Career Scheme; Center for Ocean Research in Hong Kong and Macau; Qingdao National Laboratory for Marine Science and Technology; Hong Kong University of Science and Technology</t>
  </si>
  <si>
    <t>This project has received support from the European Union's Horizon 2020 research and innovation programme under Grant Agreement No. 101003536 (ESM2025-Earth System Models for the Future). JM also acknowledges support from both the RGC Early Career Scheme 2630020 and the Center for Ocean Research in Hong Kong and Macau, a joint research center between the Qingdao National Laboratory for Marine Science and Technology and Hong Kong University of Science and Technology. The authors would like to thank Sjoerd Groeskamp for his review and useful comments, and Jean-Baptiste Sallee for the discussions about observational measurements that led to improvements in this final version of the article.</t>
  </si>
  <si>
    <t>e2023GL104688</t>
  </si>
  <si>
    <t>10.1029/2023GL104688</t>
  </si>
  <si>
    <t>U4AL2</t>
  </si>
  <si>
    <t>WOS:001084236100001</t>
  </si>
  <si>
    <t>Pelle, T; Greenbaum, JS; Dow, CF; Jenkins, A; Morlighem, M</t>
  </si>
  <si>
    <t>Pelle, Tyler; Greenbaum, Jamin S.; Dow, Christine F.; Jenkins, Adrian; Morlighem, Mathieu</t>
  </si>
  <si>
    <t>Subglacial discharge accelerates future retreat of Denman and Scott Glaciers, East Antarctica</t>
  </si>
  <si>
    <t>ICE SHELVES; GROUNDING LINE; SUBMARINE MELT; AMUNDSEN SEA; DRIVEN; OCEAN; FLOW; PARAMETERIZATION; HYDROLOGY; DRAINAGE</t>
  </si>
  <si>
    <t>Ice shelf basal melting is the primary mechanism driving mass loss from the Antarctic Ice Sheet, yet it is unknown how the localized melt enhancement from subglacial discharge will affect future Antarctic glacial retreat. We develop a parameterization of ice shelf basal melt that accounts for both ocean and subglacial discharge forcing and apply it in future projections of Denman and Scott Glaciers, East Antarctica, through 2300. In forward simulations, subglacial discharge accelerates the onset of retreat of these systems into the deepest continental trench on Earth by 25 years. During this retreat, Denman Glacier alone contributes 0.33 millimeters per year to global sea level rise, comparable to half of the contemporary sea level contribution of the entire Antarctic Ice Sheet. Our results stress the importance of resolving complex interactions between the ice, ocean, and subglacial environments in future Antarctic Ice Sheet projections.</t>
  </si>
  <si>
    <t>[Pelle, Tyler; Greenbaum, Jamin S.] Univ Calif San Diego, Scripps Inst Oceanog, La Jolla, CA 92093 USA; [Dow, Christine F.] Univ Waterloo, Dept Geog &amp; Environm Management, Waterloo, ON, Canada; [Jenkins, Adrian] Northumbria Univ, Dept Geog &amp; Environm Sci, Newcastle Upon Tyne NE1 8ST, England; [Morlighem, Mathieu] Dartmouth Coll, Dept Earth Sci, Hanover, NH USA</t>
  </si>
  <si>
    <t>University of California System; University of California San Diego; Scripps Institution of Oceanography; University of Waterloo; Northumbria University; Dartmouth College</t>
  </si>
  <si>
    <t>Pelle, T (corresponding author), Univ Calif San Diego, Scripps Inst Oceanog, La Jolla, CA 92093 USA.</t>
  </si>
  <si>
    <t>tpelle@ucsd.edu</t>
  </si>
  <si>
    <t>Morlighem, Mathieu/0000-0001-5219-1310; Greenbaum, Jamin Stevens/0000-0002-0745-7113; Jenkins, Adrian/0000-0002-9117-0616; Pelle, Tyler/0000-0002-9772-1730; Dow, Christine/0000-0003-1346-2258</t>
  </si>
  <si>
    <t>NASA [80NSSC22K0387]; NSF [OPP-2114454]; Cecil H. and Ida M. Green Foundation for Earth Sciences at the Institute of Geophysics and Planetary Physics at Scripps Institution of Oceanography; Natural Sciences and Engineering Research Council of Canada [RGPIN-03761-2017]; Canada Research Chairs Program [950-231237]; European Union [820575]</t>
  </si>
  <si>
    <t>NASA(National Aeronautics &amp; Space Administration (NASA)); NSF(National Science Foundation (NSF)); Cecil H. and Ida M. Green Foundation for Earth Sciences at the Institute of Geophysics and Planetary Physics at Scripps Institution of Oceanography; Natural Sciences and Engineering Research Council of Canada(Natural Sciences and Engineering Research Council of Canada (NSERC)CGIAR); Canada Research Chairs Program(Canada Research Chairs); European Union(European Union (EU))</t>
  </si>
  <si>
    <t>This work was supported by the NASA Cryosphere program under grant 80NSSC22K0387(T.P. and J.S.G.), NSF grant OPP-2114454 (T.P. and J.S.G.), the Cecil H. and Ida M. Green Foundation for Earth Sciences at the Institute of Geophysics and Planetary Physics at Scripps Institution of Oceanography (T.P. and J.S.G.), Natural Sciences and Engineering Research Council of Canada grant RGPIN-03761-2017(C.F.D.), Canada Research Chairs Program grant 950-231237(C.F.D.), and the European Union's Horizon 2020 research and innovation programme (TiPACCs project) under grant agreement 820575(A.J.).</t>
  </si>
  <si>
    <t>OCT 27</t>
  </si>
  <si>
    <t>eadi9014</t>
  </si>
  <si>
    <t>10.1126/sciadv.adi9014</t>
  </si>
  <si>
    <t>EZ9M4</t>
  </si>
  <si>
    <t>WOS:001142878200015</t>
  </si>
  <si>
    <t>Washam, P; Lawrence, JD; Stevens, CL; Hulbe, CL; Horgan, HJ; Robinson, NJ; Stewart, CL; Spears, A; Quartini, E; Hurwitz, B; Meister, MR; Mullen, AD; Dichek, DJ; Bryson, F; Schmidt, BE</t>
  </si>
  <si>
    <t>Washam, Peter; Lawrence, Justin D.; Stevens, Craig L.; Hulbe, Christina L.; Horgan, Huw J.; Robinson, Natalie J.; Stewart, Craig L.; Spears, Anthony; Quartini, Enrica; Hurwitz, Benjamin; Meister, Matthew R.; Mullen, Andrew D.; Dichek, Daniel J.; Bryson, Frances; Schmidt, Britney E.</t>
  </si>
  <si>
    <t>Direct observations of melting, freezing, and ocean circulation in an ice shelf basal crevasse</t>
  </si>
  <si>
    <t>WEST ANTARCTICA; GROUNDING-LINE; MARINE-ICE; STREAM-C; THWAITES GLACIER; PLATELET ICE; PINE ISLAND; WATER; SURFACE; BENEATH</t>
  </si>
  <si>
    <t>Ocean conditions near the grounding zones of Antarctica's ice shelves play a key role in controlling the outflow and mass balance of the ice sheet. However, ocean observations in these regions are largely absent. Here, we present a detailed spatial survey collected with an underwater vehicle in a basal crevasse located in the ocean cavity at the Ross Ice Shelf grounding zone. The observations depict fine-scale variability in ocean forcing that drives asymmetric melting along the lower crevasse sidewalls and freezing in the upper reaches of the crevasse. Freshwater release from melting at depth and salt rejection from freezing above drives an overturning circulation. This vertical circulation pattern overlays a dominant throughflow jet, which funnels water parallel to the coastline, orthogonal to the direction of tidal currents. Importantly, these data reveal that basal crevasses influence ocean circulation and mixing at ice shelf grounding zones to an extent previously unknown.</t>
  </si>
  <si>
    <t>[Washam, Peter; Quartini, Enrica; Meister, Matthew R.; Mullen, Andrew D.; Dichek, Daniel J.; Bryson, Frances; Schmidt, Britney E.] Cornell Univ, Dept Astron, Ithaca, NY 14850 USA; [Washam, Peter; Spears, Anthony; Hurwitz, Benjamin; Meister, Matthew R.; Schmidt, Britney E.] Georgia Inst Technol, Sch Earth &amp; Atmospher Sci, Atlanta, GA 30332 USA; [Lawrence, Justin D.] Honeybee Robot, Altadena, CA USA; [Stevens, Craig L.; Robinson, Natalie J.; Stewart, Craig L.] Natl Inst Water &amp; Atmospher Res NIWA, Ocean Dynam Grp, Greta Point, Wellington, New Zealand; [Stevens, Craig L.] Univ Auckland, Dept Phys, Auckland, New Zealand; [Hulbe, Christina L.] Univ Otago, Sch Surveying, Dunedin, New Zealand; [Horgan, Huw J.] Swiss Fed Inst Technol, Lab Hydraul Hydrol &amp; Glaciol VAW, Zurich, Switzerland; [Horgan, Huw J.] Swiss Fed Inst Forest Snow &amp; Landscape Res WSL, Birmensdorf, Switzerland; [Horgan, Huw J.] Victoria Univ Wellington, Antarctic Res Ctr, Wellington, New Zealand</t>
  </si>
  <si>
    <t>Cornell University; University System of Georgia; Georgia Institute of Technology; National Institute of Water &amp; Atmospheric Research (NIWA) - New Zealand; University of Auckland; University of Otago; Swiss Federal Institutes of Technology Domain; ETH Zurich; Swiss Federal Institutes of Technology Domain; Swiss Federal Institute for Forest, Snow &amp; Landscape Research; Victoria University Wellington</t>
  </si>
  <si>
    <t>Washam, P (corresponding author), Cornell Univ, Dept Astron, Ithaca, NY 14850 USA.;Washam, P (corresponding author), Georgia Inst Technol, Sch Earth &amp; Atmospher Sci, Atlanta, GA 30332 USA.</t>
  </si>
  <si>
    <t>pwasham@cornell.edu</t>
  </si>
  <si>
    <t>Horgan, Huw/0000-0002-4836-0078; Stevens, Craig/0000-0002-4730-6985; Hulbe, Christina/0000-0003-4765-7037; Hurwitz, Benjamin C./0000-0003-2670-6514; Washam, Peter/0000-0001-8861-520X</t>
  </si>
  <si>
    <t>NASA Planetary Science and Technology from Analog Research Ross Ice Shelf and Europa Underwater Probe program (RISEUP) [NNX16AL07G]</t>
  </si>
  <si>
    <t>NASA Planetary Science and Technology from Analog Research Ross Ice Shelf and Europa Underwater Probe program (RISEUP)</t>
  </si>
  <si>
    <t>This work was supported by the NASA Planetary Science and Technology from Analog Research Ross Ice Shelf and Europa Underwater Probe program (RISEUP, grant NNX16AL07G, to primary investigator B.E.S.).</t>
  </si>
  <si>
    <t>eadi7638</t>
  </si>
  <si>
    <t>10.1126/sciadv.adi7638</t>
  </si>
  <si>
    <t>WOS:001142878200005</t>
  </si>
  <si>
    <t>Fentimen, R; De Deckker, P; Depuydt, P; Mojtahid, M</t>
  </si>
  <si>
    <t>Fentimen, R.; De Deckker, P.; Depuydt, P.; Mojtahid, M.</t>
  </si>
  <si>
    <t>Deep-sea response to interglacial-glacial variability on the South Australian margin over the last 94 ka</t>
  </si>
  <si>
    <t>Benthic foraminifera; Palaeoceanography; Marine isotope stages; Bottom currents; Deep boundary current; Continental slope; Canyons; Antarctic bottom water</t>
  </si>
  <si>
    <t>BENTHIC FORAMINIFERAL ASSEMBLAGES; ANTARCTIC INTERMEDIATE WATER; MURRAY CANYONS AREA; INDIAN-OCEAN; CLIMATE VARIABILITY; LEEUWIN CURRENT; PALAEOCEANOGRAPHIC CHANGES; MEDITERRANEAN OUTFLOW; CONTINENTAL-MARGIN; CONFIDENCE-LIMITS</t>
  </si>
  <si>
    <t>The continuous record offered by deep-sea sediments has been extensively used to constrain shifting continental and oceanographic conditions. Yet, past fluctuations in deep-sea benthic conditions and bottom-currents are in numerous parts of the globe scarcely documented, one such example being the South Australian margin. Indeed, though variations in surface water masses and continental aeolian dust and river outflow are well documented in the area, little is known about benthic environments and their dynamics during the last interglacial-glacial cycle. We focus here on benthic foraminiferal assemblages sampled from a sediment core recovered at 2420 m depth from a small plateau south of Kangaroo Island within the underwater Murray Canyons Group (South Australian margin). Benthic foraminiferal assemblages show a distinct separation between interglacial and glacial periods over the last 94 ka, and indicate that the benthic environment was well-ventilated and oligotrophic during glacial periods, whilst being rather marked by reduced oxygenation associated to higher food input during the Holocene and Marine Isotope Stage 5a-c. We demonstrate that autochtonous deep-sea benthic foraminiferal communities neither respond to changes in the Murray River's discharges, nor do they follow variations in aeolian dust input from South Australia. Instead, the deep-sea and the terrestrial realm appear decoupled. Moreover, our obser-vations suggest that bottom-water slope currents were stronger during the Holocene and Marine Isotope Stage 5a-c. We propose that this strengthening was triggered by an intensification of the poleward-circulating deep eastern boundary current transporting carbon-rich Indian Deep Water. In contrast, glacial seafloor conditions, especially during the Last Glacial Maximum, may reflect a greater influence and a shoaling of oxygen-rich Antarctic Bottom Water of South Australia. This bottom-water shift would follow the northward displacement of the Subtropical and Subantarctic Fronts and coincide with a withering influence of the Leeuwin Current within surface waters.</t>
  </si>
  <si>
    <t>[Fentimen, R.; Depuydt, P.; Mojtahid, M.] Univ Angers, Le Mans Univ, Nantes Univ, CNRS,Lab Planetol &amp; Geosci,LPG UMR 6112, F-49000 Angers, France; [De Deckker, P.] Australian Natl Univ, Res Sch Earth Sci, Canberra, ACT 2601, Australia; [Depuydt, P.] Univ Paris Sud &amp; Paris Saclay, GEOPS, CNRS, F-91405 Orsay, France</t>
  </si>
  <si>
    <t>Universite d'Angers; Nantes Universite; Centre National de la Recherche Scientifique (CNRS); Australian National University; Centre National de la Recherche Scientifique (CNRS); Universite Paris Saclay</t>
  </si>
  <si>
    <t>Fentimen, R (corresponding author), Univ Angers, Le Mans Univ, Nantes Univ, CNRS,Lab Planetol &amp; Geosci,LPG UMR 6112, F-49000 Angers, France.</t>
  </si>
  <si>
    <t>robin.fentimen@univ-angers.fr</t>
  </si>
  <si>
    <t>Australian Research Council (ARC) [MD03-2611]; ANU Faculty Research Fund; National Oceans Office; TANDEM project</t>
  </si>
  <si>
    <t>Australian Research Council (ARC)(Australian Research Council); ANU Faculty Research Fund; National Oceans Office; TANDEM project</t>
  </si>
  <si>
    <t>Core MD03-2611 was obtained during the AUSCAN cruise funded by grants from the Australian Research Council (ARC) , the ANU Faculty Research Fund and the National Oceans Office, all awarded to PDD. The skills of Yvon Balut in obtaining the core are gratefully acknowledged as well as the French Paul Emile Victor Polar Institute [IPEV] that gave PDD access to the RV Marion Dufresne II . We further thank the TANDEM project (Rising star initiative, Pays de la Loire region, France) that provided funding for PD ' s MSc. Finally, we would like to thank the Editor and the three anonymous reviewers for their constructive feedback and helpful comments.</t>
  </si>
  <si>
    <t>10.1016/j.quascirev.2023.108328</t>
  </si>
  <si>
    <t>Y7KC8</t>
  </si>
  <si>
    <t>Green Published, Green Submitted, hybrid</t>
  </si>
  <si>
    <t>WOS:001107003700001</t>
  </si>
  <si>
    <t>Cabrol, L; Delleuze, M; Szylit, A; Schwob, G; Quéméneur, M; Misson, B</t>
  </si>
  <si>
    <t>Cabrol, Lea; Delleuze, Melanie; Szylit, Arthur; Schwob, Guillaume; Quemeneur, Marianne; Misson, Benjamin</t>
  </si>
  <si>
    <t>Assessing the diversity of plankton-associated prokaryotes along a size-fraction gradient: A methodological evaluation</t>
  </si>
  <si>
    <t>Plankton size fraction; DNA extraction method; Cell desorption; Prokaryotic DNA enrichment; Vibrio; Eukaryotic DNA depletion</t>
  </si>
  <si>
    <t>MICROBIAL COMMUNITY; BACTERIAL COMMUNITIES; ATTACHED BACTERIA; MARINE; PARTICLE; PATTERNS; WATERS; SEA</t>
  </si>
  <si>
    <t>Marine free-living (FL) and plankton-associated prokaryotes (plankton-microbiota) are at the basis of trophic webs and play crucial roles in the transfer and cycling of nutrients, organic matter, and contaminants. Different ecological niches exist along the plankton size fraction gradient. Despite its relevant ecological role, the plankton-microbiota has rarely been investigated with a sufficient level of size-fraction resolution, and it can be challenging to study because of overwhelming eukaryotic DNA. Here we compared the prokaryotic diversity obtained by 16S rRNA gene sequencing from six plankton size fractions (from FL to mesoplankton), through three DNA recovery methods: direct extraction, desorption pretreatment, enrichment post-treatment. The plankton microbiota differed strongly according to the plankton size-fraction and methodological approach. Prokaryotic taxa specific to each size fraction, and methodology used, were identified. Vibrionaceae were over-represented by cell desorption pretreatment, while prokaryotic DNA enrichment had taxon-specific effects, indicating that direct DNA extraction was the most appropriate method.</t>
  </si>
  <si>
    <t>[Cabrol, Lea; Quemeneur, Marianne] Aix Marseille Univ, Univ Toulon, CNRS,IRD, MIO, Marseille, France; [Cabrol, Lea; Delleuze, Melanie; Schwob, Guillaume] Millennium Inst BASE Biodivers Antarctic &amp; Subanta, Santiago 3425, Chile; [Cabrol, Lea; Szylit, Arthur] Inst Ecol &amp; Biodivers, Santiago, Chile; [Delleuze, Melanie; Schwob, Guillaume] Univ Chile, Fac Ciencias, Dept Ciencias Ecol, Santiago, Chile; [Misson, Benjamin] Aix Marseille Univ, Univ Toulon, MIO, CNRS,IRD, Toulon, France</t>
  </si>
  <si>
    <t>Institut de Recherche pour le Developpement (IRD); Centre National de la Recherche Scientifique (CNRS); Aix-Marseille Universite; Universidad de Chile; Centre National de la Recherche Scientifique (CNRS); Institut de Recherche pour le Developpement (IRD); Aix-Marseille Universite</t>
  </si>
  <si>
    <t>Cabrol, L (corresponding author), Aix Marseille Univ, Univ Toulon, CNRS,IRD, MIO, Marseille, France.</t>
  </si>
  <si>
    <t>lea.cabrol@mio.osupytheas.fr</t>
  </si>
  <si>
    <t>Quéméneur, Marianne/ITT-0784-2023; Schwob, Guillaume/JQX-0989-2023; QUEMENEUR, Marianne/K-1808-2016</t>
  </si>
  <si>
    <t>Schwob, Guillaume/0000-0003-0996-4060; QUEMENEUR, Marianne/0000-0003-4071-9848; Delleuze, Melanie/0000-0002-0688-974X</t>
  </si>
  <si>
    <t>MERITE-HIPPOCAMPE project - cross-disciplinary Pollution &amp; Contaminants axis of the CNRS-INSU MISTRALS program; ANID Millennium Science Initiative Program [ICN2021-002]</t>
  </si>
  <si>
    <t>MERITE-HIPPOCAMPE project - cross-disciplinary Pollution &amp; Contaminants axis of the CNRS-INSU MISTRALS program; ANID Millennium Science Initiative Program</t>
  </si>
  <si>
    <t>This work was supported by the MERITE-HIPPOCAMPE project, initiated and funded by the cross-disciplinary Pollution &amp; Contaminants axis of the CNRS-INSU MISTRALS program (joint action of the MERMEX-MERITE and CHARMEX subprograms) . The authors would like to thank Jean-Louis Jamet for his contribution to marine sampling and Emilie Pasero, Nicolas Gallois, and Ellouene Charavel for their contribution to molecular work. LC, MD, and GS would like to acknowledge funding from ANID Millennium Science Initiative Program ICN2021-002 (National research agency, Chile) .</t>
  </si>
  <si>
    <t>10.1016/j.marpolbul.2023.115688</t>
  </si>
  <si>
    <t>Y8PC1</t>
  </si>
  <si>
    <t>WOS:001107815500001</t>
  </si>
  <si>
    <t>Seppey, CVW; Cabrol, L; Thalasso, F; Gandois, L; Lavergne, C; Martinez-Cruz, K; Sepulveda-Jauregui, A; Aguilar-Muñoz, P; Astorga-España, MS; Chamy, R; Dellagnezze, BM; Etchebehere, C; Fochesatto, GJ; Gerardo-Nieto, O; Mansilla, A; Murray, A; Sweetlove, M; Tananaev, N; Teisserenc, R; Tveit, AT; van de Putte, A; Svenning, MM; Barret, M</t>
  </si>
  <si>
    <t>Seppey, Christophe V. W.; Cabrol, Lea; Thalasso, Frederic; Gandois, Laure; Lavergne, Celine; Martinez-Cruz, Karla; Sepulveda-Jauregui, Armando; Aguilar-Munoz, Polette; Astorga-Espana, Maria Soledad; Chamy, Rolando; Dellagnezze, Bruna Martins; Etchebehere, Claudia; Fochesatto, Gilberto J.; Gerardo-Nieto, Oscar; Mansilla, Andres; Murray, Alison; Sweetlove, Maxime; Tananaev, Nikita; Teisserenc, Roman; Tveit, Alexander T.; Van de Putte, Anton; Svenning, Mette M.; Barret, Maialen</t>
  </si>
  <si>
    <t>Biogeography of microbial communities in high-latitude ecosystems: Contrasting drivers for methanogens, methanotrophs and global prokaryotes</t>
  </si>
  <si>
    <t>SP NOV.; CLIMATE-CHANGE; CARBON-DIOXIDE; DISTANCE-DECAY; GEN. NOV.; BACTERIAL; SOIL; OXIDATION; WATER; PERMAFROST</t>
  </si>
  <si>
    <t>Methane-cycling is becoming more important in high-latitude ecosystems as global warming makes permafrost organic carbon increasingly available. We explored 387 samples from three high-latitudes regions (Siberia, Alaska and Patagonia) focusing on mineral/organic soils (wetlands, peatlands, forest), lake/pond sediment and water. Physicochemical, climatic and geographic variables were integrated with 16S rDNA amplicon sequences to determine the structure of the overall microbial communities and of specific methanogenic and methanotrophic guilds. Physicochemistry (especially pH) explained the largest proportion of variation in guild composition, confirming species sorting (i.e., environmental filtering) as a key mechanism in microbial assembly. Geographic distance impacted more strongly beta diversity for (i) methanogens and methanotrophs than the overall prokaryotes and, (ii) the sediment habitat, suggesting that dispersal limitation contributed to shape the communities of methane-cycling microorganisms. Bioindicator taxa characterising different ecological niches (i.e., specific combinations of geographic, climatic and physicochemical variables) were identified, highlighting the importance of Methanoregula as generalist methanogens. Methylocystis and Methylocapsa were key methanotrophs in low pH niches while Methylobacter and Methylomonadaceae in neutral environments. This work gives insight into the present and projected distribution of methane-cycling microbes at high latitudes under climate change predictions, which is crucial for constraining their impact on greenhouse gas budgets.</t>
  </si>
  <si>
    <t>[Seppey, Christophe V. W.; Tveit, Alexander T.; Svenning, Mette M.] UiT Arctic Univ Norway, Dept Arctic &amp; Marine Biol, Tromso, Norway; [Seppey, Christophe V. W.] Univ Potsdam, Inst Environm Sci &amp; Geog, Potsdam Golm, Germany; [Cabrol, Lea] Aix Marseille Univ, IRD, Mediterranean Inst Oceanog MIO, CNRS,UM 110, Marseille, France; [Cabrol, Lea] Millennium Inst Biodivers Antarctic &amp; Subantarct E, Santiago, Chile; [Thalasso, Frederic; Gerardo-Nieto, Oscar] Inst Politecn Nacl, Ctr Invest &amp; Estudios Avanzados, Dept Biotecnol &amp; Bioingn, Cinvestav,IPN, Mexico City, Mexico; [Gandois, Laure; Teisserenc, Roman; Barret, Maialen] Univ Toulouse, Lab Ecol Fonct &amp; Environm, CNRS, Toulouse, France; [Lavergne, Celine; Aguilar-Munoz, Polette] Univ Playa Ancha, Lab Aquat Environm Res LACER, HUB AMBIENTAL UPLA, Valparaiso, Chile; [Lavergne, Celine; Aguilar-Munoz, Polette; Chamy, Rolando] Univ Catholica Valparaiso, Escuela Ingn Bioquim, Valparaiso, Chile; [Martinez-Cruz, Karla; Astorga-Espana, Maria Soledad; Mansilla, Andres] Univ Magallanes, Dept Ciencias &amp; Recursos Nat, Punta Arenas, Chile; [Martinez-Cruz, Karla] Univ Konstanz, Limnol Inst, Environm Phys Grp, Constance, Germany; [Sepulveda-Jauregui, Armando] Univ Magallanes, GAIA Antarctic Res Ctr, Punta Arenas, Chile; [Dellagnezze, Bruna Martins; Etchebehere, Claudia] Biol Res Inst Clemente Estable, Dept Microbial Biochem &amp; Genom, Microbial Ecol Lab, Montevideo, Uruguay; [Fochesatto, Gilberto J.] Univ Alaska, Dept Atmospher Sci, Fairbanks, AK USA; [Murray, Alison] Desert Res Inst, Div Earth &amp; Ecosyst Sci, Reno, NV USA; [Sweetlove, Maxime; Van de Putte, Anton] OD Nat, Royal Belgian Inst Nat Sci, Brussels, Belgium; [Tananaev, Nikita] Russian Acad Sci, Melnikov Permafrost Inst, Yakutsk, Russia; [Tananaev, Nikita] North Eastern Fed Univ, Inst Nat Sci, Yakutsk, Russia; [Cabrol, Lea] Aix Marseille Univ, Univ Toulon, Mediterranean Inst Oceanog, CNRS,IRD,MIO,UM 110, Marseille, France</t>
  </si>
  <si>
    <t>UiT The Arctic University of Tromso; University of Potsdam; Institut de Recherche pour le Developpement (IRD); Centre National de la Recherche Scientifique (CNRS); Aix-Marseille Universite; Instituto Politecnico Nacional - Mexico; CINVESTAV - Centro de Investigacion y de Estudios Avanzados del Instituto Politecnico Nacional; Universite de Toulouse; Universite Federale Toulouse Midi-Pyrenees (ComUE); Universite Toulouse III - Paul Sabatier; Institut National Polytechnique de Toulouse; Centre National de la Recherche Scientifique (CNRS); Universidad de Playa Ancha; Pontificia Universidad Catolica de Valparaiso; Universidad de Magallanes; University of Konstanz; Universidad de Magallanes; Instituto de Investigaciones Biologicas Clemente Estable Uruguay; University of Alaska System; University of Alaska Fairbanks; Nevada System of Higher Education (NSHE); Desert Research Institute NSHE; Royal Belgian Institute of Natural Sciences; Russian Academy of Sciences; Melnikov Permafrost Institute, Siberian Branch of the RAS; North-Eastern Federal University in Yakutsk; Institut de Recherche pour le Developpement (IRD); Aix-Marseille Universite; Centre National de la Recherche Scientifique (CNRS)</t>
  </si>
  <si>
    <t>Cabrol, L (corresponding author), Aix Marseille Univ, Univ Toulon, Mediterranean Inst Oceanog, CNRS,IRD,MIO,UM 110, Marseille, France.</t>
  </si>
  <si>
    <t>Teisserenc, Roman/C-7093-2011; Thalasso, Frederic/E-1403-2011; Sepulveda-Jauregui, Armando/J-5049-2019</t>
  </si>
  <si>
    <t>Thalasso, Frederic/0000-0003-2246-2372; Sepulveda-Jauregui, Armando/0000-0001-7777-4520; Tveit, Alexander Tosdal/0000-0002-4163-3416; Chamy, Rolando/0000-0001-8718-9173; Cabrol, Lea/0000-0003-0417-2021</t>
  </si>
  <si>
    <t>ECOS sud CONICYT; ERANet-LAC program; French Ministries of Foreign Affairs and International Development(MAEDI); German Federal Ministry of Education and Research, WISNA program [C16B03, 256132/H30]; Mexican National Council for Science and Technology (CONACYT) [ELAC2014_DCC-0092]; National Education, Superior Education and Research(MENESR); Chilean National Agency of Research and Development (ANID); [277238]; [ICN2021_002]</t>
  </si>
  <si>
    <t>ECOS sud CONICYT(Comision Nacional de Investigacion Cientifica y Tecnologica (CONICYT)); ERANet-LAC program; French Ministries of Foreign Affairs and International Development(MAEDI); German Federal Ministry of Education and Research, WISNA program; Mexican National Council for Science and Technology (CONACYT)(Consejo Nacional de Ciencia y Tecnologia (CONACyT)); National Education, Superior Education and Research(MENESR); Chilean National Agency of Research and Development (ANID); ;</t>
  </si>
  <si>
    <t>ECOS sud CONICYT, Grant/Award Numbers: Project MATCH C16B03, grant no. 256132/H30; ERANet-LAC program, Grant/Award Number: project METHANOBASE(ELAC2014_DCC-0092); French Ministries of Foreign Affairs and International Development(MAEDI); German Federal Ministry of Education and Research, WISNA program; Mexican National Council for Science and Technology (CONACYT), Grant/Award Number: grant no. 277238; National Education, Superior Education and Research(MENESR); Chilean National Agency of Research and Development (ANID),Grant/Award Number: Millennium Science Initiative Program-ICN2021_002</t>
  </si>
  <si>
    <t>10.1111/1462-2920.16526</t>
  </si>
  <si>
    <t>CR9U6</t>
  </si>
  <si>
    <t>WOS:001092065200001</t>
  </si>
  <si>
    <t>Costa, G; Lo Giudice, A; Papale, M; Rizzo, C; Azzaro, M; Guzzi, A; Grillo, M; Bertolino, M</t>
  </si>
  <si>
    <t>Costa, Gabriele; Lo Giudice, Angelina; Papale, Maria; Rizzo, Carmen; Azzaro, Maurizio; Guzzi, Alice; Grillo, Marco; Bertolino, Marco</t>
  </si>
  <si>
    <t>Sponges (Porifera) from the Ross Sea (Southern Ocean) with taxonomic and molecular re-description of two uncommon species</t>
  </si>
  <si>
    <t>Antarctica; Ross Sea; Porifera; Haliclona; Mycale; Morphology; Molecular Analysis</t>
  </si>
  <si>
    <t>ANTARCTIC PENINSULA; ICE; DEMOSPONGIAE; CLADORHIZIDAE</t>
  </si>
  <si>
    <t>Porifera are one of the dominant components of the marine benthic communities in the Antarctic Sea (44% of the total species are endemic). Despite these data and the various studies on marine biodiversity, the abundance and diversity of sponges on shallow Antarctic reefs and in the deep sea are likely significantly underestimated. In this context, our work deals with the description of Antarctic sponges inhabiting Tethys Bay (Ross Sea). A total of 46 sponge specimens were collected at different depths during three separate Italian Antarctic Expeditions and identified into 15 species within the Demospongiae and Hexactinellida classes. More importantly, we report on finding two species, i.e. Haliclona scotti and Mycale (Aegogropila) denticulata, for the first time after 114 and 16 years, respectively, from their original description. More details are also given on their taxonomic re-description and molecular characterization.</t>
  </si>
  <si>
    <t>[Costa, Gabriele] Agr Res Agcy Sardinia, AGRIS, I-07100 Sassari, Italy; [Costa, Gabriele; Guzzi, Alice; Bertolino, Marco] Univ Genoa, Dept Earth Environm &amp; Life Sci DISTAV, Genoa, Italy; [Lo Giudice, Angelina; Papale, Maria; Azzaro, Maurizio] Natl Res Council CNR, Inst Polar Sci ISP, Messina, Italy; [Rizzo, Carmen] Zool Stn Anton Dohrn SZN, Messina, Italy; [Guzzi, Alice; Grillo, Marco] Univ Genoa, Sect Genoa, Museum, MNA,Italian Natl Antarctic, Genoa, Italy; [Grillo, Marco] Univ Siena, Dept Phys Sci Earth &amp; Environm DSFTA, Siena, Italy</t>
  </si>
  <si>
    <t>University of Genoa; Consiglio Nazionale delle Ricerche (CNR); Istituto di Scienze Polari (ISP-CNR); University of Genoa; University of Siena</t>
  </si>
  <si>
    <t>Costa, G (corresponding author), Agr Res Agcy Sardinia, AGRIS, I-07100 Sassari, Italy.;Costa, G (corresponding author), Univ Genoa, Dept Earth Environm &amp; Life Sci DISTAV, Genoa, Italy.</t>
  </si>
  <si>
    <t>gabrielec1987@gmail.com; angelina.logiudice@cnr.it; maria.papale@isp.cnr.it; carmen.rizzo@szn.it; maurizio.azzaro@cnr.it; aliceguzzi@libero.it; grillomarco94@gmail.com; marco.bertolino@unige.it</t>
  </si>
  <si>
    <t>azzaro, Maurizio/AAE-6784-2019</t>
  </si>
  <si>
    <t>azzaro, Maurizio/0000-0001-7885-2340; BERTOLINO, Marco/0000-0003-3233-303X; Papale, Maria/0000-0002-6013-4436; Grillo, Marco/0000-0002-3188-9012; Guzzi, Alice/0000-0001-8066-9158</t>
  </si>
  <si>
    <t>This research was funded by grants from the Programma Nazionale di Ricerche in Antartide (grant agreement n. PNRA16_00020). [PNRA16_00020]; Programma Nazionale di Ricerche in Antartide</t>
  </si>
  <si>
    <t>This research was funded by grants from the Programma Nazionale di Ricerche in Antartide (grant agreement n. PNRA16_00020).; Programma Nazionale di Ricerche in Antartide(Ministry of Education, Universities and Research (MIUR))</t>
  </si>
  <si>
    <t>The authors are grateful to Dr. Warren Raymond Lee Cairns (Ca' Foscari University of Venice, Department of Environmental Sciences, Informatics and Statistics) for English revision.r The authors are grateful to the reviewers and editor for their criticisms, corrections and advice.r This research was funded by grants from the Programma Nazionale di Ricerche in Antartide (grant agreement n. PNRA16_00020).</t>
  </si>
  <si>
    <t>10.1007/s00300-023-03205-w</t>
  </si>
  <si>
    <t>X2AB7</t>
  </si>
  <si>
    <t>WOS:001094210700001</t>
  </si>
  <si>
    <t>Headland, RK; Hughes, NE; Wilkinson, JP</t>
  </si>
  <si>
    <t>Headland, Robert Keith; Hughes, Nicholas Edward; Wilkinson, Jeremy Paul</t>
  </si>
  <si>
    <t>Historical occurrence of Antarctic icebergs within mercantile shipping routes and the exceptional events of the 1890s</t>
  </si>
  <si>
    <t>Antarctic glaciology; icebergs; iceberg calving</t>
  </si>
  <si>
    <t>A major consideration for maritime activity in the Southern Hemisphere is the northern limit of icebergs, or the Southern Ocean Limit Of Known Ice (SOLOKI). This analysis of historical reports of icebergs during Southern Hemisphere voyages from 1687 to 1933 provides a basis for examination of their geographical and chronological occurrence during similar to 250 years. The analyses use tabulated data from 742 voyages and other reports from many sources, some including first-person descriptions. While these data are dependent on icebergs being reported by mariners, as well as the variable frequency of voyages, they demonstrate distinct periods of exceptional frequency of icebergs occurring in certain localities, particularly the far South Atlantic. Based upon historical records the evidence suggests unprecedented numbers of icebergs were present in southern shipping channels in the 1890s. When these historical observations are combined with modern iceberg drift trajectories, their possible origin can be elucidated. Owing to the numbers of icebergs seen and their geographical spread, our results suggest that this was possibly the largest near-synchronous calvings in the last 300 years, and the northernmost extent of the SOLOKI.</t>
  </si>
  <si>
    <t>[Headland, Robert Keith] Scott Polar Res Inst, Cambridge, England; [Hughes, Nicholas Edward] Norwegian Meteorol Inst, Tromso, Norway; [Wilkinson, Jeremy Paul] British Antarctic Survey, Cambridge, England</t>
  </si>
  <si>
    <t>University of Cambridge; Norwegian Meteorological Institute; UK Research &amp; Innovation (UKRI); Natural Environment Research Council (NERC); NERC British Antarctic Survey</t>
  </si>
  <si>
    <t>Headland, RK (corresponding author), Scott Polar Res Inst, Cambridge, England.</t>
  </si>
  <si>
    <t>rkh10@cam.ac.uk</t>
  </si>
  <si>
    <t>wilkinson, jeremy/0000-0002-7166-3042; Hughes, Nicholas/0000-0002-3510-0656</t>
  </si>
  <si>
    <t>We acknowledge the contributions of the authors of previous works for their compilations of data, and the International Ice Charting Working Group (IICWG) in identifying the concept of a Southern Ocean Limit Of Known Ice (SOLOKI) as an important indicator; Polar Science for Planet Earth programme of the British Antarctic Survey [DEFIANT NE/W004747/1]; Natural Environment Research Council; Norwegian government</t>
  </si>
  <si>
    <t>We acknowledge the contributions of the authors of previous works for their compilations of data, and the International Ice Charting Working Group (IICWG) in identifying the concept of a Southern Ocean Limit Of Known Ice (SOLOKI) as an important indicator; Polar Science for Planet Earth programme of the British Antarctic Survey; Natural Environment Research Council(UK Research &amp; Innovation (UKRI)Natural Environment Research Council (NERC)); Norwegian government</t>
  </si>
  <si>
    <t>We acknowledge the contributions of the authors of previous works for their compilations of data, and the International Ice Charting Working Group (IICWG) in identifying the concept of a Southern Ocean Limit Of Known Ice (SOLOKI) as an important indicator of hazard to navigation. We are thankful to the anonymous reviewers for the detailed suggestions, in particular the thoughts on the origins and life history of icebergs. These comments and suggestions improved the paper immensely. RKH also acknowledges the valuable facilities of the Scott Polar Research Institute in the compilation of details of historical iceberg occurrences. The resources of the Institute were essential to collate the data. This work forms part of the Polar Science for Planet Earth programme of the British Antarctic Survey. JPW received funding under Natural Environment Research Council large grant DEFIANT NE/W004747/1. The Norwegian Ice Service at MET Norway is funded by the Norwegian government in its monitoring of the Arctic, and Antarctic, for maritime safety. The funders had no role in study design, analysis, decision to publish or preparation of the paper.</t>
  </si>
  <si>
    <t>2023 OCT 27</t>
  </si>
  <si>
    <t>10.1017/jog.2023.80</t>
  </si>
  <si>
    <t>W4KW2</t>
  </si>
  <si>
    <t>WOS:001091339400001</t>
  </si>
  <si>
    <t>Michelson, CI; Polito, MJ; Wunder, MB; Emslie, SD; Mccarthy, MD; Patterson, WP; Mcmahon, KW</t>
  </si>
  <si>
    <t>Michelson, Chantel I.; Polito, Michael J.; Wunder, Michael B.; Emslie, Steven D.; Mccarthy, Matthew D.; Patterson, William P.; Mcmahon, Kelton W.</t>
  </si>
  <si>
    <t>Holocene climate change shifted Southern Ocean biogeochemical cycling and predator trophic dynamics</t>
  </si>
  <si>
    <t>KRILL EUPHAUSIA-SUPERBA; ICE-SHEET RETREAT; WESTERN ROSS SEA; ANTARCTIC PENINSULA; STABLE-ISOTOPES; FOOD-WEB; ENVIRONMENTAL-CHANGES; ADELIE PENGUINS; REVEAL; ECOSYSTEMS</t>
  </si>
  <si>
    <t>Studies of Antarctic paleo-archives have produced conflicting hypotheses on the relative impact of long-term climate change and historic exploitation of marine mammals on Southern Ocean krill predator foraging ecology. We disentangle these hypotheses using amino acid stable isotope analysis on a 7000-yr Holocene archive of Adelie penguin (Pygoscelis adeliae) eggshells to differentiate variation in diet and trophic dynamics from baseline biogeochemical cycling as drivers of the rapid decline in krill predator bulk tissue delta 15N values in recent centuries. Contrary to previous hypotheses suggesting solely trophic dynamic mechanisms as drivers of this decline, we identified an abrupt decline in source amino acid delta 15N values, indicative of major changes in biogeochemical cycling at the base of the Southern Ocean food web that mirrored the decline in penguin bulk tissue delta 15N values. These abrupt shifts in penguin delta 15N values and associated biogeochemical cycling aligned with climatic events during the Little Ice Age that decreased surface delta 15NNO3-, likely connected to a proposed increase in Ekman upwelling via a southward migration of the Westerlies. This baseline shift was in addition to a long-term, gradual decline in penguin trophic position over the Holocene that began prior to both recent anthropogenic climate change and a proposed krill-surplus following historic marine mammal exploitation in the 19th and 20th centuries. In resolving these outstanding hypotheses about drivers of Southern Ocean food web dynamics, this study emphasizes the fundamental importance of climate-induced variability in biogeochemical cycling on ecological processes and improves the ability of paleo-archives to inform the ecological consequences of future environmental change in the Southern Ocean.</t>
  </si>
  <si>
    <t>[Michelson, Chantel I.; Polito, Michael J.] Louisiana State Univ, Dept Oceanog &amp; Coastal Sci, Baton Rouge, LA 70803 USA; [Wunder, Michael B.] Univ Colorado Denver, Dept Integrat Biol, Denver, CO USA; [Emslie, Steven D.] Univ North Carolina Wilmington, Dept Biol &amp; Marine Biol, Wilmington, NC USA; [Mccarthy, Matthew D.] Univ Calif Santa Cruz, Ocean Sci Dept, Santa Cruz, CA USA; [Patterson, William P.] Univ Saskatchewan, Dept Geol Sci, Saskatoon, SK, Canada; [Mcmahon, Kelton W.] Univ Rhode Isl, Grad Sch Oceanog, Narragansett, RI USA</t>
  </si>
  <si>
    <t>Louisiana State University System; Louisiana State University; University of Colorado System; University of Colorado Anschutz Medical Campus; Children's Hospital Colorado; University of Colorado Denver; University of North Carolina; University of North Carolina Wilmington; University of California System; University of California Santa Cruz; University of Saskatchewan; University of Rhode Island</t>
  </si>
  <si>
    <t>Michelson, CI (corresponding author), Louisiana State Univ, Dept Oceanog &amp; Coastal Sci, Baton Rouge, LA 70803 USA.</t>
  </si>
  <si>
    <t>cmichelson86@gmail.com</t>
  </si>
  <si>
    <t>Polito, Michael/G-9118-2012</t>
  </si>
  <si>
    <t>Polito, Michael/0000-0001-8639-4431; McMahon, Kelton/0000-0002-9648-4614; Wunder, Michael/0000-0002-8063-2408; Michelson, Chantel/0000-0001-6117-1346</t>
  </si>
  <si>
    <t>We thank W. Trivelpiece, S. Trivelpiece, T. Hart, B. Fraser, D. Patterson, D. Ainley, and J. Hinke for assistance in sample collection. We also thank the US AMLR program, US Antarctic program, Raytheon Polar Services, Leidos, the Laurence M. Gould, Quark E; US AMLR program, US Antarctic program, Raytheon Polar Services [2006-001, 2016-013]; Quark Expeditions - US National Science Foundation Office of Polar Programs</t>
  </si>
  <si>
    <t>We thank W. Trivelpiece, S. Trivelpiece, T. Hart, B. Fraser, D. Patterson, D. Ainley, and J. Hinke for assistance in sample collection. We also thank the US AMLR program, US Antarctic program, Raytheon Polar Services, Leidos, the Laurence M. Gould, Quark E; US AMLR program, US Antarctic program, Raytheon Polar Services; Quark Expeditions - US National Science Foundation Office of Polar Programs</t>
  </si>
  <si>
    <t>We thank W. Trivelpiece, S. Trivelpiece, T. Hart, B. Fraser, D. Patterson, D. Ainley, and J. Hinke for assistance in sample collection. We also thank the US AMLR program, US Antarctic program, Raytheon Polar Services, Leidos, the Laurence M. Gould, Quark Expeditions, the M/V Ocean Endeavor, Lindblad Expeditions, the M/V National Geographic Explorer, John Evans, and Melissa Rider for transportation and logistical support. Thank you to S. Christensen (UCSC) for analytical support with compound-specific isotope analyses. This research was funded by the US National Science Foundation Office of Polar Programs award number , , , and . Field work and sample collection was conducted in accordance with Antarctic Conservation Act permits (no. 2006-001 and 2016-013).</t>
  </si>
  <si>
    <t>10.1002/lno.12446</t>
  </si>
  <si>
    <t>WOS:001090614800001</t>
  </si>
  <si>
    <t>de Souza, MR; Dal Piva, E</t>
  </si>
  <si>
    <t>de Souza, Marcelo Rodrigues; Dal Piva, Everson</t>
  </si>
  <si>
    <t>Storm tracks and cyclogenesis over the Southern Ocean: An overview with the HadGEM3-GC3.1 model</t>
  </si>
  <si>
    <t>Antarctica; cyclogenesis; extratropical cyclones; HadGEM3-GC3.1; Southern Ocean; storm tracks</t>
  </si>
  <si>
    <t>ATMOSPHERIC ANGULAR-MOMENTUM; MESOSCALE CYCLONE ACTIVITY; ANTARCTIC SEA-ICE; SYNOPTIC CLIMATOLOGY; WEATHER SYSTEMS; ROSS SEA; HEMISPHERE; BEHAVIOR; BUDGET</t>
  </si>
  <si>
    <t>Extratropical cyclones play an important role in shaping the weather and climate over vast regions across the globe. To effectively understand and manage the impact of these meteorological events, it is crucial to explore deeper into their structure and behaviour. Here, we have evaluated the characteristics and spatial distribution of extratropical cyclones that had their genesis in the Southern Ocean (SO) in the present climate, based on data from the HadGEM3-GC3.1-MM (HG3) global model and the ERA5 reanalysis. Both in winter and summer, cyclone tracks are spatially structured, forming a belt around the entire Antarctic continent, with greater concentration in the SO sector adjacent to the southern Pacific Ocean. The regions of the Somov, Amundsen and Bellingshausen seas exhibited a higher track density of moderate and strong cyclones, indicating a correlation with the strongest baroclinicity in these areas. In both datasets, the maximum occurrence of cyclogenesis was located over the regions of the Somov Sea and the Antarctic Peninsula, making these regions very important in the general configuration of cyclones along the SO. Despite underestimating the total number of cyclones along the SO, the HG3 model showed a good ability to represent the main patterns of cyclonic activity around the Antarctic continent, as well as its average behaviour. Knowing the characteristics and the behaviour of extratropical cyclones in such an important area for global climate is essential for understanding their role in weather and future climate resulting from climate change.</t>
  </si>
  <si>
    <t>[de Souza, Marcelo Rodrigues; Dal Piva, Everson] Univ Fed Santa Maria, Dept Phys, Santa Maria, Brazil; [de Souza, Marcelo Rodrigues] Univ Fed Santa Maria, Dept Phys, BR-97105900 Santa Maria, RS, Brazil</t>
  </si>
  <si>
    <t>Universidade Federal de Santa Maria (UFSM); Universidade Federal de Santa Maria (UFSM)</t>
  </si>
  <si>
    <t>de Souza, MR (corresponding author), Univ Fed Santa Maria, Dept Phys, BR-97105900 Santa Maria, RS, Brazil.</t>
  </si>
  <si>
    <t>marcelo.rodriso@gmail.com</t>
  </si>
  <si>
    <t>Dal Piva, Everson/AAA-8780-2020</t>
  </si>
  <si>
    <t>Dal Piva, Everson/0000-0002-2745-9079; Rodrigues de Souza, Marcelo/0009-0001-7849-3285</t>
  </si>
  <si>
    <t>The authors thank the Coordenao de Aperfeioamento de Nvel Superior (CAPES) for the financial support allowing the development of this research. We also thank Earth System Grid Federation (ESGF) for providing the model data,; Coordenacao de Aperfeicoamento de Pessoal de Nivel Superior [88882.428276/2019-01]</t>
  </si>
  <si>
    <t>The authors thank the Coordenao de Aperfeioamento de Nvel Superior (CAPES) for the financial support allowing the development of this research. We also thank Earth System Grid Federation (ESGF) for providing the model data,; Coordenacao de Aperfeicoamento de Pessoal de Nivel Superior(Coordenacao de Aperfeicoamento de Pessoal de Nivel Superior (CAPES))</t>
  </si>
  <si>
    <t>Coordenacao de Aperfeicoamento de Pessoal de Nivel Superior, Grant/AwardNumber: 88882.428276/2019-01</t>
  </si>
  <si>
    <t>10.1002/joc.8280</t>
  </si>
  <si>
    <t>WOS:001092032100001</t>
  </si>
  <si>
    <t>Hmani, I; Ghaderiardakani, F; Ktari, L; El Bour, M; Wichard, T</t>
  </si>
  <si>
    <t>Hmani, Imen; Ghaderiardakani, Fatemeh; Ktari, Leila; El Bour, Monia; Wichard, Thomas</t>
  </si>
  <si>
    <t>High-temperature stress induces bacteria-specific adverse and reversible effects on Ulva (Chlorophyta) growth and its chemosphere in a reductionist model system</t>
  </si>
  <si>
    <t>algae-bacteria interactions; metabolome; morphogenesis; Rathayibacter; Ulva</t>
  </si>
  <si>
    <t>GREEN; PHOTOSYNTHESIS; MORPHOGENESIS; IRRADIANCE; MUTABILIS</t>
  </si>
  <si>
    <t>Axenic cultures of the green seaweed Ulva mutabilis were inoculated with bacteria providing essential algal growth and morphogenesis-promoting factors (AGMPFs) and were exposed to temperature shifts from 18 degrees C to 30 degrees C. The temperature-dependent effect of bacteria on longitudinal algal growth and the molecular composition of the chemosphere in the algal culture medium was explored. The reductionist tripartite model system of U. mutabilis, Roseovarius sp. MS2, and Maribacter sp. MS6 was applied as a reference and has been changed by substituting Roseovarius with isolates that phenocopy this strain. Rathayibacter festucae IH2 and Roseovarius aestuarii G8 boosted growth at 18 degrees C but slowed it down at 30 degrees C. Additional inoculation of Roseovarius sp. MS2 mitigated these adverse bacterial effects partially. At 30 degrees C, the molecular profile of the chemosphere differed dramatically between all tested tripartite communities, indicating different traits of the same bacterium with changing temperatures. Functional examinations should, therefore, accompany microbiome analysis to detect changing traits with the same microbiome composition.</t>
  </si>
  <si>
    <t>[Hmani, Imen; Ghaderiardakani, Fatemeh; Wichard, Thomas] Friedrich Schiller Univ Jena, Inst Inorgan &amp; Analyt Chem, Lessingstr 8, D-07743 Jena, Germany; [Hmani, Imen; Ktari, Leila; El Bour, Monia] Carthage Univ, Natl Inst Marine Sci &amp; Technol, 28 Rue 2 Mars 1934, Salammbo 2025, Tunisia; [Hmani, Imen] Fac Sci Tunis, Campus Univ El Manar, El Manar 2092, Tunisia</t>
  </si>
  <si>
    <t>Friedrich Schiller University of Jena; Universite de Carthage; Institut National des Sciences et Technologies de la Mer; Universite de Tunis-El-Manar; Faculte des Sciences de Tunis (FST)</t>
  </si>
  <si>
    <t>Wichard, T (corresponding author), Friedrich Schiller Univ Jena, Inst Inorgan &amp; Analyt Chem, Lessingstr 8, D-07743 Jena, Germany.</t>
  </si>
  <si>
    <t>Thomas.Wichard@uni-jena.de</t>
  </si>
  <si>
    <t>ktari, Leila/AAL-6958-2021; Wichard, Thomas/C-2794-2009</t>
  </si>
  <si>
    <t>ktari, Leila/0000-0002-0515-4135; Wichard, Thomas/0000-0003-0061-4160</t>
  </si>
  <si>
    <t>Deutsche Forschungsgemeinschaft (DFG, German Research Foundation) [SPP 1158, 424256657]; University Tunis-El Manar; Faculty of Sciences Tunis</t>
  </si>
  <si>
    <t>Deutsche Forschungsgemeinschaft (DFG, German Research Foundation)(German Research Foundation (DFG)); University Tunis-El Manar; Faculty of Sciences Tunis</t>
  </si>
  <si>
    <t>The study was supported by the Deutsche Forschungsgemeinschaft (DFG, German Research Foundation) in the framework of the priority program (SPP 1158) Antarctic Research with comparative investigations in Arctic ice areas (424256657, FG, and TW). Research was financed by a grant provided by the University Tunis-El Manar and the Faculty of Sciences Tunis (IH).</t>
  </si>
  <si>
    <t>APR 25</t>
  </si>
  <si>
    <t>10.1515/bot-2023-0053</t>
  </si>
  <si>
    <t>NI6S4</t>
  </si>
  <si>
    <t>WOS:001089828300001</t>
  </si>
  <si>
    <t>Paine, B; Armbrecht, L; Bolch, C; Mcminn, A; Hallegraeff, GM</t>
  </si>
  <si>
    <t>Paine, Bradley; Armbrecht, Linda; Bolch, Christopher; Mcminn, Andrew; Hallegraeff, Gustaaf M.</t>
  </si>
  <si>
    <t>Dinoflagellate cyst distribution over the past 9 kyrs BP from offshore east Tasmania, southeast Australia</t>
  </si>
  <si>
    <t>PALYNOLOGY</t>
  </si>
  <si>
    <t>palaeoclimate; ocean currents; sea level rise; dinoflagellate cysts; trophic dynamics; Tasmania; Australia</t>
  </si>
  <si>
    <t>SURFACE SEDIMENTS; GYMNODINIUM-CATENATUM; MARINE-SEDIMENTS; RESTING CYSTS; SEASONAL VARIABILITY; GENUS ALEXANDRIUM; FALKLAND TROUGH; COASTAL WATERS; BALLAST WATER; TOKYO-BAY</t>
  </si>
  <si>
    <t>Southeastern Australia's marine waters are notably warming, surpassing global averages. This region has emerged as a strategic location for researching planktic microfossils, particularly dinoflagellate cysts, in modern and Late Quaternary sediments, offering crucial insights into the biophysical properties of mid-latitude waters. This study examined cyst distribution in marine sediment cores near Maria Island, Tasmania, southeastern Australia, up to 9000 years before present (kyrs BP). Dominant cysts included Protoceratium reticulatum, Protoperidinium spp. (P. avellana, P. conicum, P. oblongum, P. subinerme, P. shanghaiense), and Spiniferites spp. (S. bulloideus, S. hyperacanthus, S. membranaceus, S. mirabilis, S. pachydermus, and S. ramosus). Inshore, Spiniferites spp. constituted a higher proportion (up to 61%), while offshore was dominated by P. reticulatum (up to 80%). Impagidinium spp. and Nematosphaeropsis labyrinthus were exclusively found offshore and displayed increased abundance from similar to 6 kyrs BP, suggesting a shift from a shallow to a deep-water habitat. Alexandrium tamarense species complex cysts were present over 140 years inshore and approaching 9 kyrs BP offshore, indicating a longstanding endemic presence. Gymnodinium catenatum cysts were detected exclusively inshore from similar to 50 years ago, indicating a relatively recent bloom phenomenon. The East Australian Current's limited southward reach is suggested by the absence of the warm-water cyst-producing taxon Lingulodinium polyedra. Similarly, the non-detection of the cold-water species Spiniferites antarctica and Impagidinium pallidum reflects Subtropical Front boundaries against subantarctic incursions from the south. In contrast to coccolithophores in the same core, no noticeable shift from cold to warm-water dinoflagellate cyst species was observed. This documentation of dinoflagellate cysts aids in predicting environmental impacts on local communities and beyond.</t>
  </si>
  <si>
    <t>[Paine, Bradley; Armbrecht, Linda; Bolch, Christopher; Mcminn, Andrew; Hallegraeff, Gustaaf M.] Univ Tasmania UTAS, Inst Marine &amp; Antarctic Studies, Battery Point, Tas, Australia; [Armbrecht, Linda] Australian Ctr Excellence Antarctic Sci ACEAS, Battery Point, Tas, Australia; [Paine, Bradley] Univ Tasmania UTAS, Inst Marine &amp; Antarctic Studies, 20 Castray Esplanade, Battery Point, Tas 7004, Australia</t>
  </si>
  <si>
    <t>Paine, B (corresponding author), Univ Tasmania UTAS, Inst Marine &amp; Antarctic Studies, 20 Castray Esplanade, Battery Point, Tas 7004, Australia.</t>
  </si>
  <si>
    <t>bradley.paine@utas.edu.au</t>
  </si>
  <si>
    <t>Paine, Bradley/0000-0003-3908-9877</t>
  </si>
  <si>
    <t>Australian Research Council [H0025318]; Australian Research Council (ARC Discovery Project) [DP170102261]; Australian Research Council (ARC) Discovery Early Career Researcher Award (DECRA) Fellowship [DE210100929]</t>
  </si>
  <si>
    <t>Australian Research Council(Australian Research Council); Australian Research Council (ARC Discovery Project)(Australian Research Council); Australian Research Council (ARC) Discovery Early Career Researcher Award (DECRA) Fellowship(Australian Research Council)</t>
  </si>
  <si>
    <t>The authors wish to thank the crew and the on-ship scientific team of RV Investigator voyage IN2018_T02 during core collection (2018 MNF Grant H0025318). In addition, we thank Prof. Henk Heijnis (ANSTO) for contributions to funding and logistical support for this project, Dr Craig Woodward for guiding sediment dating analysis and palynology slide preparation, and Dr Sandrin Feig at UTAS Central Science Laboratory for access and assistance with SEM facilities. This study was funded through the Australian Research Council (ARC Discovery Project DP170102261). L.A. was supported by an Australian Research Council (ARC) Discovery Early Career Researcher Award (DECRA) Fellowship (DE210100929). Finally, the authors would like to thank the reviewers of the initial manuscript submission for their valuable and informative feedback that has led to the much-improved final version presented here.</t>
  </si>
  <si>
    <t>0191-6122</t>
  </si>
  <si>
    <t>1558-9188</t>
  </si>
  <si>
    <t>Palynology</t>
  </si>
  <si>
    <t>2023 OCT 26</t>
  </si>
  <si>
    <t>10.1080/01916122.2023.2273267</t>
  </si>
  <si>
    <t>Plant Sciences; Paleontology</t>
  </si>
  <si>
    <t>Y6HJ5</t>
  </si>
  <si>
    <t>WOS:001106247200001</t>
  </si>
  <si>
    <t>Hodgson-Johnston, I</t>
  </si>
  <si>
    <t>Hodgson-Johnston, Indi</t>
  </si>
  <si>
    <t>Antarctica: A History in 100 Objects</t>
  </si>
  <si>
    <t>POLAR JOURNAL</t>
  </si>
  <si>
    <t>Book Review</t>
  </si>
  <si>
    <t>[Hodgson-Johnston, Indi] Univ Tasmania, Inst Marine &amp; Antarctic Studies, Launceston, Australia</t>
  </si>
  <si>
    <t>Hodgson-Johnston, I (corresponding author), Univ Tasmania, Inst Marine &amp; Antarctic Studies, Launceston, Australia.</t>
  </si>
  <si>
    <t>Indiah.hodgsonjohnston@utas.edu.au</t>
  </si>
  <si>
    <t>Hodgson-Johnston, Indi/B-8054-2014</t>
  </si>
  <si>
    <t>Hodgson-Johnston, Indi/0000-0002-0305-9468</t>
  </si>
  <si>
    <t>2154-896X</t>
  </si>
  <si>
    <t>2154-8978</t>
  </si>
  <si>
    <t>POLAR J-UK</t>
  </si>
  <si>
    <t>Polar J.</t>
  </si>
  <si>
    <t>JUL 3</t>
  </si>
  <si>
    <t>10.1080/2154896X.2023.2271210</t>
  </si>
  <si>
    <t>Area Studies; Environmental Studies; Geography; International Relations</t>
  </si>
  <si>
    <t>Area Studies; Environmental Sciences &amp; Ecology; Geography; International Relations</t>
  </si>
  <si>
    <t>AM6B6</t>
  </si>
  <si>
    <t>WOS:001098851700001</t>
  </si>
  <si>
    <t>Tranter, B; Leane, E</t>
  </si>
  <si>
    <t>Tranter, Bruce; Leane, Elizabeth</t>
  </si>
  <si>
    <t>Public support for Antarctic science: lessons from a national survey of Australians</t>
  </si>
  <si>
    <t>climate change; media representation; polar regions; public engagement with science; public opinion; social attitudes</t>
  </si>
  <si>
    <t>CLIMATE</t>
  </si>
  <si>
    <t>With the Antarctic region featuring more and more in discourse around anthropogenic climate change, understanding public support for research in the region is increasingly important. We examine public support for Antarctic science in Australia, drawing on findings from a nationally representative survey of just over 1000 adults conducted in 2021-2022. Key results reinforce earlier findings in other national contexts - for example, that older people and men are more likely to support Antarctic scientific research than younger people and women. They also reveal new information, including a correlation between particular sources of media coverage and support for Antarctic research. Our data have implications for where and how the public engagement efforts of government agencies and non-governmental organizations could most usefully be applied. While the survey is focused on Australia, it points to complexities around public support for Antarctic research that could be productively investigated in other national and in international contexts.</t>
  </si>
  <si>
    <t>[Tranter, Bruce] Univ Tasmania, Sch Social Sci, Hobart, Tas 7001, Australia; [Leane, Elizabeth] Univ Tasmania, Sch Humanities, Hobart, Tas 7001, Australia</t>
  </si>
  <si>
    <t>Leane, E (corresponding author), Univ Tasmania, Sch Humanities, Hobart, Tas 7001, Australia.</t>
  </si>
  <si>
    <t>elizabeth.leane@utas.edu.au</t>
  </si>
  <si>
    <t>; Tranter, Bruce/J-6818-2014</t>
  </si>
  <si>
    <t>Leane, Elizabeth/0000-0002-7954-6529; Tranter, Bruce/0000-0002-0649-6065</t>
  </si>
  <si>
    <t>The authors would like to acknowledge Prof Nicholas Farrelly for his insights during the early stages of survey design and the anonymous reviewers for their useful feedback.</t>
  </si>
  <si>
    <t>32 AVENUE OF THE AMERICAS, NEW YORK, NY 10013-2473 USA</t>
  </si>
  <si>
    <t>10.1017/S0954102023000263</t>
  </si>
  <si>
    <t>U8PX3</t>
  </si>
  <si>
    <t>WOS:001087377400001</t>
  </si>
  <si>
    <t>Agnew, RS; Clark, RA; Booth, AD; Brisbourne, AM; Smith, AM</t>
  </si>
  <si>
    <t>Agnew, Ronan S.; Clark, Roger A.; Booth, Adam D.; Brisbourne, Alex M.; Smith, Andrew M.</t>
  </si>
  <si>
    <t>Measuring seismic attenuation in polar firn: method and application to Korff Ice Rise, West Antarctica</t>
  </si>
  <si>
    <t>Glacier geophysics; glaciological instruments and methods; polar firn; seismics</t>
  </si>
  <si>
    <t>INTERNAL-FRICTION; RUSSELL GLACIER; WAVE; MORPHOLOGY; RADAR; SHELF; RATIO; FLOW</t>
  </si>
  <si>
    <t>We present seismic measurements of the firn column at Korff Ice Rise, West Antarctica, including measurements of compressional-wave velocity and attenuation. We describe a modified spectral-ratio method of measuring the seismic quality factor (Q) based on analysis of diving waves, which, combined with a stochastic method of error propagation, enables us to characterise the attenuative structure of firn in greater detail than has previously been possible. Q increases from 56 +/- 23 in the uppermost 12 m to 570 +/- 450 between 55 and 77 m depth. We corroborate our method with consistent measurements obtained via primary reflection, multiple, source ghost, and critically refracted waves. Using the primary reflection and its ghost, we find Q = 53 +/- 20 in the uppermost 20 m of firn. From the critical refraction, we find Q = 640 +/- 400 at 90 m depth. Our method aids the understanding of the seismic structure of firn and benefits characterisation of deeper glaciological targets, providing an alternative means of correcting seismic reflection amplitudes in cases where conventional methods of Q correction may be impossible.</t>
  </si>
  <si>
    <t>[Agnew, Ronan S.; Clark, Roger A.; Booth, Adam D.] Univ Leeds, Sch Earth &amp; Environm, Leeds, England; [Agnew, Ronan S.; Brisbourne, Alex M.; Smith, Andrew M.] NERC British Antarctic Survey, Cambridge, England</t>
  </si>
  <si>
    <t>University of Leeds</t>
  </si>
  <si>
    <t>Agnew, RS (corresponding author), Univ Leeds, Sch Earth &amp; Environm, Leeds, England.;Agnew, RS (corresponding author), NERC British Antarctic Survey, Cambridge, England.</t>
  </si>
  <si>
    <t>rognew91@bas.ac.uk</t>
  </si>
  <si>
    <t>; Brisbourne, Alex/E-6198-2013</t>
  </si>
  <si>
    <t>Agnew, Ronan/0009-0000-3609-6815; SMITH, ANDREW/0000-0001-8577-482X; Brisbourne, Alex/0000-0002-9887-7120</t>
  </si>
  <si>
    <t>These data were collected as part of the British Antarctic Survey programme Polar Science for Planet Earth with the support of British Antarctic Survey Operations. RSA is supported by the NERC PANORAMA Doctoral Training Partnership. We thank the editor and; British Antarctic Survey programme Polar Science for Planet Earth; NERC PANORAMA Doctoral Training Partnership</t>
  </si>
  <si>
    <t>These data were collected as part of the British Antarctic Survey programme Polar Science for Planet Earth with the support of British Antarctic Survey Operations. RSA is supported by the NERC PANORAMA Doctoral Training Partnership. We thank the editor and three anonymous reviewers for their comments which greatly improved the quality of the paper.</t>
  </si>
  <si>
    <t>10.1017/jog.2023.82</t>
  </si>
  <si>
    <t>U8PW7</t>
  </si>
  <si>
    <t>WOS:001087376800001</t>
  </si>
  <si>
    <t>Pacheco-Cancino, PA; Carrillo-López, RF; Sepulveda-Jauregui, A; Somos-Valenzuela, MA</t>
  </si>
  <si>
    <t>Pacheco-Cancino, Patricio A.; Carrillo-Lopez, Ruben F.; Sepulveda-Jauregui, Armando; Somos-Valenzuela, Marcelo A.</t>
  </si>
  <si>
    <t>Sphagnum mosses, the impact of disturbances and anthropogenic management actions on their ecological role in CO2 fluxes generated in peatland ecosystems</t>
  </si>
  <si>
    <t>anthropogenic disturbances; climate change; CO2 emissions; drainage; paludiculture; recolonization; restoration; Sphagnum</t>
  </si>
  <si>
    <t>GREENHOUSE-GAS BALANCES; CUT-AWAY PEATLAND; WATER-TABLE LEVEL; CARBON-DIOXIDE; REGENERATING SPHAGNUM; RESTORED PEATLANDS; NORTHERN PEATLAND; MOISTURE CONTROLS; VASCULAR PLANTS; SINK FUNCTION</t>
  </si>
  <si>
    <t>Mosses of the genus Sphagnum are the dominant vegetation in most pristine peatlands in temperate and high-latitude regions. They play a crucial role in carbon sequestration, being responsible for ca. 50% of carbon accumulation through their active participation in peat formation. They have a significant influence on the dynamics of CO2 emissions due to an efficient maximum potential photosynthetic rate, lower respiration rates, and the production of a recalcitrant litter whose decomposition is gradual. However, various anthropogenic disturbances and land use management actions that favor its reestablishment have the potential to modify the dynamics of these CO2 emissions. Therefore, the objective of this review is to discuss the role of Sphagnum in CO2 emissions generated in peatland ecosystems, and to understand the impacts of anthropogenic practices favorable and detrimental to Sphagnum on these emissions. Based on our review, increased Sphagnum cover reduces CO2 emissions and fosters C sequestration, but drainage transforms peatlands dominated by Sphagnum into a persistent source of CO2 due to lower gross primary productivity of the moss and increased respiration rates. Sites with moss removal used as donor material for peatland restoration emit twice as much CO2 as adjacent undisturbed natural sites, and those with commercial Sphagnum extraction generate almost neutral CO2 emissions, yet both can recover their sink status in the short term. The reintroduction of fragments and natural recolonization of Sphagnum in transitional peatlands, can reduce emissions, recover, or increase the CO2 sink function in the short and medium term. Furthermore, Sphagnum paludiculture is seen as a sustainable alternative for the use of transitional peatlands, allowing moss production strips to become CO2 sink, however, it is necessary to quantify the emissions of all the components of the field of production (ditches, causeway), and the biomass harvested from the moss to establish a final closing balance of C.</t>
  </si>
  <si>
    <t>[Pacheco-Cancino, Patricio A.; Carrillo-Lopez, Ruben F.] Univ La Frontera, Fac Agr &amp; Forestry Sci, Dept Agr Sci &amp; Nat Resources, Temuco, Chile; [Pacheco-Cancino, Patricio A.] Univ La Frontera, Fac Agr &amp; Environm Sci, Doctorate Agrifood &amp; Environm Sci, Temuco, Chile; [Sepulveda-Jauregui, Armando] Univ Magallanes, Gaia Antarctic Res Ctr CIGA, Punta Arenas, Magallanes &amp; Ch, Chile; [Sepulveda-Jauregui, Armando] Univ Magallanes, Network Extreme Environm Res NEXER, Punta Arenas, Magallanes &amp; Ch, Chile; [Somos-Valenzuela, Marcelo A.] Univ La Frontera, Fac Agr &amp; Environm Sci, Dept Forest Sci, Temuco, Chile; [Pacheco-Cancino, Patricio A.] Univ La Frontera, Fac Agr &amp; Environm Sci, Dept Agr Sci &amp; Nat Resources, Ave Francisco Salazar 01145, Temuco 4811230, Chile</t>
  </si>
  <si>
    <t>Universidad de La Frontera; Universidad de La Frontera; Universidad de Magallanes; Universidad de Magallanes; Universidad de La Frontera; Universidad de La Frontera</t>
  </si>
  <si>
    <t>Pacheco-Cancino, PA (corresponding author), Univ La Frontera, Fac Agr &amp; Environm Sci, Dept Agr Sci &amp; Nat Resources, Ave Francisco Salazar 01145, Temuco 4811230, Chile.</t>
  </si>
  <si>
    <t>patricio.pacheco@ufrontera.cl</t>
  </si>
  <si>
    <t>Sepulveda-Jauregui, Armando/J-5049-2019</t>
  </si>
  <si>
    <t>Sepulveda-Jauregui, Armando/0000-0001-7777-4520; Pacheco-Cancino, Patricio Andres/0000-0001-5048-8508; Somos-Valenzuela, Marcelo/0000-0001-7863-4407</t>
  </si>
  <si>
    <t>Agencia Nacional de Investigacion y Desarrollo [21191559]; Universidad de La Frontera [DIUFRO DI21-0096]</t>
  </si>
  <si>
    <t>Agencia Nacional de Investigacion y Desarrollo; Universidad de La Frontera</t>
  </si>
  <si>
    <t>Agencia Nacional de Investigacion y Desarrollo, Grant/Award Number: National PhD Scholarship Folio 21191559; Universidad de La Frontera, Grant/Award Number: Project DIUFRO DI21-0096</t>
  </si>
  <si>
    <t>10.1111/gcb.16972</t>
  </si>
  <si>
    <t>WOS:001090093800001</t>
  </si>
  <si>
    <t>Yu, J; Anderson, RF; Jin, ZD; Ji, X; Thornalley, DJR; Wu, L; Thouveny, N; Cai, Y; Tan, L; Zhang, F; Menviel, L; Tian, J; Xie, X; Rohling, EJ; McManus, JF</t>
  </si>
  <si>
    <t>Yu, J.; Anderson, R. F.; Jin, Z. D.; Ji, X.; Thornalley, D. J. R.; Wu, L.; Thouveny, N.; Cai, Y.; Tan, L.; Zhang, F.; Menviel, L.; Tian, J.; Xie, X.; Rohling, E. J.; McManus, J. F.</t>
  </si>
  <si>
    <t>Millennial atmospheric CO2 changes linked to ocean ventilation modes over past 150,000 years</t>
  </si>
  <si>
    <t>ABRUPT CLIMATE-CHANGE; SUB-ANTARCTIC OCEAN; ATLANTIC DEEP-WATER; SOUTHERN-OCEAN; CARBONATE CHEMISTRY; BIPOLAR SEESAW; ICE VOLUME; LAST; CIRCULATION; SEA</t>
  </si>
  <si>
    <t>Ice core measurements show diverse atmospheric CO2 variations-increasing, decreasing or remaining stable-during millennial-scale North Atlantic cold periods called stadials. The reasons for these contrasting trends remain elusive. Ventilation of carbon-rich deep oceans can profoundly affect atmospheric CO2, but its millennial-scale history is poorly constrained. Here we present a well-dated high-resolution deep Atlantic acidity record over the past 150,000 years, which reveals five hitherto undetected modes of stadial ocean ventilation with different consequences for deep-sea carbon storage and associated atmospheric CO2 changes. Our data provide observational evidence to show that strong and often volumetrically extensive Southern Ocean ventilation released substantial amounts of deep-sea carbon during stadials when atmospheric CO2 rose prominently. By contrast, other stadials were characterized by weak ventilation via both Southern Ocean and North Atlantic, which promoted respired carbon accumulation and thus curtailed or reversed deep-sea carbon losses, resulting in diminished rises or even declines in atmospheric CO2. Our findings demonstrate that millennial-scale changes in deep-sea carbon storage and atmospheric CO2 are modulated by multiple ocean ventilation modes through the interplay of the two polar regions, rather than by the Southern Ocean alone, which is critical for comprehensive understanding of past and future carbon cycle adjustments to climate change.</t>
  </si>
  <si>
    <t>[Yu, J.; Wu, L.] Laoshan Lab, Qingdao, Peoples R China; [Yu, J.; Ji, X.; Rohling, E. J.] Australian Natl Univ, Res Sch Earth Sci, Canberra, Australia; [Yu, J.; Jin, Z. D.; Tan, L.; Zhang, F.] Chinese Acad Sci, SKLLQG, Inst Earth Environm, Xian, Peoples R China; [Anderson, R. F.; McManus, J. F.] Columbia Univ, Lamont Doherty Earth Observ, Palisades, NY USA; [Jin, Z. D.] Laoshan Lab, Open Studio Ocean Continental Climate &amp; Environm C, Qingdao, Peoples R China; [Jin, Z. D.; Cai, Y.; Tan, L.] Xi An Jiao Tong Univ, Inst Global Environm Change, Xian, Peoples R China; [Thornalley, D. J. R.] Univ Coll London UCL, Dept Geog, London, England; [Wu, L.] Ocean Univ China, Phys Oceanog Lab, Qingdao, Peoples R China; [Thouveny, N.] Aix Marseille Univ, CNRS, IRD, Coll Fr,CEREGE, Aix En Provence, France; [Menviel, L.] Univ New South Wales, Climate Change Res Ctr, Earth &amp; Sustainabil Sci Res Ctr, Sydney, NSW, Australia; [Tian, J.; Xie, X.] Tongji Univ, State Key Lab Marine Geol, Shanghai, Peoples R China; [Rohling, E. J.] Univ Southampton, Natl Oceanog Ctr, Ocean &amp; Earth Sci, Southampton, England</t>
  </si>
  <si>
    <t>Laoshan Laboratory; Australian National University; Chinese Academy of Sciences; Institute of Earth Environment, CAS; Columbia University; Laoshan Laboratory; Xi'an Jiaotong University; University of London; University College London; Ocean University of China; Institut de Recherche pour le Developpement (IRD); Centre National de la Recherche Scientifique (CNRS); Aix-Marseille Universite; University of New South Wales Sydney; Tongji University; University of Southampton; NERC National Oceanography Centre</t>
  </si>
  <si>
    <t>Yu, J (corresponding author), Laoshan Lab, Qingdao, Peoples R China.;Yu, J (corresponding author), Australian Natl Univ, Res Sch Earth Sci, Canberra, Australia.;Yu, J (corresponding author), Chinese Acad Sci, SKLLQG, Inst Earth Environm, Xian, Peoples R China.</t>
  </si>
  <si>
    <t>jiminyuanu@gmail.com</t>
  </si>
  <si>
    <t>; Cai, Yanjun/A-9462-2010; Menviel, Laurie/D-6902-2013; Zhang, Fei/I-8831-2014; Tan, Liangcheng/I-8355-2014; Yu, Jimin/I-7770-2012</t>
  </si>
  <si>
    <t>mcmanus, jerry/0000-0002-7365-1600; Cai, Yanjun/0000-0001-7063-5050; Anderson, Robert/0000-0002-8472-2494; Menviel, Laurie/0000-0002-5068-1591; Zhang, Fei/0000-0002-9038-7047; Tan, Liangcheng/0000-0003-1932-7102; jin, zhang dong/0000-0002-1457-0552; Yu, Jimin/0000-0002-3896-1777; Thornalley, David/0000-0001-5885-5499</t>
  </si>
  <si>
    <t>Core MD95-2039 was collected during the international coring campaign IMAGES Cruise (MD 101) of the French vessel Marion Dufresne led by L. Labeyrie, F. Bassinot and Y. Lancelot. This project would not be possible without long-time and ded [MD95-2039]; international coring campaign IMAGES Cruise (MD 101) of the French vessel Marion Dufresne [42076056]; NSFC; Laoshan Laboratory Science and Technology Innovation Project [LSKJ202203300]; ARC Discovery Projects [DP190100894, FT140100993]; NERC [NE/F002734/1]</t>
  </si>
  <si>
    <t>Core MD95-2039 was collected during the international coring campaign IMAGES Cruise (MD 101) of the French vessel Marion Dufresne led by L. Labeyrie, F. Bassinot and Y. Lancelot. This project would not be possible without long-time and ded; international coring campaign IMAGES Cruise (MD 101) of the French vessel Marion Dufresne; NSFC(National Natural Science Foundation of China (NSFC)); Laoshan Laboratory Science and Technology Innovation Project; ARC Discovery Projects(Australian Research Council); NERC(UK Research &amp; Innovation (UKRI)Natural Environment Research Council (NERC))</t>
  </si>
  <si>
    <t>Core MD95-2039 was collected during the international coring campaign IMAGES Cruise (MD 101) of the French vessel Marion Dufresne led by L. Labeyrie, F. Bassinot and Y. Lancelot. This project would not be possible without long-time and dedicated laboratory assistance to process numerous samples by P. Wang, Y. Dai, J. Zhang, L. Wang, P. Chen and L. Ma. This study is supported by NSFC (42076056), Laoshan Laboratory Science and Technology Innovation Project (LSKJ202203300), ARC Discovery Projects (DP190100894) and Future Fellowship (FT140100993) to J.Y. We are indebted to S. Barker for his permission to use stable isotope data collected at Cardiff University by D.J.R.T. as part of NERC grant NE/F002734/1 (to Barker). We thank D. Sigman and J. Gottschalk for discussions.</t>
  </si>
  <si>
    <t>10.1038/s41561-023-01297-x</t>
  </si>
  <si>
    <t>WOS:001089878800001</t>
  </si>
  <si>
    <t>Grasselli, F; Strain, EMA; Airoldi, L</t>
  </si>
  <si>
    <t>Grasselli, Ferrante; Strain, Elisabeth M. A.; Airoldi, Laura</t>
  </si>
  <si>
    <t>Material type and origin influences the abundances of key taxa on artificial structures</t>
  </si>
  <si>
    <t>COASTAL ENGINEERING</t>
  </si>
  <si>
    <t>Marine artificial infrastructure; Concrete; Rock; Physicochemical properties; Eco-engineering; Green construction material</t>
  </si>
  <si>
    <t>OCEAN SPRAWL; COASTAL INFRASTRUCTURE; SUBSTRATUM TYPE; MARINE; RECRUITMENT; SETTLEMENT; REEF; ROCK; COLONIZATION; ASSEMBLAGES</t>
  </si>
  <si>
    <t>Coastal and marine urbanization have caused the sprawl of a variety of marine infrastructures, primarily built with artificial materials. We conducted a systematic review and a meta-analysis of 76 studies to determine how material type affects the ecological performance of artificial structures for possible eco-engineering applications. We compared three rocky-type materials, specifically autochthonous natural rocks, allochthonous natural rocks and concrete (i.e., the most abundant novel rock type of the Anthropocene) to each other and to other non-rocky materials commonly used to build infrastructures: metal, plastic, ceramic, rubber and wood. We tested the effects on diversity, abundance, or biomass of epibiota, as well as on key functional groups of epibenthic organisms (algae, sessile and vagile invertebrates). Studies were mostly short term (&lt;7 months duration), with variable outcomes among experiments and functional groups. Overall rocky substrates (including concrete) performed better (more diverse and abundant epibenthic communities) than other non-rocky construction materials (such as metal, plastic, or rubber), and autochthonous rocks performed better than any allochthonous (rocky and non-rocky) material. We did not detect a better ecological performance of eco-friendly concretes over traditional (gray) Portland concrete in terms of species growth, but eco-materials could still provide significant benefits by lowering raw materials demand, energy costs and/or CO2 emissions or enhancing the structure aesthetic. We suggest that material type as well as its origin (autochthonous vs allochthonous) are important but still largely overlooked properties of marine artificial structures that should be considered in combination with other types of substrate eco-engineering manipulations to reduce the impacts on native biota.</t>
  </si>
  <si>
    <t>[Strain, Elisabeth M. A.] Univ Bologna, Dept Biol Geol &amp; Environm Sci, I-48123 Ravenna, Italy; [Strain, Elisabeth M. A.] Univ Tasmania, Inst Marine &amp; Antarctic Sci, Hobart, Tas 7001, Australia; [Grasselli, Ferrante; Airoldi, Laura] Univ Tasmania, Ctr Marine Socioecol, Hobart, Tas 7053, Australia; [Airoldi, Laura] Univ Padua, Chioggia Hydrobiol Stn Umberto DAncona, Dept Biol, Uo CoNISMa, I-30015 Chioggia, Italy; [Grasselli, Ferrante] NBFC, I-90133 Palermo, Italy; [Grasselli, Ferrante] Via Gaetano Davoli 4 1, I-42123 Reggio Emilia, RE, Italy; [Airoldi, Laura] Calle Grassi Naccari 1060, I-30015 Chioggia, Ve, Italy</t>
  </si>
  <si>
    <t>University of Bologna; University of Tasmania; University of Tasmania; University of Padua</t>
  </si>
  <si>
    <t>Grasselli, F (corresponding author), Via Gaetano Davoli 4 1, I-42123 Reggio Emilia, RE, Italy.;Airoldi, L (corresponding author), Calle Grassi Naccari 1060, I-30015 Chioggia, Ve, Italy.</t>
  </si>
  <si>
    <t>ferrante.gr@gmail.com; laura.airoldi@unipd.it</t>
  </si>
  <si>
    <t>Emilia Romagna Region [POR FSE 2014/2020]; NBFC, National Biodiversity Future Center</t>
  </si>
  <si>
    <t>Emilia Romagna Region(Regione Emilia Romagna); NBFC, National Biodiversity Future Center</t>
  </si>
  <si>
    <t>This work was supported by the Emilia Romagna Region (project POR FSE 2014/2020) Development of biomimetic surfaces for the ecocompatible design of port seawalls and other maritime infrastructures. Additional funding to LA during the analysis and writing phase from the NBFC, National Biodiversity Future Center.</t>
  </si>
  <si>
    <t>0378-3839</t>
  </si>
  <si>
    <t>1872-7379</t>
  </si>
  <si>
    <t>COAST ENG</t>
  </si>
  <si>
    <t>Coast. Eng.</t>
  </si>
  <si>
    <t>10.1016/j.coastaleng.2023.104419</t>
  </si>
  <si>
    <t>X5AR9</t>
  </si>
  <si>
    <t>WOS:001098580400001</t>
  </si>
  <si>
    <t>Gebru, TB; Zhang, QH; Dong, C; Hao, YF; Li, C; Yang, RQ; Li, YM; Jiang, GB</t>
  </si>
  <si>
    <t>Gebru, Tariku Bekele; Zhang, Qinghua; Dong, Cheng; Hao, Yanfen; Li, Cui; Yang, Ruiqiang; Li, Yingming; Jiang, Guibin</t>
  </si>
  <si>
    <t>The long-term spatial and temporal distributions of polychlorinated naphthalene air concentrations in Fildes Peninsula, West Antarctica</t>
  </si>
  <si>
    <t>Polychlorinated naphthalenes; Atmosphere; Antarctica; Temporal trend; Spatial distributions</t>
  </si>
  <si>
    <t>PERSISTENT ORGANIC POLLUTANTS; KING GEORGE ISLAND; CHAIN CHLORINATED PARAFFINS; DIOXIN-LIKE COMPOUNDS; ORGANOCHLORINE PESTICIDES; ROSS SEA; DIETARY EXPOSURE; TIBETAN PLATEAU; POLAR-REGIONS; HUMAN-MILK</t>
  </si>
  <si>
    <t>The knowledge of polychlorinated naphthalenes (PCNs) in the Antarctic atmosphere is quite limited compared to the Arctic. PCNs are a global concern because of their PBT characteristics (i.e., persistent, bioaccumulative, and toxic) and severe and often deadly biological effects on people and other animals. Therefore, the present study used a passive air sampling method to conduct long-term air monitoring of PCNs for almost a decade from 2013 to 2022, specifically on Fildes Peninsula, situated on King George Island, located in West Antarctica. The median sum of mono-CNs to octa-CN concentration ( n-ary sumation 75PCNs) in the Antarctic atmosphere was 12.4 pg/m3. In terms of homologues, mono-CNs to tri-CNs predominated. Among these, the prevalent congeners observed were PCN-1 and PCN-2, originating from mono-CNs, followed by PCN-5/7 from di-CNs, and PCN-24/14 from tri-CNs, respectively. Between 2013 and 2022, the total levels of PCNs were found to have decreased approximately fourfold. Ratio analyses and principal component analysis (PCA) showed that the long-range atmospheric transport and combustion-related sources as the potential PCN sources in the study area. This paper provides the most up-to-date temporal trend analysis of PCNs in the Antarctic continent and is the first to document all 75 congeners (mono-CNs to octa-CN homologue groups).</t>
  </si>
  <si>
    <t>[Gebru, Tariku Bekele; Zhang, Qinghua; Dong, Cheng; Yang, Ruiqiang; Li, Yingming; Jiang, Guibin] Chinese Acad Sci, Res Ctr Ecoenvironm Sci, State Key Lab Environm Chem &amp; Ecotoxicol, Beijing 100085, Peoples R China; [Gebru, Tariku Bekele; Zhang, Qinghua; Dong, Cheng; Li, Cui; Yang, Ruiqiang; Li, Yingming; Jiang, Guibin] Univ Chinese Acad Sci, Beijing 100049, Peoples R China; [Gebru, Tariku Bekele] Mekelle Univ, Coll Nat &amp; Computat Sci, Dept Chem, Mekelle 231, Ethiopia; [Zhang, Qinghua; Yang, Ruiqiang; Jiang, Guibin] Univ Chinese Acad Sci, Hangzhou Inst Adv Study, Sch Environm, Hangzhou 310024, Peoples R China; [Hao, Yanfen] Jianghan Univ, Sch Environm &amp; Hlth, State Key Lab Precis Blasting, Wuhan 430056, Peoples R China</t>
  </si>
  <si>
    <t>Chinese Academy of Sciences; Research Center for Eco-Environmental Sciences (RCEES); Chinese Academy of Sciences; University of Chinese Academy of Sciences, CAS; Mekelle University; Chinese Academy of Sciences; University of Chinese Academy of Sciences, CAS; Jianghan University</t>
  </si>
  <si>
    <t>Li, YM (corresponding author), Chinese Acad Sci, Res Ctr Ecoenvironm Sci, State Key Lab Environm Chem &amp; Ecotoxicol, Beijing 100085, Peoples R China.</t>
  </si>
  <si>
    <t>ymli@rcees.ac.cn</t>
  </si>
  <si>
    <t>Yao, Chen/JVD-6226-2023; wang, shuo/KCL-3379-2024; Zhang, Qinghua/L-7652-2019; yu, xiao/KFT-1725-2024; cheng, dong/KHD-3668-2024; WANG, YUHAO/KBB-0213-2024; tian, ye/KGL-6485-2024</t>
  </si>
  <si>
    <t>Zhang, Qinghua/0000-0001-9086-7000;</t>
  </si>
  <si>
    <t>National Key Research and Development Program of China [2020YFA0608503]; National Natural Science Foundation of China [22193052]; CAS-TWAS President's Fellowship; Special Project of Eco-Environmental Technology for Peak Carbon Dioxide Emissions and Carbon Neutrality [RCEES-TDZ-2021-23]</t>
  </si>
  <si>
    <t>National Key Research and Development Program of China; National Natural Science Foundation of China(National Natural Science Foundation of China (NSFC)); CAS-TWAS President's Fellowship; Special Project of Eco-Environmental Technology for Peak Carbon Dioxide Emissions and Carbon Neutrality</t>
  </si>
  <si>
    <t>The research conducted in this study received financial support from multiple sources, including the National Key Research and Development Program of China (grant number 2020YFA0608503) , the National Natural Science Foundation of China (grant number 22193052) , and the Special Project of Eco-Environmental Technology for Peak Carbon Dioxide Emissions and Carbon Neutrality (grant number RCEES-TDZ-2021-23) . Tariku Bekele Gebru was awarded the CAS-TWAS President's Fellowship, which provides sponsorship for international Ph.D. students.</t>
  </si>
  <si>
    <t>FEB 5</t>
  </si>
  <si>
    <t>10.1016/j.jhazmat.2023.132824</t>
  </si>
  <si>
    <t>Y4NU6</t>
  </si>
  <si>
    <t>WOS:001105053700001</t>
  </si>
  <si>
    <t>Sáez, CA; Troncoso, M; Navarrete, C; Rodríguez-Rojas, F; Navarro, N; Trabal, A; Lavergne, C; Pardo, D; Brown, MT; Gómez, I; Figueroa, FL; Celis-Plá, PSM</t>
  </si>
  <si>
    <t>Saez, Claudio A.; Troncoso, Macarena; Navarrete, Camilo; Rodriguez-Rojas, Fernanda; Navarro, Nelso; Trabal, Andres; Lavergne, Celine; Pardo, Diego; Brown, Murray T.; Gomez, Ivan; Figueroa, Felix L.; Celis-Pla, Paula S. M.</t>
  </si>
  <si>
    <t>Photoprotective responses of three intertidal Antarctic macroalgae to short-term temperature stress</t>
  </si>
  <si>
    <t>Antarctic seaweeds; photoprotective responses; carotenoids; phenolic compounds; mycosporine-like amino acids</t>
  </si>
  <si>
    <t>AMINO-ACIDS; CYSTOSEIRA-TAMARISCIFOLIA; CAROTENOID COMPOSITION; ULTRAVIOLET-RADIATION; ANTIOXIDANT RESPONSES; GENE-EXPRESSION; UV-RADIATION; RED ALGAE; MARINE; PHOTOSYNTHESIS</t>
  </si>
  <si>
    <t>The Antarctic Peninsula is experiencing one of the highest warming rates globally. In polar regions, macroalgae thrive under extreme environmental conditions, which could worsen because of future climate change scenarios, including increased ultraviolet exposure, extremely low light availability, and fluctuating temperatures, particularly in the intertidal zones. To investigate the potential role of photoprotective and antioxidant mechanisms in response to future increases in sea surface temperatures caused by climate change, we conducted laboratory experiments using three intertidal macroalgae model species: Adenocystis utricularis (Ochrophyta, Phaeophyceae), Pyropia endiviifolia (Rhodophyta, Bangiophyceae), and Monostroma hariotii (Chlorophyta, Ulvophyceae). These algae were collected in Punta Artigas (King George Island, Antarctica) and acclimated at 2 degrees C for 48 h. They were then assessed in laboratory experiments for up to 5 days under two treatments: (1) control conditions at 2 degrees C and (2) elevated tem.perature conditions at 8 degrees C, representing the most negative increment in SSTs estimated by the end of the 21st century. Carbon, nitrogen, pigments (chlorophylls and carotenoids), mycosporine-like amino acids (MAAs), and phenolic compounds were quantified after 3 and 5 days of exposure. For M. hariotii, elevated temperatures led to an increase in the C/N ratio, total antioxidant capacity, and levels of nitrogen, total carotenoids, chlorophyll-a, pigments (chlorophyll-b and violaxanthin), and phenolic compounds. For A. utricularis, elevated temperatures led to elevated C/N ratio and levels of chlorophyll-a and carotenoids (fucoxanthin and beta-carotene). For P. endiviifolia, elevated temperatures resulted in elevated levels of carotenoids (lutein and beta-carotene), phenolic compounds, and MAAs (porphyra-334, shinorine, and palythine). Thus, our study suggests that increasing water temperatures due to global warming can enhance the photoprotective abilities of three Antarctic intertidal macroalgae (M. hariotii, A. utricularis, and P. endiviifolia), with each species showing specific responses.</t>
  </si>
  <si>
    <t>[Saez, Claudio A.; Troncoso, Macarena; Navarrete, Camilo; Rodriguez-Rojas, Fernanda; Trabal, Andres; Lavergne, Celine; Pardo, Diego; Celis-Pla, Paula S. M.] Univ Playa Ancha, Lab Invest Acuat Ambiental LACER, HUB AMBIENTAL UPLA, Valparaiso, Chile; [Saez, Claudio A.; Rodriguez-Rojas, Fernanda; Lavergne, Celine; Celis-Pla, Paula S. M.] Univ Playa Ancha, Fac Ciencias Nat &amp; Exactas, Dept Ciencias &amp; Geog, Valparaiso, Chile; [Saez, Claudio A.] Univ Alicante, Fac Ciencias, Dept Ciencias Mar &amp; Biol Aplicada, Alicante, Spain; [Troncoso, Macarena; Navarrete, Camilo] Univ Playa Ancha, Fac Ciencias Nat &amp; Exactas, Doctorado Interdisciplinario Ciencias Ambientales, Valparaiso, Chile; [Navarro, Nelso] Univ Magallanes, Fac Ciencias, Dept Ciencias &amp; Recursos Nat, Punta Arenas, Chile; [Navarro, Nelso; Gomez, Ivan] Ctr Invest Dinam Ecosistemas Marinos Altas Latitud, Punta Arenas, Chile; [Brown, Murray T.] Univ Plymouth, Sch Biol &amp; Marine Sci, Plymouth, Devon, England; [Gomez, Ivan] Univ Austral Chile, Fac Ciencias, Inst Ciencias Marinas &amp; Limnol, Valdivia, Chile; [Figueroa, Felix L.] Univ Malaga, Ctr Expt Grice Hutchinson, Inst Andaluz Biotecnol &amp; Desarrollo Azul IBYDA, Malaga, Spain</t>
  </si>
  <si>
    <t>Universidad de Playa Ancha; Universidad de Playa Ancha; Universitat d'Alacant; Universidad de Playa Ancha; Universidad de Magallanes; University of Plymouth; Universidad Austral de Chile; Universidad de Malaga</t>
  </si>
  <si>
    <t>Celis-Plá, PSM (corresponding author), Univ Playa Ancha, Lab Invest Acuat Ambiental LACER, HUB AMBIENTAL UPLA, Valparaiso, Chile.;Celis-Plá, PSM (corresponding author), Univ Playa Ancha, Fac Ciencias Nat &amp; Exactas, Dept Ciencias &amp; Geog, Valparaiso, Chile.</t>
  </si>
  <si>
    <t>Financial and logistical support were granted by the Projects INACH Ndegrees RG_10_18 and RT_09_16 granted to PC-P and CS, respectively. [INACH Ndegrees RG_10_18, RT_09_16]</t>
  </si>
  <si>
    <t>Financial and logistical support were granted by the Projects INACH Ndegrees RG_10_18 and RT_09_16 granted to PC-P and CS, respectively.</t>
  </si>
  <si>
    <t>Financial and logistical support were granted by the Projects INACH N degrees RG_10_18 and RT_09_16 granted to PC-P and CS, respectively.</t>
  </si>
  <si>
    <t>OCT 25</t>
  </si>
  <si>
    <t>10.3389/fmars.2023.1223853</t>
  </si>
  <si>
    <t>X5LW4</t>
  </si>
  <si>
    <t>WOS:001098873500001</t>
  </si>
  <si>
    <t>Busetti, M; Geletti, R; Civile, D; Sauli, C; Brancatelli, G; Forlin, E; Accettella, D; Savonuzzi, LB; De Santis, L; Vesnaver, A; Cova, A</t>
  </si>
  <si>
    <t>Busetti, Martina; Geletti, Riccardo; Civile, Dario; Sauli, Chiara; Brancatelli, Giuseppe; Forlin, Edy; Accettella, Daniela; Savonuzzi, Lorenza Barro; De Santis, Laura; Vesnaver, Aldo; Cova, Andrea</t>
  </si>
  <si>
    <t>Geophysical evidence of a large occurrence of mud volcanoes associated with gas plumbing system in the Ross Sea (Antarctica)</t>
  </si>
  <si>
    <t>GEOSCIENCE FRONTIERS</t>
  </si>
  <si>
    <t>Ross Sea; Antarctica; Mud volcanoes; Gas plumbing system; Gas hydrate; Bottom Simulating Reflector</t>
  </si>
  <si>
    <t>NORTHERN VICTORIA LAND; ICE-SHEET; BASIN; DEEP; SHELF; STRATIGRAPHY; OLIGOCENE; BIOLOGY; ISLAND; REEFS</t>
  </si>
  <si>
    <t>Seafloor and buried reliefs occur along continental margin of the Ross Sea (Antarctica). These features are several kilometres wide and tens of metres high, exhibiting cone or flat-top dome shapes. Previous stud-ies have proposed a volcanic or glacial origin for these formations, but these hypotheses do not account for all the available evidence.In this study, we use morpho-bathymetric data, intermediate resolution multichannel seismic and high resolution chirp profiles, as well as magnetic lines to investigate these clusters of mounds. By employing targeted processing techniques to enhance the geophysical characterization of the seafloor and buried reliefs, and to understand the underlying geological features, we propose that the reliefs are mud volca-noes. Some of these formations appear to be associated with a plumbing system, as indicated by acoustic anomalies linked to sediment containing gas. These formations are likely fed by clayey source rocks of Miocene age. Additionally, other reliefs might be the result of mud mobilisation caused by gravity insta-bility and fluid overpressure.(c) 2023 China University of Geosciences (Beijing) and Peking University. Published by Elsevier B.V. on behalf of China University of Geosciences (Beijing). This is an open access article under the CC BY-NC-ND license (http://creativecommons.org/licenses/by-nc-nd/4.0/).</t>
  </si>
  <si>
    <t>[Busetti, Martina; Geletti, Riccardo; Civile, Dario; Sauli, Chiara; Brancatelli, Giuseppe; Forlin, Edy; Accettella, Daniela; Savonuzzi, Lorenza Barro; De Santis, Laura; Vesnaver, Aldo; Cova, Andrea] Natl Inst Oceanog &amp; Appl Geophys OGS, Borgo Grotta Gigante 42-C, I-34010 Trieste, Italy</t>
  </si>
  <si>
    <t>Istituto Nazionale di Oceanografia e di Geofisica Sperimentale</t>
  </si>
  <si>
    <t>Busetti, M (corresponding author), Natl Inst Oceanog &amp; Appl Geophys OGS, Borgo Grotta Gigante 42-C, I-34010 Trieste, Italy.</t>
  </si>
  <si>
    <t>mbusetti@ogs.it</t>
  </si>
  <si>
    <t>; Busetti, Martina/L-5185-2014</t>
  </si>
  <si>
    <t>Civile, Dario/0000-0002-2809-0015; Geletti, Riccardo/0000-0002-6574-011X; Vesnaver, Aldo/0000-0001-9900-1764; Forlin, Edy/0000-0002-6756-7277; Brancatelli, Giuseppe/0000-0003-0301-7804; Busetti, Martina/0000-0001-7039-3282; ACCETTELLA, Daniela/0000-0001-8886-6607</t>
  </si>
  <si>
    <t>Aspen Technology Inc [PNRA18_00002]; Teledyne Reson; [PDS2000]</t>
  </si>
  <si>
    <t>Aspen Technology Inc; Teledyne Reson;</t>
  </si>
  <si>
    <t>The data used were collected during several cruises. The multi-channel seismic profiles are available through the Antarctic Seismic Data Library System for Cooperative Research (https://sdls. ogs.trieste.it) . The swath bathymetry data (MB) and the chirp sub-bottom profilers in the western Ross Sea were acquired in 2006 among the PNRA project Framing the kinematics and timing of the Cenozoic tectonics in the VIctoria LanD/Ross Sea region within the activity of the Southern Ocean Fracture Zones (VILD) , and we thank the Captain F. Sedmak, the crew and OGS engineers and technicians of the R/V OGS Explora for their assistance during the cruises, in particu-lar driving the ship in extreme sea ice conditions. The PNRA OGS multichannel seismic data collected in 1988 and 1990 was revisited and reprocessed among the PNRA project Seismic dataVALorization: methods for FLUid detection within polar sediments and study for georisk and environment (VALFLU) . The BGR and USGS seismic data were made available among collaborative projects and reprocessed by L. Barro Savonuzzi for the master thesis in the frame of the PNRA18_00002 ANTIPODE Project and published in Barro Savonuzzi et al., (2023) . The authors thank the IHS Markit (R) of S &amp; P Global that provide the educational licence of the KingdomTM software for seismic interpretation, the Aspen Technology Inc for the academic licences of Echos and Geodepth, Promax from Landmark, and the Schlum-berger (R) for the educational and academic licences of Vista (R) soft-ware, for seismic processing, Teledyne Reson PDS2000 and Teledyne Caris software for multibeam data processing.r VALorization: methods for FLUid detection within polar sediments and study for georisk and environment (VALFLU) . The BGR and USGS seismic data were made available among collaborative projects and reprocessed by L. Barro Savonuzzi for the master thesis in the frame of the PNRA18_00002 ANTIPODE Project and published in Barro Savonuzzi et al., (2023) . The authors thank the IHS Markit (R) of S&amp;P Global that provide the educational licence of the KingdomTM software for seismic interpretation, the Aspen Technology Inc for the academic licences of Echos and Geodepth, Promax from Landmark, and the Schlum-berger (R) for the educational and academic licences of Vista (R) soft-ware, for seismic processing, Teledyne Reson PDS2000 and Teledyne Caris software for multibeam data processing.</t>
  </si>
  <si>
    <t>CHINA UNIV GEOSCIENCES, BEIJING</t>
  </si>
  <si>
    <t>HAIDIAN DISTRICT</t>
  </si>
  <si>
    <t>29 XUEYUAN RD, HAIDIAN DISTRICT, 100083, PEOPLES R CHINA</t>
  </si>
  <si>
    <t>1674-9871</t>
  </si>
  <si>
    <t>GEOSCI FRONT</t>
  </si>
  <si>
    <t>Geosci. Front.</t>
  </si>
  <si>
    <t>10.1016/j.gsf.2023.101727</t>
  </si>
  <si>
    <t>X5JT9</t>
  </si>
  <si>
    <t>WOS:001098818900001</t>
  </si>
  <si>
    <t>Hodgson, DA; Roberts, SJ; Izagirre, E; Perren, BB; De Vleeschouwer, F; Davies, SJ; Bishop, T; Mcculloch, RD; Aravena, JC</t>
  </si>
  <si>
    <t>Hodgson, Dominic A.; Roberts, Stephen J.; Izagirre, Enaut; Perren, Bianca B.; De Vleeschouwer, Francois; Davies, Sarah J.; Bishop, Thomas; Mcculloch, Robert D.; Aravena, Juan -Carlos</t>
  </si>
  <si>
    <t>Southern limit of the Patagonian Ice Sheet</t>
  </si>
  <si>
    <t>Quaternary; Glaciation; South America; Patagonia; Geomorphology; Last Glacial Maximum</t>
  </si>
  <si>
    <t>CORDILLERA DARWIN GLACIERS; TIERRA-DEL-FUEGO; BAHIA INUTIL; CENTRAL STRAIT; MASS-LOSS; DEGLACIATION; MAGELLAN; FLUCTUATIONS; GLACIATION; AMERICA</t>
  </si>
  <si>
    <t>The southern limit of the Patagonian Ice Sheet at glacial maxima is poorly constrained due to a paucity of field data. This particularly applies to southern outlet glaciers of the Cordillera Darwin whose full extents have been debated by glacial geologists since 1899 CE, introducing uncertainty into estimates of total ice volume. Here we report on the stratigraphy of exposed stratigraphic sections on the west coast of Isla Hermite which include glacial diamict with discontinuous boulder pavement, overlain by successions of peats and sandy silt. The location of these sections, orientation of clasts within the glacial diamict, and geomorphology of the adjacent marine trough, suggest that an ice stream extended south from an ice centre at Cordillera Darwin across an extended Magellan outwash plain, through Paso Mantellero, to Islas Hermite and Cabo de Hornos (Cape Horn). This was similar in extent to the Canal Beagle and Lago Fagnano Ice Lobes which extended to the east. Retreat occurred sometime before 12,880 cal yr BP based on radiocarbon dated peat macrofossils immediately overlying the glacial diamict. We discuss whether this is a close minimum age, or a product of delayed onset of peat accumulation at the sampling site.</t>
  </si>
  <si>
    <t>[Hodgson, Dominic A.; Roberts, Stephen J.; Perren, Bianca B.] British Antarctic Survey, High Cross Madingley Rd, Cambridge CB3 0ET, England; [Izagirre, Enaut] Univ Basque Country, Dept Geog Prehist &amp; Archaeol, UPV, EHU, Vitoria, Spain; [De Vleeschouwer, Francois] Univ Buenos Aires, Dept Ciencias Atmosfera &amp; Oceanos, Inst Franco Argentino Estudio Clima &amp; sus Impactos, CNRS,IRD,CONICET,UBA, Buenos Aires, Argentina; [Davies, Sarah J.] Aberystwyth Univ, Geog &amp; Earth Sci, Llandinam Bldg,Penglais Campus, Aberystwyth SY23 3DB, Wales; [Bishop, Thomas] Dept Geog, Arthur Lewis Bldg,Oxford Rd, Manchester M13 9PL, Lancashire, England; [Mcculloch, Robert D.] Ctr Invest Ecosistemas Patagonia, Coyhaique, Aysen, Chile; [Mcculloch, Robert D.] Univ Edinburgh, Sch Geosci, Edinburgh EH8 9XP, Scotland; [Aravena, Juan -Carlos] Univ Magallanes, Ctr Invest Gaia Antart, Punta Arenas, Chile; [Aravena, Juan -Carlos] Cape Horn Int Ctr CHIC, Puerto Williams 6350000, Chile</t>
  </si>
  <si>
    <t>UK Research &amp; Innovation (UKRI); Natural Environment Research Council (NERC); NERC British Antarctic Survey; University of Basque Country; University of Buenos Aires; Consejo Nacional de Investigaciones Cientificas y Tecnicas (CONICET); Aberystwyth University; University of Edinburgh; Universidad de Magallanes</t>
  </si>
  <si>
    <t>Hodgson, DA (corresponding author), British Antarctic Survey, High Cross Madingley Rd, Cambridge CB3 0ET, England.</t>
  </si>
  <si>
    <t>daho@bas.ac.uk</t>
  </si>
  <si>
    <t>Hodgson, Dominic/0000-0002-3841-3746; Bishop, Thomas/0000-0001-8253-9293; Perren, Bianca/0000-0001-6089-6468; McCulloch, Robert/0000-0001-5542-3703; Izagirre, Enaut/0000-0001-8502-7824</t>
  </si>
  <si>
    <t>NERC [NE K004515 1]; Fondecyt [1130381, R20F0002]; ANID/BASAL [1200727]; CNRS INSU-ARTEMIS; ANID [FB210018]</t>
  </si>
  <si>
    <t>NERC(UK Research &amp; Innovation (UKRI)Natural Environment Research Council (NERC)); Fondecyt(Comision Nacional de Investigacion Cientifica y Tecnologica (CONICYT)CONICYT FONDECYT); ANID/BASAL; CNRS INSU-ARTEMIS; ANID</t>
  </si>
  <si>
    <t>Fieldwork was planned and facilitated by colleagues at Instituto Antartico Chileno (INACH) including Jose Retamales (Director), Dr Marcelo Leppe (Head of Scientific Department), Javier S. Arata (Collaborating scientist) Felix Bartsch, Wendy Rubio, Antonio Supanar (Head of Logistics and Science support), Universidad de Magallanes (J-C A, EI) and Ashly Fusiarski (BAS). The Armada de Chile is thanked for field input by the Captain and crews of icebreaker Almirante Oscar Viel, uplift by the Coastguard vessel CNS Alacalufe and permission to use hydrographic data. DAH, SJR and BBP were supported by NERC grant NE K004515 1. EI was supported by Fondecyt 1130381. J-CA was supported by Fondecyt 1130381 and ANID/BASAL FB210018. FDV was supported by a CNRS INSU-ARTEMIS grant for the AMS 14C at the LMC14 Laboratory in Saclay, Paris. RMcC was supported by ANID R20F0002 (PATSER) and Fondecyt 1200727. Laura Gerrish and Bonnie-Claire Pickard (BAS) provided mapping expertise for Figs. 2 and 8. Steve Colwell (BAS), Paola Uribe Raibaudi (Direccion Meteorologica de Chile) and Felipe Rifo Esposito (Jefe Centro Meteorologico Maritimo Region de Magallanes y Antartica Chilena, Armada de Chile) are thanked for meteorological data from Cape Horn. The research was carried out under permits from Corporacion Nacional Forestal Region de Magallanes y Antartica Chilena (334/2014) and Ministerio de Relaciones Exteriores Direccion de Fronteras y Limites del Estado (320/2014). We thank Bethan Davies and Sebastien Bertrand for their constructive reviews.</t>
  </si>
  <si>
    <t>10.1016/j.quascirev.2023.108346</t>
  </si>
  <si>
    <t>X7DJ4</t>
  </si>
  <si>
    <t>WOS:001100010100001</t>
  </si>
  <si>
    <t>Durkin, K; Day, JMD; Panter, KS; Xu, JF; Castillo, PR</t>
  </si>
  <si>
    <t>Durkin, K.; Day, J. M. D.; Panter, K. S.; Xu, J. -F.; Castillo, P. R.</t>
  </si>
  <si>
    <t>Petrogenesis of alkaline magmas across a continent to ocean transect, northern Ross Sea, Antarctica</t>
  </si>
  <si>
    <t>CHEMICAL GEOLOGY</t>
  </si>
  <si>
    <t>Continent -ocean transition; Continental alkaline lavas; OIB-like lavas; Recycled oceanic lithosphere; FOZO; Osmium</t>
  </si>
  <si>
    <t>MARIE-BYRD-LAND; VICTORIA-LAND; OXYGEN-ISOTOPE; NEW-ZEALAND; WEST ANTARCTICA; LITHOSPHERIC MANTLE; LATE MIOCENE; O ISOTOPE; EVOLUTION; BASALTS</t>
  </si>
  <si>
    <t>The West Antarctic Rift System (WARS) is one of the world's largest active rift systems and alkaline magmatic provinces. The alkaline magmatism crosscuts oceanic and continental lithosphere but maintains generally similar Sr-Nd-Pb isotope signatures. Here we present new major-, trace-and highly siderophile-element (Os, Ir, Ru, Pt, Pd, Re) abundances and Sr-Nd-Pb-Os isotope data for a Miocene to recent WARS alkaline basalt suite from a continental-oceanic transect in the northwest Ross Sea. The samples are geochemically enriched similar to ocean island basalts, with oceanic lavas having higher absolute incompatible trace element abundances than conti-nental lavas. The suite exhibits a large range in measured 187Re/188Os (1.7 to 1305) and age-corrected 187Os/188Os (0.1254 to 1.055) that has a positive, highly curved relationship with measured 87Sr/86Sr (0.70287-0.70331), but a negative, highly curved relationship with both measured 143Nd/144Nd (0.51280-0.51300) and 206Pb/204Pb (19.237-20.237). These data suggest that contamination by a mafic con-tinental lithospheric component has occurred to varying degrees and exerts some control on the geochemistry of the continental lavas. Primitive lavas from the oceanic Adare Basin that have experienced negligible contami-nation are used to constrain the primary source of northwest Ross Sea alkaline lavas and to assess previously proposed hypotheses regarding the origin of magmatism. Explanations for the origin of WARS alkaline lavas range from plume magmatism to partial melting of continental lithospheric mantle metasomatized by subduction fluids prior to cessation of subduction of the Phoenix Plate underneath the Gondwana margin. Samples from the continental-oceanic transect, however, neither exhibit classic arc-lava geochemical signatures nor provide any evidence to support an active mantle plume source. Rather, they are geochemically enriched magmas generated through partial melting of previously subducted oceanic lithospheric mantle concomitant with continental lithospheric thinning during the Cenozoic.</t>
  </si>
  <si>
    <t>[Durkin, K.; Day, J. M. D.; Castillo, P. R.] Univ Calif San Diego, Scripps Inst Oceanog, La Jolla, CA 92093 USA; [Panter, K. S.] Bowling Green State Univ, Bowling Green, OH 43403 USA; [Xu, J. -F.] China Univ Geosci Beijing, Beijing 100083, Peoples R China</t>
  </si>
  <si>
    <t>University of California System; University of California San Diego; Scripps Institution of Oceanography; University System of Ohio; Bowling Green State University; China University of Geosciences</t>
  </si>
  <si>
    <t>Castillo, PR (corresponding author), Univ Calif San Diego, Scripps Inst Oceanog, La Jolla, CA 92093 USA.</t>
  </si>
  <si>
    <t>pcastillo@ucsd.edu</t>
  </si>
  <si>
    <t>Day, James MD/A-5099-2010</t>
  </si>
  <si>
    <t>National Science Foundation [NSF-1333698, EAR -1918322]</t>
  </si>
  <si>
    <t>This work was funded by National Science Foundation grants (NSF-1333698; EAR -1918322) to P. Castillo and J. Day. We sincerely thank N. Juda for assistance in the analysis, the two anonymous reviewers for their detailed and constructive comments that greatly improve the manuscript and S. Aulbach for excellent editorial handling.</t>
  </si>
  <si>
    <t>0009-2541</t>
  </si>
  <si>
    <t>1872-6836</t>
  </si>
  <si>
    <t>CHEM GEOL</t>
  </si>
  <si>
    <t>Chem. Geol.</t>
  </si>
  <si>
    <t>10.1016/j.chemgeo.2023.121780</t>
  </si>
  <si>
    <t>W9ZD6</t>
  </si>
  <si>
    <t>WOS:001095131200001</t>
  </si>
  <si>
    <t>Luo, GN; Qin, J; Huang, SJ; Wang, YJ; Mbululo, Y</t>
  </si>
  <si>
    <t>Luo, Guining; Qin, Jun; Huang, Sijing; Wang, Yajuan; Mbululo, Yassin</t>
  </si>
  <si>
    <t>Influence of geomagnetic activity on the southern atmosphere and its cross-seasonal association with SAM</t>
  </si>
  <si>
    <t>Eliassen-Palm flux; energetic particle precipitation; Ferrel circulation; geomagnetic activity; southern annular mode</t>
  </si>
  <si>
    <t>ENERGETIC PARTICLE-PRECIPITATION; QUASI-BIENNIAL OSCILLATION; NORTHERN ANNULAR MODE; ANTARCTIC OSCILLATION; OZONE; SOLAR; TEMPERATURE; VARIABILITY; CIRCULATION; HEMISPHERE</t>
  </si>
  <si>
    <t>This study investigates the interannual cross-seasonal association between the winter energetic particle precipitation, which is related to the geomagnetic activity (GA), and the southern annular mode (SAM) in the following summer by employing the ERA5 reanalysis dataset. The results reveal a marked negative correlation between these variables on an interannual timescale. Therefore, we analyse the GA signatures in the southern atmosphere and find that the evolution of SAM to the negative phase driven by GA may be caused by the following two mechanisms: First, for high GA levels, the middle and lower stratospheric polar vortex becomes weaker from October to November, with considerable changes in the stratospheric thermal structure and more anomalous planetary wave upwelling, accompanied by weakening of the circumpolar westerly. Over time, the anomalous signal from the upper layer can be transmitted downward and is conducive to inducing and strengthening the negative SAM in the following summer, which may serve as the stratospheric pathway for the geomagnetic impact on the SAM and Southern Hemisphere (SH) climate. Second, another possible way is that the preceding GA also appreciably regulates negative anomalies in the Ferrel circulation in SH, implying poleward anomalies in the direction of the pressure gradient, which promotes the development and enhancement of the negative phase of the SAM. In addition, easterly quasi-biennial oscillation conditioning plays a positive role in the response of the southern atmosphere to geomagnetic forcing, thereby strengthening the connection between them.</t>
  </si>
  <si>
    <t>[Luo, Guining; Qin, Jun; Huang, Sijing; Wang, Yajuan] China Univ Geosci Wuhan, Sch Environm Studies, Dept Atmospher Sci, Wuhan, Hubei, Peoples R China; [Mbululo, Yassin] Sokoine Univ Agr, Dept Geog &amp; Environm Studies, Morogoro, Tanzania; [Qin, Jun] China Univ Geosci Wuhan, Sch Environm Studies, Dept Atmospher Sci, Wuhan 430074, Hubei, Peoples R China</t>
  </si>
  <si>
    <t>China University of Geosciences; Sokoine University of Agriculture; China University of Geosciences</t>
  </si>
  <si>
    <t>Qin, J (corresponding author), China Univ Geosci Wuhan, Sch Environm Studies, Dept Atmospher Sci, Wuhan 430074, Hubei, Peoples R China.</t>
  </si>
  <si>
    <t>qinjun@cug.edu.cn</t>
  </si>
  <si>
    <t>huang, sijing/IYS-1040-2023</t>
  </si>
  <si>
    <t>guining, Luo/0000-0002-5344-1518</t>
  </si>
  <si>
    <t>The authors would like to thank Prof. Zhong-Shi Zhang for his helpful suggestions and Mr. Zheng-Xuan Yuan for providing support in data visualization. The authors would like to thank the European Center for Medium-Range Weather Forecasts and the World Data [XDA19070402]; Strategic Priority Research Program of the Chinese Academy of Sciences</t>
  </si>
  <si>
    <t>The authors would like to thank Prof. Zhong-Shi Zhang for his helpful suggestions and Mr. Zheng-Xuan Yuan for providing support in data visualization. The authors would like to thank the European Center for Medium-Range Weather Forecasts and the World Data; Strategic Priority Research Program of the Chinese Academy of Sciences(Chinese Academy of Sciences)</t>
  </si>
  <si>
    <t>The authors would like to thank Prof. Zhong-Shi Zhang for his helpful suggestions and Mr. Zheng-Xuan Yuan for providing support in data visualization. The authors would like to thank the European Center for Medium-Range Weather Forecasts and the World Data Center for providing the data used in this study. This study was jointly supported by the Strategic Priority Research Program of the Chinese Academy of Sciences (grant XDA19070402).</t>
  </si>
  <si>
    <t>10.1002/joc.8290</t>
  </si>
  <si>
    <t>WOS:001090969100001</t>
  </si>
  <si>
    <t>Murphy, KJ; Pecl, GT; Everett, JD; Heneghan, RF; Richards, SA; Richardson, AJ; Semmens, JM; Blanchard, JL</t>
  </si>
  <si>
    <t>Murphy, Kieran J.; Pecl, Gretta T.; Everett, Jason D.; Heneghan, Ryan F.; Richards, Shane A.; Richardson, Anthony J.; Semmens, Jayson M.; Blanchard, Julia L.</t>
  </si>
  <si>
    <t>Improving the biological realism of predator-prey size relationships in food web models alters ecosystem dynamics</t>
  </si>
  <si>
    <t>cephalopods; functional traits; predator-prey interactions; size spectrum; trophic allometry</t>
  </si>
  <si>
    <t>BODY-SIZE; SPECTRA; CEPHALOPODS; SCALE; SQUID</t>
  </si>
  <si>
    <t>Body-size relationships between predators and prey exhibit remarkable diversity. However, the assumption that predators typically consume proportionally smaller prey often underlies size-dependent predation in ecosystem models. In reality, some animals can consume larger prey or exhibit limited changes in prey size as they grow larger themselves. These distinct predator-prey size relationships challenge the conventional assumptions of traditional size-based models. Cephalopods, with their diverse feeding behaviours and life histories, offer an excellent case study to investigate the impact of greater biological realism in predator-prey size relationships on energy flow within a size-structured ecosystem model. By categorizing cephalopods into high and low-activity groups, in line with empirically derived, distinct predator-prey size relationships, we found that incorporating greater biological realism in size-based feeding reduced ecosystem biomass and production, while simultaneously increasing biomass stability and turnover. Our results have broad implications for ecosystem modelling, since distinct predator-prey size relationships extend beyond cephalopods, encompassing a wide array of major taxonomic groups from filter-feeding fishes to baleen whales. Incorporating a diversity of size-based feeding in food web models can enhance their ecological and predictive accuracy when studying ecosystem dynamics.</t>
  </si>
  <si>
    <t>[Murphy, Kieran J.; Pecl, Gretta T.; Semmens, Jayson M.; Blanchard, Julia L.] Univ Tasmania, Inst Marine &amp; Antarctic Studies, Hobart, Tas, Australia; [Murphy, Kieran J.; Blanchard, Julia L.] Univ Tasmania, Australian Ctr Excellence Antarctic Sci, Hobart, Tas, Australia; [Everett, Jason D.; Richardson, Anthony J.] Univ Queensland, Sch Environm, St Lucia, Qld 4072, Australia; [Everett, Jason D.] Univ New South Wales, Ctr Marine Sci &amp; Innovat, Sydney, NSW, Australia; [Heneghan, Ryan F.] Queensland Univ Technol, Sch Math Sci, Brisbane, Qld, Australia; [Richards, Shane A.] Univ Tasmania, Sch Nat Sci, Hobart, Tas, Australia; [Everett, Jason D.; Richardson, Anthony J.] CSIRO Environm, St Lucia, Qld, Australia; [Heneghan, Ryan F.] Univ Sunshine Coast, Sch Sci Technol &amp; Engn, Petrie, Australia</t>
  </si>
  <si>
    <t>University of Tasmania; University of Tasmania; University of Queensland; University of New South Wales Sydney; Queensland University of Technology (QUT); University of Tasmania; University of the Sunshine Coast</t>
  </si>
  <si>
    <t>Murphy, KJ (corresponding author), Univ Tasmania, Inst Marine &amp; Antarctic Studies, Hobart, Tas, Australia.;Murphy, KJ (corresponding author), Univ Tasmania, Australian Ctr Excellence Antarctic Sci, Hobart, Tas, Australia.</t>
  </si>
  <si>
    <t>kieran.murphy@utas.edu.au</t>
  </si>
  <si>
    <t>Richardson, Anthony J/B-3649-2010; Murphy, Kieran/C-1897-2017; Pecl, Gretta/D-7267-2011; Everett, Jason/C-4557-2008</t>
  </si>
  <si>
    <t>Richardson, Anthony J/0000-0002-9289-7366; Heneghan, Ryan/0000-0001-7626-1248; Murphy, Kieran/0000-0002-9697-2458; Pecl, Gretta/0000-0003-0192-4339; Everett, Jason/0000-0002-6681-8054; Richards, Shane/0000-0002-9638-5827</t>
  </si>
  <si>
    <t>We thank Mark Briffa, two anonymous reviewers and Christian Klug for their valuable comments that improved our manuscript during the review process.</t>
  </si>
  <si>
    <t>10.1098/rsbl.2023.0142</t>
  </si>
  <si>
    <t>U9ZX7</t>
  </si>
  <si>
    <t>WOS:001088328600001</t>
  </si>
  <si>
    <t>Cusset, F; Bustamante, P; Carravieri, A; Bertin, C; Brasso, R; Corsi, I; Dunn, M; Emmerson, L; Guillou, G; Hart, T; Juáres, M; Kato, A; Machado-Gaye, AL; Michelot, C; Olmastroni, S; Polito, M; Raclot, T; Santos, M; Schmidt, A; Southwell, C; Soutullo, A; Takahashi, A; Thiebot, JB; Trathan, P; Vivion, P; Waluda, C; Fort, J; Cherel, Y</t>
  </si>
  <si>
    <t>Cusset, Fanny; Bustamante, Paco; Carravieri, Alice; Bertin, Clement; Brasso, Rebecka; Corsi, Ilaria; Dunn, Michael; Emmerson, Louise; Guillou, Gael; Hart, Tom; Juares, Mariana; Kato, Akiko; Machado-Gaye, Ana Laura; Michelot, Candice; Olmastroni, Silvia; Polito, Michael; Raclot, Thierry; Santos, Mercedes; Schmidt, Annie; Southwell, Colin; Soutullo, Alvaro; Takahashi, Akinori; Thiebot, Jean-Baptiste; Trathan, Phil; Vivion, Pierre; Waluda, Claire; Fort, Jerome; Cherel, Yves</t>
  </si>
  <si>
    <t>Circumpolar assessment of mercury contamination: the Adélie penguin as a bioindicator of Antarctic marine ecosystems</t>
  </si>
  <si>
    <t>ECOTOXICOLOGY</t>
  </si>
  <si>
    <t>Feathers; Hg; Marine food web; Seabirds; Stable Isotopes; Southern Ocean</t>
  </si>
  <si>
    <t>PERSISTENT ORGANIC POLLUTANTS; SOUTHERN-OCEAN SEABIRDS; ADELIE PENGUINS; STABLE-ISOTOPES; PYGOSCELIS-ADELIAE; FORAGING STRATEGIES; CLIMATE-CHANGE; ENVIRONMENTAL CONTAMINATION; TEMPORAL VARIATION; WINTER MIGRATION</t>
  </si>
  <si>
    <t>Due to its persistence and potential ecological and health impacts, mercury (Hg) is a global pollutant of major concern that may reach high concentrations even in remote polar oceans. In contrast to the Arctic Ocean, studies documenting Hg contamination in the Southern Ocean are spatially restricted and large-scale monitoring is needed. Here, we present the first circumpolar assessment of Hg contamination in Antarctic marine ecosystems. Specifically, the Adelie penguin (Pygoscelis adeliae) was used as a bioindicator species, to examine regional variation across 24 colonies distributed across the entire Antarctic continent. Mercury was measured on body feathers collected from both adults (n = 485) and chicks (n = 48) between 2005 and 2021. Because penguins' diet represents the dominant source of Hg, feather delta 13C and delta 15N values were measured as proxies of feeding habitat and trophic position. As expected, chicks had lower Hg concentrations (mean +/- SD: 0.22 +/- 0.08 mu g center dot g-1) than adults (0.49 +/- 0.23 mu g center dot g-1), likely because of their shorter bioaccumulation period. In adults, spatial variation in feather Hg concentrations was driven by both trophic ecology and colony location. The highest Hg concentrations were observed in the Ross Sea, possibly because of a higher consumption of fish in the diet compared to other sites (krill-dominated diet). Such large-scale assessments are critical to assess the effectiveness of the Minamata Convention on Mercury. Owing to their circumpolar distribution and their ecological role in Antarctic marine ecosystems, Adelie penguins could be valuable bioindicators for tracking spatial and temporal trends of Hg across Antarctic waters in the future. Adelie penguins are relevant bioindicators of Hg contamination in Antarctic marine ecosystems.Feather Hg concentrations were measured in 24 breeding colonies (adults and chicks).The highest Hg concentrations were found in the Ross Sea.Both trophic ecology and colony location drove feather Hg concentrations.</t>
  </si>
  <si>
    <t>[Cusset, Fanny; Bustamante, Paco; Carravieri, Alice; Bertin, Clement; Guillou, Gael; Vivion, Pierre; Fort, Jerome] La Rochelle Univ, Littoral Environm &amp; Soc LIENSs, UMR 7266 CNRS, 2 Rue Olympe Gouges, F-17000 La Rochelle, France; [Cusset, Fanny; Carravieri, Alice; Kato, Akiko; Michelot, Candice; Cherel, Yves] La Rochelle Univ, Ctr Etud Biol Chize CEBC, UMR 7372 CNRS, F-79360 Villiers En Bois, France; [Bustamante, Paco] Inst Univ France IUF, 1 Rue Descartes, F-75005 Paris, France; [Brasso, Rebecka] Weber State Univ, Dept Zool, Ogden, UT USA; [Corsi, Ilaria; Olmastroni, Silvia] Univ Siena, Dept Phys Earth &amp; Environm Sci, I-53100 Siena, Italy; [Dunn, Michael; Trathan, Phil; Waluda, Claire] British Antarctic Survey, Cambridge, England; [Emmerson, Louise; Southwell, Colin] Dept Climate Change Energy Environm &amp; Water, Australian Antarctic Div, Canberra, ACT, Australia; [Hart, Tom] Oxford Brooke Univ, Dept Biol &amp; Med Sci, Oxford, England; [Juares, Mariana; Santos, Mercedes] Inst Antartico Argentino, Dept Biol Predadores Tope, Buenos Aires, Argentina; [Juares, Mariana] Consejo Nacl Invest Cient &amp; Tecn CONICET, Buenos Aires, Argentina; [Machado-Gaye, Ana Laura; Soutullo, Alvaro] Univ Republ, Ctr Univ Reg Este, Maldonado, Uruguay; [Michelot, Candice] Inst Maurice Lamontagne Peches &amp; Oceans Canada, Mont Joli, PQ, Canada; [Olmastroni, Silvia] Museo Nazl Antartide, Siena, Italy; [Polito, Michael] Louisiana State Univ, Baton Rouge, LA USA; [Raclot, Thierry] Univ Strasbourg, CNRS, Inst Pluridisciplinaire Hubert Curien, Dept Ecol,UMR 7178, F-67087 Strasbourg, France; [Schmidt, Annie] Point Blue Conservat Sci, Petaluma, CA USA; [Takahashi, Akinori; Thiebot, Jean-Baptiste] Natl Inst Polar Res, 10-3 Midori Cho, Tachikawa, Tokyo 1908518, Japan; [Thiebot, Jean-Baptiste] Hokkaido Univ, Grad Sch Fisheries Sci, Minato cho 3-1-1, Hakodate 0418611, Japan</t>
  </si>
  <si>
    <t>Centre National de la Recherche Scientifique (CNRS); CNRS - Institute of Ecology &amp; Environment (INEE); Centre National de la Recherche Scientifique (CNRS); CNRS - Institute of Ecology &amp; Environment (INEE); Institut Universitaire de France; Utah System of Higher Education; Weber State University; University of Siena; UK Research &amp; Innovation (UKRI); Natural Environment Research Council (NERC); NERC British Antarctic Survey; Australian Antarctic Division; Instituto Antartico Argentino; Consejo Nacional de Investigaciones Cientificas y Tecnicas (CONICET); Universidad de la Republica, Uruguay; Fisheries &amp; Oceans Canada; Louisiana State University System; Louisiana State University; Universites de Strasbourg Etablissements Associes; Universite de Strasbourg; Centre National de la Recherche Scientifique (CNRS); CNRS - National Institute of Nuclear and Particle Physics (IN2P3); Research Organization of Information &amp; Systems (ROIS); National Institute of Polar Research (NIPR) - Japan; Hokkaido University</t>
  </si>
  <si>
    <t>Cusset, F (corresponding author), La Rochelle Univ, Littoral Environm &amp; Soc LIENSs, UMR 7266 CNRS, 2 Rue Olympe Gouges, F-17000 La Rochelle, France.;Cusset, F (corresponding author), La Rochelle Univ, Ctr Etud Biol Chize CEBC, UMR 7372 CNRS, F-79360 Villiers En Bois, France.</t>
  </si>
  <si>
    <t>cussetfanny@gmail.com</t>
  </si>
  <si>
    <t>Cusset, Fanny/JYP-3678-2024; Bustamante, Paco/G-5833-2011; Polito, Michael/G-9118-2012</t>
  </si>
  <si>
    <t>Bustamante, Paco/0000-0003-3877-9390; Polito, Michael/0000-0001-8639-4431; Schmidt, Annie/0000-0001-6144-9950; Juares, Mariana A./0000-0002-6763-0416; Bertin, Clement/0000-0002-1097-3856; Cusset, Fanny/0000-0001-6334-7237; MAchado Gaye, Ana Laura/0000-0002-1019-5062</t>
  </si>
  <si>
    <t>National Geographic Society [WW-24R-17]; IPEV [109, 1091]; WWF-UK; Ministry and Research(MUR); National Research Council Italy (CNR) [PNRA2016_004]; National Science Foundation (OPP) [1543498]; Instituto Antartico Uruguato (IAU), Ecos Sud Program [PU20B01/U20B03]; Commission for the Conservation of Antarctic Marine Living Ressources (CCAMLR) General Capacity Building Fund and Scientific Scholarship Scheme; Agencia Nacional de Investigacion e Inno-vacion's (ANII) Clemente Estable Fund [FCE 1 2021 1166587]; National System of Researchers and National Postgraduate Scholarship Programme, and Basic Science Development Programme(PEDECIBA); Instituto Antartico Argentino-Direccion Nacional del Antartico [PINST-05]; CPER (Contrat de Plan Etat-Region); DER (Fonds Europeen de Developpement Regional)</t>
  </si>
  <si>
    <t>National Geographic Society(National Geographic Society); IPEV; WWF-UK; Ministry and Research(MUR)(Ministry of Education, Universities and Research (MIUR)); National Research Council Italy (CNR); National Science Foundation (OPP)(National Science Foundation (NSF)); Instituto Antartico Uruguato (IAU), Ecos Sud Program; Commission for the Conservation of Antarctic Marine Living Ressources (CCAMLR) General Capacity Building Fund and Scientific Scholarship Scheme; Agencia Nacional de Investigacion e Inno-vacion's (ANII) Clemente Estable Fund; National System of Researchers and National Postgraduate Scholarship Programme, and Basic Science Development Programme(PEDECIBA); Instituto Antartico Argentino-Direccion Nacional del Antartico; CPER (Contrat de Plan Etat-Region); DER (Fonds Europeen de Developpement Regional)</t>
  </si>
  <si>
    <t>This work relied on several national and internationalexisting monitoring programs in Antarctica, implying several fundingsources associated with the logistical support to all research stations.(i) The circumpolar monitoring program led by Jean-Baptiste Thiebotwas funded by National Geographic Society grant WW-24R-17. (ii)Samples from Mac.Robertson Land (Mawson station), Princess Elizabeth Land (Davis station) and Wilkes Land (Casey station) werecollected through Australian Antarctic Division support to AAS 4518.(iii) Sampling in Adelie Land was supportedfinancially and logistically by IPEV (Programmes N degrees 109 ORNITHOECO, C. Barbraud, andN degrees 1091 AMMER, A. Kato and T. Raclot) and WWF-UK. (iv) Sampling in Terra Nova Bay was funded by the Ministry and Research(MUR) and National Research Council Italy (CNR) through project#PNRA2016_004 Penguin ERA. (v) Sampling in Ross Island wasfunded by the National Science Foundation (OPP Award, #1543498).(vi) Fieldwork in Ardley Island was supported by Instituto Antartico Uruguato (IAU), Ecos Sud Program (project PU20B01/U20B03), Commission for the Conservation of Antarctic Marine Living Ressources (CCAMLR) General Capacity Building Fund and Scientific Scholarship Scheme, Agencia Nacional de Investigacion e Inno-vacion's (ANII) Clemente Estable Fund (project FCE 1 2021 1166587), National System of Researchers and National Postgraduate Scholarship Programme, and Basic Science Development Programme(PEDECIBA). (vii) The Instituto Antartico Argentino-Direccion Nacional del Antartico (PINST-05) provided financial and logisticalsupport to carry out the Argentine Antarctic campaign. Finally,funding was provided by CPER (Contrat de Plan Etat-Region) and the FEDER (Fonds Europeen de Developpement Regional) for the AMAand the IRMS of LIENSs laboratory</t>
  </si>
  <si>
    <t>0963-9292</t>
  </si>
  <si>
    <t>1573-3017</t>
  </si>
  <si>
    <t>Ecotoxicology</t>
  </si>
  <si>
    <t>10.1007/s10646-023-02709-9</t>
  </si>
  <si>
    <t>Ecology; Environmental Sciences; Toxicology</t>
  </si>
  <si>
    <t>Environmental Sciences &amp; Ecology; Toxicology</t>
  </si>
  <si>
    <t>W7GN5</t>
  </si>
  <si>
    <t>WOS:001086809900001</t>
  </si>
  <si>
    <t>Zilker, F; Sukhodolov, T; Chiodo, G; Friedel, M; Egorova, T; Rozanov, E; Sedlacek, J; Seeber, S; Peter, T</t>
  </si>
  <si>
    <t>Zilker, Franziska; Sukhodolov, Timofei; Chiodo, Gabriel; Friedel, Marina; Egorova, Tatiana; Rozanov, Eugene; Sedlacek, Jan; Seeber, Svenja; Peter, Thomas</t>
  </si>
  <si>
    <t>Stratospherically induced circulation changes under the extreme conditions of the no-Montreal-Protocol scenario</t>
  </si>
  <si>
    <t>NORTH-ATLANTIC OSCILLATION; OZONE DEPLETION; CARBON-MONOXIDE; MODEL; TRENDS; LAYER; TROPOSPHERE; IMPACT</t>
  </si>
  <si>
    <t>The Montreal Protocol and its amendments (MPA) have been a huge success in preserving the stratospheric ozone layer from being destroyed by unabated chlorofluorocarbon (CFC) emissions. The phaseout of CFCs has not only prevented serious impacts on our health and climate, but also avoided strong alterations of atmospheric circulation patterns. With the Earth system model SOCOLv4, we study the dynamical and climatic impacts of a scenario with unabated CFC emissions by 2100, disentangling radiative and chemical (ozone-mediated) effects of CFCs. In the stratosphere, chemical effects of CFCs (i.e., the resulting ozone loss) are the main drivers of circulation changes, weakening wintertime polar vortices and speeding up the Brewer-Dobson circulation. These dynamical impacts during wintertime are due to low-latitude ozone depletion and the resulting reduction in the Equator-to-pole temperature gradient. Westerly winds in the lower stratosphere strengthen, which is for the Southern Hemisphere (SH) similar to the effects of the Antarctic ozone hole over the second half of the 20th century. Furthermore, the winter and spring stratospheric wind variability increases in the SH, whereas it decreases in summer and fall. This seasonal variation in wind speed in the stratosphere has substantial implications for the major modes of variability in the tropospheric circulation in the scenario without the MPA (No-MPA). We find coherent changes in the troposphere, such as patterns that are reminiscent of negative Southern and Northern Annular modes (SAM and NAM) and North Atlantic Oscillation (NAO) anomalies during seasons with a weakened vortex (winter and spring); the opposite occurs during seasons with strengthened westerlies in the lower stratosphere and troposphere (summer). In the troposphere, radiative heating by CFCs prevails throughout the year, shifting the SAM into a positive phase and canceling out the ozone-induced effects on the NAO, whereas the North Pacific sector shows an increase in the meridional sea-level pressure gradient as both CFC heating and ozone-induced effects reinforce each other there. Furthermore, global warming is amplified by 1.7 K with regionally up to a 12 K increase over eastern Canada and the western Arctic. Our study sheds light on the adverse effects of a non-adherence to the MPA on the global atmospheric circulation, uncovering the roles of the underlying physical mechanisms. In so doing, our study emphasizes the importance of the MPA for Earth's climate to avoid regional amplifications of negative climate impacts.</t>
  </si>
  <si>
    <t>[Zilker, Franziska; Chiodo, Gabriel; Friedel, Marina; Seeber, Svenja; Peter, Thomas] Swiss Fed Inst Technol, Inst Atmospher &amp; Climate Sci IAC, Zurich, Switzerland; [Sukhodolov, Timofei; Egorova, Tatiana; Rozanov, Eugene; Sedlacek, Jan] Phys Meteorol Observ Davos World Radiat Ctr, Davos, Switzerland; [Sukhodolov, Timofei; Rozanov, Eugene] St Petersburg State Univ, Ozone Layer &amp; Upper Atmosphere Res Lab, St Petersburg, Russia; [Zilker, Franziska] Swiss Fed Inst Forest Snow &amp; Landscape Res WSL, Dept Land Change Sci, Birmensdorf, Switzerland</t>
  </si>
  <si>
    <t>Swiss Federal Institutes of Technology Domain; ETH Zurich; Saint Petersburg State University; Swiss Federal Institutes of Technology Domain; Swiss Federal Institute for Forest, Snow &amp; Landscape Research</t>
  </si>
  <si>
    <t>Zilker, F (corresponding author), Swiss Fed Inst Technol, Inst Atmospher &amp; Climate Sci IAC, Zurich, Switzerland.;Zilker, F (corresponding author), Swiss Fed Inst Forest Snow &amp; Landscape Res WSL, Dept Land Change Sci, Birmensdorf, Switzerland.</t>
  </si>
  <si>
    <t>franziska.zilker@wsl.ch</t>
  </si>
  <si>
    <t>Sedlacek, Jan/B-2819-2009; Chiodo, Gabriel/C-6626-2016; Rozanov, Eugene/V-1881-2018</t>
  </si>
  <si>
    <t>Sedlacek, Jan/0000-0002-6742-9130; Chiodo, Gabriel/0000-0002-8079-6314; Friedel, Marina/0000-0001-7739-4691; Rozanov, Eugene/0000-0003-0479-4488; Sukhodolov, Timofei/0000-0001-7100-738X; Egorova, Tatiana/0000-0001-8300-3642</t>
  </si>
  <si>
    <t>Schweizerischer Nationalfonds zur Forderung der Wissenschaftlichen Forschung [200020-182239, PZ00P2_180043]; Karbacher Fonds, Graubuenden, Switzerland; Government of the Russian Federation; [075-15-2021-583]</t>
  </si>
  <si>
    <t>Schweizerischer Nationalfonds zur Forderung der Wissenschaftlichen Forschung(Swiss National Science Foundation (SNSF)); Karbacher Fonds, Graubuenden, Switzerland; Government of the Russian Federation;</t>
  </si>
  <si>
    <t>This research has been supported by the Schweizerischer Nationalfonds zur Forderung der Wissenschaftlichen Forschung (grant nos. 200020-182239 and PZ00P2_180043); the Karbacher Fonds, Graubuenden, Switzerland; and the Government of the Russian Federation (grant no. 075-15-2021-583)</t>
  </si>
  <si>
    <t>OCT 24</t>
  </si>
  <si>
    <t>10.5194/acp-23-13387-2023</t>
  </si>
  <si>
    <t>HT6N7</t>
  </si>
  <si>
    <t>WOS:001161799200001</t>
  </si>
  <si>
    <t>Regmi, B; Douglas, MR; Wangchuk, K; Zbinden, ZD; Edds, DR; Tshering, S; Douglas, ME</t>
  </si>
  <si>
    <t>Regmi, Binod; Douglas, Marlis R.; Wangchuk, Karma; Zbinden, Zachery D.; Edds, David R.; Tshering, Singye; Douglas, Michael E.</t>
  </si>
  <si>
    <t>The Himalayan uplift and evolution of aquatic biodiversity across Asia: Snowtrout (Cyprininae: Schizothorax) as a test case</t>
  </si>
  <si>
    <t>DNA-SEQUENCE DATA; GENUS SCHIZOTHORAX; TELEOSTEI CYPRINIDAE; MOLECULAR PHYLOGENY; RIVER CAPTURE; LAKE RARA; FISHES; GENETICS; PLATEAU; CLIMATE</t>
  </si>
  <si>
    <t>Global biodiversity hotspots are often remote, tectonically active areas undergoing climatic fluctuations, such as the Himalaya Mountains and neighboring Qinghai-Tibetan Plateau (QTP). They provide biogeographic templates upon which endemic biodiversity can be mapped to infer diversification scenarios. Yet, this process can be somewhat opaque for the Himalaya, given substantial data gaps separating eastern and western regions. To help clarify, we evaluated phylogeographic and phylogenetic hypotheses for a widespread fish (Snowtrout: Cyprininae; Schizothorax) by sequencing 1,140 base pair of mtDNA cytochrome-b (cytb) from Central Himalaya samples (Nepal: N = 53; Bhutan: N = 19), augmented with 68 GenBank sequences (N = 60 Schizothorax/N = 8 outgroups). Genealogical relationships (N = 132) were analyzed via maximum likelihood (ML), Bayesian (BA), and haplotype network clustering, with clade divergence estimated via TimeTree. Snowtrout seemingly originated in Central Asia, dispersed across the QTP, then into Bhutan via southward-flowing tributaries of the east-flowing Yarlung-Tsangpo River (YLTR). Headwaters of five large Asian rivers provided dispersal corridors from Central into eastern/southeastern Asia. South of the Himalaya, the YLTR transitions into the Brahmaputra River, facilitating successive westward colonization of Himalayan drainages first in Bhutan, then Nepal, followed by far-western drainages subsequently captured by the (now) westward-flowing Indus River. Two distinct Bhutanese phylogenetic groups were recovered: Bhutan-1 (with three subclades) seemingly represents southward dispersal from the QTP; Bhutan-2 apparently illustrates northward colonization from the Lower Brahmaputra. The close phylogenetic/phylogeographic relationships between the Indus River (Pakistan) and western tributaries of the Upper Ganges (India/Nepal) potentially implicate an historic, now disjunct connection. Greater species-divergences occurred across rather than within-basins, suggesting vicariance as a driver. The Himalaya is a component of the Earth's largest glacial reservoir (i.e., the third-pole) separate from the Arctic/Antarctic. Its unique aquatic biodiversity must be defined and conserved through broad, trans-national collaborations. Our study provides an initial baseline for this process.</t>
  </si>
  <si>
    <t>[Regmi, Binod; Douglas, Marlis R.; Wangchuk, Karma; Zbinden, Zachery D.; Douglas, Michael E.] Univ Arkansas, Dept Biol Sci, Fayetteville, AR 72701 USA; [Wangchuk, Karma; Tshering, Singye] Royal Govt Bhutan, Minist Agr &amp; Forests, Natl Res &amp; Dev Ctr Riverine &amp; Lake Fisheries, Thimphu, Bhutan; [Edds, David R.] Emporia State Univ, Dept Biol Sci, Emporia, KS USA; [Regmi, Binod] NIAMSD, NIAMS, Natl Inst Hlth, Bethesda, MD USA</t>
  </si>
  <si>
    <t>University of Arkansas System; University of Arkansas Fayetteville; National Institutes of Health (NIH) - USA; NIH National Institute of Arthritis &amp; Musculoskeletal &amp; Skin Diseases (NIAMS)</t>
  </si>
  <si>
    <t>Douglas, ME (corresponding author), Univ Arkansas, Dept Biol Sci, Fayetteville, AR 72701 USA.</t>
  </si>
  <si>
    <t>med1@uark.edu</t>
  </si>
  <si>
    <t>Douglas, Michael/0000-0001-9670-7825</t>
  </si>
  <si>
    <t>e0289736</t>
  </si>
  <si>
    <t>10.1371/journal.pone.0289736</t>
  </si>
  <si>
    <t>X5UP7</t>
  </si>
  <si>
    <t>WOS:001099104900003</t>
  </si>
  <si>
    <t>Jamieson, SSR; Ross, N; Paxman, GJG; Clubb, FJ; Young, DA; Yan, S; Greenbaum, J; Blankenship, DD; Siegert, MJ</t>
  </si>
  <si>
    <t>Jamieson, Stewart S. R.; Ross, Neil; Paxman, Guy J. G.; Clubb, Fiona J.; Young, Duncan A.; Yan, Shuai; Greenbaum, Jamin; Blankenship, Donald D.; Siegert, Martin J.</t>
  </si>
  <si>
    <t>An ancient river landscape preserved beneath the East Antarctic Ice Sheet</t>
  </si>
  <si>
    <t>GLACIATION; EROSION; CLIMATE; EVOLUTION; RETREAT; BASIN; SEA; INITIATION; MOUNTAINS; MIOCENE</t>
  </si>
  <si>
    <t>The East Antarctic Ice Sheet (EAIS) has its origins ca. 34 million years ago. Since then, the impact of climate change and past fluctuations in the EAIS margin has been reflected in periods of extensive vs. restricted ice cover and the modification of much of the Antarctic landscape. Resolving processes of landscape evolution is therefore critical for establishing ice sheet history, but it is rare to find unmodified landscapes that record past ice conditions. Here, we discover an extensive relic pre-glacial landscape preserved beneath the central EAIS despite millions of years of ice cover. The landscape was formed by rivers prior to ice sheet build-up but later modified by local glaciation before being dissected by outlet glaciers at the margin of a restricted ice sheet. Preservation of the relic surfaces indicates an absence of significant warm-based ice throughout their history, suggesting any transitions between restricted and expanded ice were rapid. Using satellite and survey data, an ancient river landscape 300 km wide has been discovered buried and preserved beneath the ice in East Antarctica. It has likely survived largely intact for up to 34 million years since before ice sheet growth.</t>
  </si>
  <si>
    <t>[Jamieson, Stewart S. R.; Paxman, Guy J. G.; Clubb, Fiona J.] Univ Durham, Dept Geog, Durham DH1 3LE, England; [Ross, Neil] Newcastle Univ, Sch Geog Polit &amp; Sociol, Newcastle Upon Tyne NE1 7RU, England; [Young, Duncan A.; Yan, Shuai; Blankenship, Donald D.] Univ Texas Austin, Inst Geophys, Jackson Sch Geosci, Austin, TX USA; [Yan, Shuai] Univ Texas Austin, Jackson Sch Geosci, Dept Geosci, Austin, TX USA; [Greenbaum, Jamin] Univ Calif San Diego, Scripps Inst Oceanog, San Diego, CA USA; [Siegert, Martin J.] Univ Exeter, Tremough House,Penryn Campus, Penryn TR10 9FE, England</t>
  </si>
  <si>
    <t>Durham University; Newcastle University - UK; University of Texas System; University of Texas Austin; University of Texas System; University of Texas Austin; University of California System; University of California San Diego; Scripps Institution of Oceanography; University of Exeter</t>
  </si>
  <si>
    <t>Jamieson, SSR (corresponding author), Univ Durham, Dept Geog, Durham DH1 3LE, England.</t>
  </si>
  <si>
    <t>Stewart.Jamieson@durham.ac.uk</t>
  </si>
  <si>
    <t>; Jamieson, Stewart/B-8330-2013</t>
  </si>
  <si>
    <t>Clubb, Fiona/0000-0003-1135-1765; Paxman, Guy/0000-0003-1787-7442; Greenbaum, Jamin Stevens/0000-0002-0745-7113; Jamieson, Stewart/0000-0002-9036-2317</t>
  </si>
  <si>
    <t>We thank Felicity McCormack for supplying modelled basal melt data. Funding for geophysical data acquisition was provided by NSF grants ANT-0733025 (D.D.B., D.A.Y.), ANT-1443690 (D.D.B., D.A.Y.), NASA grant NNX09AR52G (D.D.B., D.A.Y.), the G. Unger Vetlese [ANT-0733025, ANT-1443690]; NSF [NNX09AR52G]; NASA; G. Unger Vetlesen Foundation [NE/L002590/1]; UK NERC</t>
  </si>
  <si>
    <t>We thank Felicity McCormack for supplying modelled basal melt data. Funding for geophysical data acquisition was provided by NSF grants ANT-0733025 (D.D.B., D.A.Y.), ANT-1443690 (D.D.B., D.A.Y.), NASA grant NNX09AR52G (D.D.B., D.A.Y.), the G. Unger Vetlese; NSF(National Science Foundation (NSF)); NASA(National Aeronautics &amp; Space Administration (NASA)); G. Unger Vetlesen Foundation; UK NERC(UK Research &amp; Innovation (UKRI)Natural Environment Research Council (NERC))</t>
  </si>
  <si>
    <t>We thank Felicity McCormack for supplying modelled basal melt data. Funding for geophysical data acquisition was provided by NSF grants ANT-0733025 (D.D.B., D.A.Y.), ANT-1443690 (D.D.B., D.A.Y.), NASA grant NNX09AR52G (D.D.B., D.A.Y.), the G. Unger Vetlesen Foundation (D.D.B., D.A.Y.) and the UK NERC grant NE/D003733/1 (M.J.S.). G.J.G.P. was funded by UK NERC grant NE/L002590/1. For the purpose of open access, the author has applied a Creative Commons Attribution (CC BY) license to any Author Accepted Manuscript version arising from this submission. This is University of Texas Institute of Geophysics contribution 3963.</t>
  </si>
  <si>
    <t>10.1038/s41467-023-42152-2</t>
  </si>
  <si>
    <t>W1II6</t>
  </si>
  <si>
    <t>WOS:001089230100022</t>
  </si>
  <si>
    <t>de Pablo, MA; Ramos, M; Vieira, G; Molina, A; Ramos, R; Maior, CN; Prieto, M; Ruiz-Fernández, J</t>
  </si>
  <si>
    <t>de Pablo, M. A.; Ramos, M.; Vieira, G.; Molina, A.; Ramos, R.; Maior, C. N.; Prieto, M.; Ruiz-Fernandez, J.</t>
  </si>
  <si>
    <t>Interannual variability of ground surface thermal regimes in Livingston and Deception islands, Antarctica (2007-2021)</t>
  </si>
  <si>
    <t>LAND DEGRADATION &amp; DEVELOPMENT</t>
  </si>
  <si>
    <t>active layer; Antarctica; ground surface temperature; permafrost; snow; thermal regime</t>
  </si>
  <si>
    <t>SOUTH SHETLAND ISLANDS; FREEZE-THAW CYCLES; CALM-S SITE; KING GEORGE ISLAND; ACTIVE-LAYER; BYERS PENINSULA; HURD PENINSULA; SNOW COVER; PERMAFROST DISTRIBUTION; LAKE</t>
  </si>
  <si>
    <t>The absence of vegetation in most ice-free areas of Antarctica makes the soil surface very sensitive to atmosphere dynamics, especially in the western sector of the Antarctic Peninsula, an area within the limits of the permafrost zone. To evaluate the possible effects of regional warming on frozen soils, we conducted an analysis of ground surface temperatures (GSTs) from 2007 to 2021 from different monitoring sites in Livingston and Deception islands (South Shetlands archipelago, Antarctica). The analysis of the interannual evolution of the GST and their daily regimes and the freezing and thawing indexes reveals that climate change is showing impacts on seasonal and perennially frozen soils. Freezing Degree Days (FDD) have decreased while Thawing Degree Day (TDD) have increased during the study period, resulting in a balance that is already positive at the sites at lower elevations. Daily freeze-thaw cycles have been rare and absent since 2014. Meanwhile, the most common thermal regimes are purely frozen - F1 (daily temperatures &lt; = -0.5 degrees C), isothermal - IS (ranging between -0.5 degrees C to +0.5 degrees C), and purely thawed - T1 (&gt; = +0.5 degrees C). A decrease in F1 days has been observed, while the IS and T1 days increased by about 60 days between 2007 and 2021. The annual number of days with snow cover increased between 2009 and 2014 and decreased since then. The GST and the daily thermal regimes evolution point to general heating, which may be indicative of the degradation of the frozen soils in the study area.</t>
  </si>
  <si>
    <t>[de Pablo, M. A.; Molina, A.; Ramos, R.; Maior, C. N.] Univ Alcala, Fac Ciencias, Unidad Geol, Madrid, Spain; [de Pablo, M. A.; Ramos, M.; Vieira, G.] Univ Lisbon, Inst Geog &amp; Ordenamento Terr, Ctr Estudos Geog, Lisbon, Portugal; [Ramos, M.] Univ Alcala, Fac Ciencias, Unidad Fis, Madrid, Spain; [Molina, A.] CSIC INTA, Ctr Astrobiol CAB, Madrid, Spain; [Prieto, M.] Univ Alcala, Escuela Politecn Super, Dept Automat, Madrid, Spain; [Ruiz-Fernandez, J.] Univ Oviedo, Dept Geog, Asturias, Spain; [de Pablo, M. A.] Univ Alcala, Fac Ciencias, Dept Geol Geog &amp; Medio Ambiente, Unidad Geol, Edificio Ciencias,Campus Cient Tecnol,Ctra A 2 Km, Madrid 28805, Spain</t>
  </si>
  <si>
    <t>Universidad de Alcala; Universidade de Lisboa; Universidad de Alcala; Consejo Superior de Investigaciones Cientificas (CSIC); CSIC - Centro de Astrobiologia (INTA); Universidad de Alcala; University of Oviedo; Universidad de Alcala</t>
  </si>
  <si>
    <t>de Pablo, MA (corresponding author), Univ Alcala, Fac Ciencias, Dept Geol Geog &amp; Medio Ambiente, Unidad Geol, Edificio Ciencias,Campus Cient Tecnol,Ctra A 2 Km, Madrid 28805, Spain.</t>
  </si>
  <si>
    <t>Vieira, Goncalo/G-5958-2010; Molina, Antonio/AAE-1314-2020; Prieto, Manuel/K-8822-2014; Ramos, Miguel/K-2230-2014; de Pablo, Miguel Angel/J-6442-2014</t>
  </si>
  <si>
    <t>Vieira, Goncalo/0000-0001-7611-3464; Molina, Antonio/0000-0002-5038-2022; Prieto, Manuel/0000-0003-3050-3445; Ruiz-Fernandez, Jesus/0000-0001-7161-3320; Ramos, Miguel/0000-0003-3648-6818; de Pablo, Miguel Angel/0000-0002-4496-2741</t>
  </si>
  <si>
    <t>Ministry of Economy of the Government of Spain [POL2006-01918, CTM2009-10165, CTM2011-15565-E, CTM2014-52021-R, PID2020-115269GB-I00]</t>
  </si>
  <si>
    <t>Ministry of Economy of the Government of Spain</t>
  </si>
  <si>
    <t>Ministry of Economy of the Government of Spain; PERMAMODEL, Grant/Award Number: POL2006-01918; PERMAPLANET, Grant/Award Number: CTM2009-10165; PERMASNOW, Grant/Award Number: CTM2014-52021-R; PARANTAR, Grant/Award Number: PID2020-115269GB-I00; ANTARPERMA, Grant/Award Number: CTM2011-15565-EThis work has been supported by funds from the Ministry of Economy of the Government of Spain by the Polar Research Program: PERMAMO-DEL (POL2006-01918), PERMAPLANET (CTM2009-10165), ANTAR-PERMA (CTM2011-15565-E), PERMASNOW (CTM2014-52021-R) and PARANTAR (PID2020-115269GB-I00) projects, and PERMATHERMAL contracts with IGME-UAH and UTM-UAH LOU art. 83 contracts between 2015 and 2022.</t>
  </si>
  <si>
    <t>1085-3278</t>
  </si>
  <si>
    <t>1099-145X</t>
  </si>
  <si>
    <t>LAND DEGRAD DEV</t>
  </si>
  <si>
    <t>Land Degrad. Dev.</t>
  </si>
  <si>
    <t>10.1002/ldr.4922</t>
  </si>
  <si>
    <t>Environmental Sciences; Soil Science</t>
  </si>
  <si>
    <t>Environmental Sciences &amp; Ecology; Agriculture</t>
  </si>
  <si>
    <t>GP6M5</t>
  </si>
  <si>
    <t>WOS:001090769000001</t>
  </si>
  <si>
    <t>Zhu, YQ; Portmann, RW; Kinnison, D; Toon, OB; Millán, L; Zhang, J; Vömel, H; Tilmes, S; Bardeen, CG; Wang, XY; Evan, S; Randel, WJ; Rosenlof, KH</t>
  </si>
  <si>
    <t>Zhu, Yunqian; Portmann, Robert W.; Kinnison, Douglas; Toon, Owen Brian; Millan, Luis; Zhang, Jun; Vomel, Holger; Tilmes, Simone; Bardeen, Charles G.; Wang, Xinyue; Evan, Stephanie; Randel, William J.; Rosenlof, Karen H.</t>
  </si>
  <si>
    <t>Stratospheric ozone depletion inside the volcanic plume shortly after the 2022 Hunga Tonga eruption</t>
  </si>
  <si>
    <t>SEA-SALT; ANTARCTIC OZONE; AEROSOL; INJECTION; ACID</t>
  </si>
  <si>
    <t>Near-term in-plume ozone depletion was observed for about 10 d by the Aura Microwave Limb Sounder (MLS) right after the January 2022 Hunga Tonga-Hunga Ha'apai (HTHH) eruption. This work analyzes the dynamic and chemical causes of this ozone depletion. The results show that the large water injection (similar to 150 Tg) from the HTHH eruption, with similar to 0.0013 Tg injection of ClO (or similar to 0.0009 Tg of HCl), causes ozone loss due to strongly enhanced HOx and ClOx cycles and their interactions. Aside from the gas-phase chemistry, the heterogeneous reaction rate for HOCl + HCl -&gt; Cl2 + H2O increases to 104 cm-3 s-1 and is a major cause of chlorine activation, making this event unique compared with the springtime polar ozone depletion where HCl + ClONO2 is more important. The large water injection causes relative humidity over ice to increase to 70 %-100 %, decreases the H2SO4 / H2O binary solution weight percent to 35 % compared with the 70 % ambient value, and decreases the plume temperature by 2-6 K. These changes lead to high heterogeneous reaction rates. Plume lofting of ozone-poor air is evident during the first 2 d after the eruption, but ozone concentrations quickly recover because its chemical lifetime is short at 20 hPa. With such a large seawater injection, we expect that similar to 5 Tg Cl was lifted into the stratosphere by the HTHH eruption in the form of NaCl, but only similar to 0.02 % of that remained as active chlorine in the stratosphere. Lightning NOx changes are probably not the reason for the HTHH initial in-plume O3 loss.</t>
  </si>
  <si>
    <t>[Zhu, Yunqian; Portmann, Robert W.; Rosenlof, Karen H.] NOAA, Chem Sci Lab, Boulder, CO 80305 USA; [Zhu, Yunqian] Univ Colorado Boulder, Cooperat Inst Res Environm Sci CIRES, Boulder, CO 80309 USA; [Zhu, Yunqian; Toon, Owen Brian] Univ Colorado Boulder, Lab Atmospher &amp; Space Phys, Boulder, CO 80309 USA; [Kinnison, Douglas; Zhang, Jun; Tilmes, Simone; Bardeen, Charles G.; Wang, Xinyue; Randel, William J.] Natl Ctr Atmospher Res, Atmospher Chem Observat &amp; Modeling Lab, Boulder, CO USA; [Toon, Owen Brian] Univ Colorado Boulder, Dept Atmospher &amp; Ocean Sci, Boulder, CO USA; [Millan, Luis] CALTECH, Jet Prop Lab, Pasadena, CA USA; [Vomel, Holger] Natl Ctr Atmospher Res, Earth Observing Lab, Boulder, CO USA; [Evan, Stephanie] Univ Reunion, Lab Atmosphere &amp; Cyclones LACy, CNRS, UMR8105,Meteo France, St Denis, France</t>
  </si>
  <si>
    <t>National Oceanic Atmospheric Admin (NOAA) - USA; University of Colorado System; University of Colorado Boulder; University of Colorado System; University of Colorado Boulder; National Center Atmospheric Research (NCAR) - USA; University of Colorado System; University of Colorado Boulder; National Aeronautics &amp; Space Administration (NASA); NASA Jet Propulsion Laboratory (JPL); California Institute of Technology; National Center Atmospheric Research (NCAR) - USA; University of La Reunion; Centre National de la Recherche Scientifique (CNRS)</t>
  </si>
  <si>
    <t>Zhu, YQ (corresponding author), NOAA, Chem Sci Lab, Boulder, CO 80305 USA.;Zhu, YQ (corresponding author), Univ Colorado Boulder, Cooperat Inst Res Environm Sci CIRES, Boulder, CO 80309 USA.;Zhu, YQ (corresponding author), Univ Colorado Boulder, Lab Atmospher &amp; Space Phys, Boulder, CO 80309 USA.</t>
  </si>
  <si>
    <t>yunqian.zhu@noaa.gov</t>
  </si>
  <si>
    <t>Rosenlof, Karen H/B-5652-2008; Tilmes, Simone/JUV-6618-2023; Randel, William J/K-3267-2016; Portmann, Robert/C-4903-2009</t>
  </si>
  <si>
    <t>Rosenlof, Karen H/0000-0002-0903-8270; Tilmes, Simone/0000-0002-6557-3569; Wang, Xinyue/0000-0003-1848-1933; Zhang, Jun/0000-0003-2020-9322; Kinnison, Douglas/0000-0002-3418-0834; Portmann, Robert/0000-0002-0279-6087; ZHU, YUNQIAN/0000-0001-7751-397X</t>
  </si>
  <si>
    <t>National Oceanic and Atmospheric Administration; National Science Foundation (NSF); National Center for Atmospheric Research [1852977]; NSF</t>
  </si>
  <si>
    <t>National Oceanic and Atmospheric Administration(National Oceanic Atmospheric Admin (NOAA) - USA); National Science Foundation (NSF)(National Science Foundation (NSF)); National Center for Atmospheric Research; NSF(National Science Foundation (NSF))</t>
  </si>
  <si>
    <t>We thank Hazel Vernier, Kimberlee Dube, Pengfei Yu, Fracis Vitt, Ru-shan Gao, Margaret Tolbert, Micheal Mills, Daniel Murphy, and Brian Ridley for their valuable input. NCAR's Community Earth System Model project is supported primarily by the National Science Foundation (NSF). This material is based upon work supported by the National Center for Atmospheric Research, which is a major facility sponsored by the NSF under Cooperative Agreement No. 1852977. Computing and data storage resources, including the Cheyenne supercomputer (10.5065/D6RX99HX), were provided by the Computational and Information Systems Laboratory (CISL) at NCAR.</t>
  </si>
  <si>
    <t>OCT 23</t>
  </si>
  <si>
    <t>10.5194/acp-23-13355-2023</t>
  </si>
  <si>
    <t>HT7H5</t>
  </si>
  <si>
    <t>WOS:001161819000001</t>
  </si>
  <si>
    <t>Pérez-Asensio, JN; Tachikawa, K; Vidal, L; de Garidel-Thoron, T; Sonzogni, C; Guihou, A; Deschamps, P; Jorry, SJ; Chen, MT</t>
  </si>
  <si>
    <t>Perez-Asensio, Jose N.; Tachikawa, Kazuyo; Vidal, Laurence; de Garidel-Thoron, Thibault; Sonzogni, Corinne; Guihou, Abel; Deschamps, Pierre; Jorry, Stephan J.; Chen, Min-Te</t>
  </si>
  <si>
    <t>Glacial expansion of carbon-rich deep waters into the Southwestern Indian Ocean over the last 630 kyr</t>
  </si>
  <si>
    <t>Carbon cycle; Neodymium isotopes; Carbon isotopes; Glacial-interglacial cycles; Pleistocene; Indian Ocean</t>
  </si>
  <si>
    <t>ANTARCTIC SEA-ICE; ISOTOPIC COMPOSITION; CIRCULATION; DELTA-C-13; NEODYMIUM; RECORDS; TEMPERATURE; STORAGE</t>
  </si>
  <si>
    <t>Oceanic carbon storage is one of the main sinks for atmospheric CO2, and thought to be the major contributing factor for CO2 drawdown during past glacial periods. Both physical and biogeochemical processes control the capacity of carbon storage in the ocean. During glacial periods of the Pleistocene the larger volume of deep-water masses of Southern Hemisphere origin in the Atlantic has been shown to promote carbon storage in the Southern Ocean. However, the latitudinal extension of this water mass in the Indian Ocean has been scarcely studied. In this study, we combine foraminiferal epsilon Nd and benthic delta 13C of two sediment cores in the southwest Indian Ocean (MD96-2077, 33 degrees S, 3781 m water depth; MD96-2052, 19 degrees S, 2627 m water depth), to reconstruct the spatial and temporal evolution of glacial carbon-rich deep waters in the SW Indian over the last 630 kyr. The combined use of foraminiferal epsilon Nd and benthic delta 13C allows to distinguish delta 13C changes related to water mass mixing and from respired carbon accumulation within the water masses. Nutrient-rich deep waters, which cannot be explained by the enhanced proportion of southern-sourced waters, were present at core sites deeper than 2700 m during glacial periods and extended at least until 33 degrees S into the SW Indian Ocean. From Marine Isotope Stage (MIS) 14 to MIS 10, glacial carbon storage increased gradually until reaching its highest capacity during the extreme glacial periods MIS 12 and 10. Orbital forcing (100-kyr eccentricity, 41-kyr obliquity), restricted air-sea exchange and enhanced ocean stratification, fostered higher carbon storage during periods of relatively lower eccentricity and obliquity. Furthermore, after MIS 10, a progressive transition was observed from 100-kyr eccentricity to 41-kyr obliquity cycles in benthic delta 13C and delta 18O records of core MD96-2077 and sea-ice cover changes derived from icerafted debris of the Agulhas Plateau composite core site.</t>
  </si>
  <si>
    <t>[Perez-Asensio, Jose N.; Tachikawa, Kazuyo; Vidal, Laurence; de Garidel-Thoron, Thibault; Sonzogni, Corinne; Guihou, Abel; Deschamps, Pierre] Aix Marseille Univ, CNRS, IRD, Coll France,INRAE,CEREGE, Aix En Provence, France; [Jorry, Stephan J.] Univ Brest, Geoocean, CNRS, IFREMER,UMR6538, F-29280 Plouzane, France; [Chen, Min-Te] Natl Taiwan Ocean Univ, Inst Earth Sci, Keelung 20224, Taiwan; [Chen, Min-Te] Natl Taiwan Ocean Univ, Ctr Excellence Oceans, Keelung 20224, Taiwan; [Chen, Min-Te] Natl Taiwan Ocean Univ, Ctr Excellence Ocean Engn, Keelung 20224, Taiwan</t>
  </si>
  <si>
    <t>Institut de Recherche pour le Developpement (IRD); Universite PSL; College de France; Aix-Marseille Universite; INRAE; Centre National de la Recherche Scientifique (CNRS); Ifremer; Universite de Bretagne Occidentale; Centre National de la Recherche Scientifique (CNRS); CNRS - National Institute for Earth Sciences &amp; Astronomy (INSU); National Taiwan Ocean University; National Taiwan Ocean University; National Taiwan Ocean University</t>
  </si>
  <si>
    <t>Pérez-Asensio, JN (corresponding author), Aix Marseille Univ, CNRS, IRD, Coll France,INRAE,CEREGE, Aix En Provence, France.</t>
  </si>
  <si>
    <t>jnoel@ugr.es; kazuyo@cerege.fr; vidal@cerege.fr; garidel@cerege.fr; sonzogni@cerege.fr; guihou@cerege.fr; deschamps@cerege.fr; stephan.jorry@ifremer.fr; mtchen@mail.ntou.edu.tw</t>
  </si>
  <si>
    <t>Pérez-Asensio, José N./J-2971-2014; Chen, Min-Te/ABF-2935-2020</t>
  </si>
  <si>
    <t>Pérez-Asensio, José N./0000-0002-1393-7412; Jorry, Stephan J./0000-0001-8240-9042</t>
  </si>
  <si>
    <t>(l'Environnement); French government under the France [-A*MIDEX (AMX-19-IET-012)]; Research Federation ECCOREV [FR 3098]; Aix-Marseille Univ.; CNRS; Avignon</t>
  </si>
  <si>
    <t>(l'Environnement); French government under the France; Research Federation ECCOREV; Aix-Marseille Univ.; CNRS(Centre National de la Recherche Scientifique (CNRS)); Avignon</t>
  </si>
  <si>
    <t>We thank the editor Dr. Fabienne Marret-Davies for handling this manuscript. We are very thankful to two anonymous reviewers for their insightful comments that substantially improved this manuscript. JNPA was funded by the INDEXCLIMA project. This project has received funding from the European Union's Horizon 2020 research and innovation programme under the Marie Sklodowska-Curie grant agreement N degrees 840675. Nd isotopic analyses were measured on Neptune+MC- ICPMS acquired in the frame of EQUIPEX ASTER-CEREGE project. We also thank the support of the INSU-LMC14 national laboratory for ARTEMIS radiocarbon dating for samples from core MD96-2052 and the INSU-LEFE-CLIMOZA project for stable isotope analyses from core MD96-2052. Marta Garcia for her technical support with ICP-MS Nd concentration measurements and Helene Mariot for her careful maintenance of the clean laboratory are thanked. MiSo received support from the French National Programme LEFE (Les Enveloppes Fluides et l'Environnement) and from the French government under the France 2030 investment plan, as part of the Initiative d'Excellence d'Aix-Marseille Universite-A*MIDEX (AMX-19-IET-012) and from the Research Federation ECCOREV (FR 3098; Aix-Marseille Univ., CNRS, INRAE, IRSN, CEA, Univ. Toulon, Univ. Avignon, Univ. Nimes) .r l'Environnement) and from the French government under the France 2030 investment plan, as part of the Initiative d'Excellence d'Aix-Mar-seille Universite-A*MIDEX (AMX-19-IET-012) and from the Research Federation ECCOREV (FR 3098; Aix-Marseille Univ., CNRS, INRAE, IRSN, CEA, Univ. Toulon, Univ. Avignon, Univ. Nimes) .</t>
  </si>
  <si>
    <t>10.1016/j.gloplacha.2023.104283</t>
  </si>
  <si>
    <t>Y7TL1</t>
  </si>
  <si>
    <t>WOS:001107246700001</t>
  </si>
  <si>
    <t>Balaguer, J; Koch, F; Flintrop, CM; Völkner, C; Iversen, MH; Trimborn, S</t>
  </si>
  <si>
    <t>Balaguer, Jenna; Koch, Florian; Flintrop, Clara M.; Voelkner, Christian; Iversen, Morten H.; Trimborn, Scarlett</t>
  </si>
  <si>
    <t>Iron and manganese availability drives primary production and carbon export in the Weddell Sea</t>
  </si>
  <si>
    <t>CURRENT BIOLOGY</t>
  </si>
  <si>
    <t>EXOPOLYMER PARTICLES TEP; SOUTHERN-OCEAN; ENRICHMENT EXPERIMENTS; PHYTOPLANKTON GROWTH; COMMUNITY STRUCTURE; CHLOROPHYLL-A; DRAKE PASSAGE; PHAEOCYSTIS; LIMITATION; WATERS</t>
  </si>
  <si>
    <t>Next to iron (Fe), recent phytoplankton-enrichment experiments identified manganese (Mn) to (co-)limit Southern Ocean phytoplankton biomass and species composition. Since taxonomic diversity affects aggregation time and sinking rate, the efficiency of the biological carbon pump is directly affected by community structure. However, the impact of FeMn co-limitation on Antarctic primary production, community composition, and the subsequent export of carbon to depth requires more investigation. In situ samplings of 6 stations in the understudied southern Weddell Sea revealed that surface Fe and Mn concentrations, primary production, and carbon export rates were all low, suggesting a FeMn co-limited phytoplankton community. An Fe and Mn addition experiment examined how changes in the species composition drive the aggregation capability of a natural phytoplankton community. Primary production rates were highest when Fe and Mn were added together, due to an increased abundance of the colonial prymnesiophyte Phaeocystis antarctica. Although the community remained diatom dominated, the increase in Phaeocystis abundance led to highly carbon-enriched aggregates and a 4-fold increase in the carbon export potential compared to the control, whereas it only doubled in the Fe treatment. Based on the outcome of the FeMn-enrichment experiment, this region may suffer from FeMn co-limitation. As the Weddell Sea represents one of the most productive Antarctic marginal ice zones, our findings highlight that in response to greater Fe and Mn supply, changes in plankton community composition and primary production can have a disproportionally larger effect on the carbon export potential.</t>
  </si>
  <si>
    <t>[Balaguer, Jenna] Univ Bremen, Marine Bot, D-28359 Bremen, Germany; [Balaguer, Jenna; Koch, Florian; Flintrop, Clara M.; Voelkner, Christian; Iversen, Morten H.; Trimborn, Scarlett] Alfred Wegener Inst Helmholtz Ctr Polar &amp; Marine R, D-25570 Bremerhaven, Germany; [Flintrop, Clara M.] Hebrew Univ Jerusalem, Fredy &amp; Nadine Herrmann Inst Earth Sci, IL-91904 Jerusalem, Israel; [Iversen, Morten H.] Univ Bremen, MARUM Ctr Marine Environm Sci, D-28359 Bremen, Germany; [Flintrop, Clara M.] Interuniv Inst Marine Sci, IL-88103 Elat, Israel</t>
  </si>
  <si>
    <t>University of Bremen; Hebrew University of Jerusalem; University of Bremen</t>
  </si>
  <si>
    <t>Balaguer, J (corresponding author), Univ Bremen, Marine Bot, D-28359 Bremen, Germany.;Balaguer, J (corresponding author), Alfred Wegener Inst Helmholtz Ctr Polar &amp; Marine R, D-25570 Bremerhaven, Germany.</t>
  </si>
  <si>
    <t>jbalaguer@geomar.de</t>
  </si>
  <si>
    <t>; Iversen, Morten Hvitfeldt/Q-3774-2016</t>
  </si>
  <si>
    <t>Balaguer, Jenna/0000-0001-9330-2275; Flintrop, Clara/0000-0002-5711-0521; Trimborn, Scarlett/0000-0003-1434-9927; Iversen, Morten Hvitfeldt/0000-0002-5287-1110</t>
  </si>
  <si>
    <t>Deutsche Forschungsgemeinschaft Research Center of Excellence [EXC-2077-390741603]; Helmholtz-Gemeinschaft Deutscher Forschungszentren infrastructure program FRAM (Frontiers in Arctic Marine Monitoring) of the Alfred Wegener Institute, Helmholtz Center for Polar and Marine Research</t>
  </si>
  <si>
    <t>Deutsche Forschungsgemeinschaft Research Center of Excellence; Helmholtz-Gemeinschaft Deutscher Forschungszentren infrastructure program FRAM (Frontiers in Arctic Marine Monitoring) of the Alfred Wegener Institute, Helmholtz Center for Polar and Marine Research</t>
  </si>
  <si>
    <t>J.B. was funded by the Deutsche Forschungsgemeinschaft (DFG) in the frame-work of the priority programme's Antarctic Research with comparative inves-tigations in Arctic ice areas' project TR 899/4-1. F.K. was supported by the INSPIRE Program of the Alfred Wegener Institute. C.M.F. was supported by the AWI Strategy Fund project EcoPump, and M.H.I. was supported by the Deutsche Forschungsgemeinschaft Research Center of Excellence The Ocean Floor - Earth's Uncharted Interface (grant EXC-2077-390741603) , the framework of the Helmholtz-Gemeinschaft Deutscher Forschungszentren infrastructure program FRAM (Frontiers in Arctic Marine Monitoring) of the Alfred Wegener Institute, Helmholtz Center for Polar and Marine Research. We also would like to thank Barbara Glemser and Henning Hellmer for the support in the laboratory. Finally, we would like to thank Dr. Hartmuth Hellmer and the captain and crew of RV Polarstern during PS124.r the AWI Strategy Fund project EcoPump, and M.H.I. was supported by the Deutsche Forschungsgemeinschaft Research Center of Excellence The Ocean Floor - Earth's Uncharted Interface (grant EXC-2077-390741603) , the framework of the Helmholtz-Gemeinschaft Deutscher Forschungszentren infrastructure program FRAM (Frontiers in Arctic Marine Monitoring) of the Alfred Wegener Institute, Helmholtz Center for Polar and Marine Research. We also would like to thank Barbara Glemser and Henning Hellmer for the sup-port in the laboratory. Finally, we would like to thank Dr. Hartmuth Hellmer and the captain and crew of RV Polarstern during PS124.</t>
  </si>
  <si>
    <t>0960-9822</t>
  </si>
  <si>
    <t>1879-0445</t>
  </si>
  <si>
    <t>CURR BIOL</t>
  </si>
  <si>
    <t>Curr. Biol.</t>
  </si>
  <si>
    <t>10.1016/j.cub.2023.08.086</t>
  </si>
  <si>
    <t>Biochemistry &amp; Molecular Biology; Biology; Cell Biology</t>
  </si>
  <si>
    <t>Biochemistry &amp; Molecular Biology; Life Sciences &amp; Biomedicine - Other Topics; Cell Biology</t>
  </si>
  <si>
    <t>X2LY9</t>
  </si>
  <si>
    <t>WOS:001096834700001</t>
  </si>
  <si>
    <t>Viola, B; Wienecke, B; Green, CP; Corney, S; Raymond, B; Southwell, C; Sumner, MD; Virtue, P; Wotherspoon, S; Emmerson, L</t>
  </si>
  <si>
    <t>Viola, Benjamin; Wienecke, Barbara; Green, Cara-Paige; Corney, Stuart; Raymond, Ben; Southwell, Colin; Sumner, Michael D.; Virtue, Patti; Wotherspoon, Simon; Emmerson, Louise</t>
  </si>
  <si>
    <t>Marine distribution and habitat use by Snow Petrels Pagodroma nivea in East Antarctica throughout the non-breeding period</t>
  </si>
  <si>
    <t>fulmarine petrels; GLS tracking; GLS tags; geolocation; seabirds; polar ecosystems; machine learning; boosting</t>
  </si>
  <si>
    <t>TRANS-EQUATORIAL MIGRATION; PRINCE CHARLES MOUNTAINS; SEABIRDS; KRILL; PREDATORS; ECOLOGY; AREAS; CONSEQUENCES; SELECTION; ATLANTIC</t>
  </si>
  <si>
    <t>The relationships between flying Antarctic seabirds and their at-sea environments remain poorly understood, particularly outside of the breeding season. Improving our knowledge of how these marine predators use their habitat is a critical step towards conservation of these species. We tracked 27 adult Snow Petrels from two large breeding colonies in East Antarctica during the Austral winter (non-breeding period) - when they are primarily at sea away from their nesting sites. During this time, Snow Petrel habitat use was most associated with bathymetry (&gt; 5000 m), low sea-surface height, relatively close distance to the southern boundary of the Antarctic Circumpolar Current, relatively close distance to the ice-edge, relatively high sea-ice concentration, and low sea-surface temperature. Individuals displayed various movement patterns: 20 birds occupied overlapping winter areas that ranged broadly (up to 2000 km) from their breeding sites. The remaining birds ventured far beyond their breeding sites - reaching a maximal distance from the colony of 5,268 km. One individual circumnavigated Antarctica. Daily activity patterns were related to day length, with peak activity occurring near dawn and dusk. Nocturnal activity increased from March until August/September. Key results reveal and depict Snow Petrel habitat maps for the non-breeding period in the East Antarctic region.</t>
  </si>
  <si>
    <t>[Viola, Benjamin; Green, Cara-Paige; Corney, Stuart; Raymond, Ben; Sumner, Michael D.; Virtue, Patti; Wotherspoon, Simon] Univ Tasmania, Inst Marine &amp; Antarctic Studies, Hobart, Tas, Australia; [Viola, Benjamin; Wienecke, Barbara; Raymond, Ben; Southwell, Colin; Sumner, Michael D.; Virtue, Patti; Wotherspoon, Simon; Emmerson, Louise] Australian Antarctic Div, Dept Climate Change Energy Environm &amp; Water, Kingston, Tas, Australia; [Corney, Stuart] Univ Tasmania, Australia Antarctic Program Partnership, Hobart, Tas, Australia</t>
  </si>
  <si>
    <t>University of Tasmania; Australian Antarctic Division; University of Tasmania</t>
  </si>
  <si>
    <t>Viola, B (corresponding author), Univ Tasmania, Inst Marine &amp; Antarctic Studies, Hobart, Tas, Australia.;Viola, B (corresponding author), Australian Antarctic Div, Dept Climate Change Energy Environm &amp; Water, Kingston, Tas, Australia.</t>
  </si>
  <si>
    <t>benjamin.viola@utas.edu.au</t>
  </si>
  <si>
    <t>Viola, Benjamin/GQO-8891-2022</t>
  </si>
  <si>
    <t>Viola, Benjamin/0000-0003-2620-2914</t>
  </si>
  <si>
    <t>The author(s) declare financial support was received for the research, authorship, and/or publication of this article. This work was funded by the Australian Antarctic Division AAS projects # 2722 and 4087 and a post- graduate scholarship for BV from Unive [2722, 4087]; Australian Antarctic Division AAS; University of Tasmania</t>
  </si>
  <si>
    <t>The author(s) declare financial support was received for the research, authorship, and/or publication of this article. This work was funded by the Australian Antarctic Division AAS projects # 2722 and 4087 and a post- graduate scholarship for BV from Unive; Australian Antarctic Division AAS; University of Tasmania</t>
  </si>
  <si>
    <t>We thank S. Doust, J. McInnes, H. Achurch, and L. Einoder for assistance in the field, and the ATAAMS team for early discussions surrounding this work. We extend thanks to N. Kelly, D. Fierro-Arcos, T. Travers, D. Green, A. Henderson, B. Woods, A. Fraser, J. Lieser, and J. Cleeland for fruitful discussions, and technical assistance with this work. We also thank S. Willmes for providing us with daily leads data for initial models that were not included in the final output. Finally, we thank the Australian Antarctic Division for funding and logistics support to deliver this work as a contribution to AAS projects # 2722, 4087, and 4518, and the Integrated Digital East Antarctica program. The work was carried out according to permits and conditions issued under the Australian Antarctic Treaty (Environmental Protection) Act 1980 (Permit numbers ATEP-4087-2011/12 and ATEP-4087-2012/13). This research was supported by use of the Nectar Research Cloud, a collaborative Australian research platform supported by the NCRIS-funded Australian Research Data Commons (ARDC).r The author(s) declare financial support was received for the research, authorship, and/or publication of this article. This work was funded by the Australian Antarctic Division AAS projects # 2722 and 4087 and a post- graduate scholarship for BV from University of Tasmania.</t>
  </si>
  <si>
    <t>10.3389/fmars.2023.1278229</t>
  </si>
  <si>
    <t>X5LH9</t>
  </si>
  <si>
    <t>WOS:001098859000001</t>
  </si>
  <si>
    <t>Purcell, AM; Dijkstra, P; Hungate, BA; Mcmillen, K; Schwartz, E; van Gestel, N</t>
  </si>
  <si>
    <t>Purcell, Alicia M.; Dijkstra, Paul; Hungate, Bruce A.; Mcmillen, Kelly; Schwartz, Egbert; van Gestel, Natasja</t>
  </si>
  <si>
    <t>Rapid growth rate responses of terrestrial bacteria to field warming on the Antarctic Peninsula</t>
  </si>
  <si>
    <t>ISME JOURNAL</t>
  </si>
  <si>
    <t>SOIL MICROBIAL COMMUNITIES; PRIMARY SUCCESSION; CLIMATE-CHANGE; CARBON; NITROGEN; DIVERSITY; PLANTS; TEMPERATURE; MICROORGANISMS; TURNOVER</t>
  </si>
  <si>
    <t>Ice-free terrestrial environments of the western Antarctic Peninsula are expanding and subject to colonization by new microorganisms and plants, which control biogeochemical cycling. Measuring growth rates of microbial populations and ecosystem carbon flux is critical for understanding how terrestrial ecosystems in Antarctica will respond to future warming. We implemented a field warming experiment in early (bare soil; +2 degrees C) and late (peat moss-dominated; +1.2 degrees C) successional glacier forefield sites on the western Antarctica Peninsula. We used quantitative stable isotope probing with H218O using intact cores in situ to determine growth rate responses of bacterial taxa to short-term (1 month) warming. Warming increased the growth rates of bacterial communities at both sites, even doubling the number of taxa exhibiting significant growth at the early site. Growth responses varied among taxa. Despite that warming induced a similar response for bacterial relative growth rates overall, the warming effect on ecosystem carbon fluxes was stronger at the early successional site-likely driven by increased activity of autotrophs which switched the ecosystem from a carbon source to a carbon sink. At the late-successional site, warming caused a significant increase in growth rate of many Alphaproteobacteria, but a weaker and opposite gross ecosystem productivity response that decreased the carbon sink-indicating that the carbon flux rates were driven more strongly by the plant communities. Such changes to bacterial growth and ecosystem carbon cycling suggest that the terrestrial Antarctic Peninsula can respond fast to increases in temperature, which can have repercussions for long-term elemental cycling and carbon storage.</t>
  </si>
  <si>
    <t>[Purcell, Alicia M.; Mcmillen, Kelly; van Gestel, Natasja] Texas Tech Univ, Dept Biol Sci, Lubbock, TX 79409 USA; [Purcell, Alicia M.; Dijkstra, Paul; Hungate, Bruce A.; Schwartz, Egbert] No Arizona Univ, Ctr Ecosyst Sci &amp; Soc, Flagstaff, AZ 86011 USA; [Purcell, Alicia M.; Dijkstra, Paul; Hungate, Bruce A.; Schwartz, Egbert] No Arizona Univ, Dept Biol Sci, Flagstaff, AZ 86011 USA; [van Gestel, Natasja] Texas Tech Univ, TTU Climate Ctr, Lubbock, TX USA</t>
  </si>
  <si>
    <t>Texas Tech University System; Texas Tech University; Northern Arizona University; Northern Arizona University; Texas Tech University System; Texas Tech University</t>
  </si>
  <si>
    <t>Purcell, AM (corresponding author), Texas Tech Univ, Dept Biol Sci, Lubbock, TX 79409 USA.;Purcell, AM (corresponding author), No Arizona Univ, Ctr Ecosyst Sci &amp; Soc, Flagstaff, AZ 86011 USA.;Purcell, AM (corresponding author), No Arizona Univ, Dept Biol Sci, Flagstaff, AZ 86011 USA.</t>
  </si>
  <si>
    <t>Alicia.Purcell@ttu.edu</t>
  </si>
  <si>
    <t>Purcell, Alicia/0000-0002-4778-4717</t>
  </si>
  <si>
    <t>This work was supported by the National Science Foundation Office of Polar Programs award numbers 1643871 and 1947562 to N. van Gestel. This work was made possible by the Antarctic Support Contractors and Palmer Station staff during the austral summer fiel [1643871, 1947562]; National Science Foundation Office of Polar Programs</t>
  </si>
  <si>
    <t>This work was supported by the National Science Foundation Office of Polar Programs award numbers 1643871 and 1947562 to N. van Gestel. This work was made possible by the Antarctic Support Contractors and Palmer Station staff during the austral summer fiel; National Science Foundation Office of Polar Programs(National Science Foundation (NSF)NSF - Directorate for Geosciences (GEO))</t>
  </si>
  <si>
    <t>This work was supported by the National Science Foundation Office of Polar Programs award numbers 1643871 and 1947562 to N. van Gestel. This work was made possible by the Antarctic Support Contractors and Palmer Station staff during the austral summer field season 2018-2019.</t>
  </si>
  <si>
    <t>1751-7362</t>
  </si>
  <si>
    <t>1751-7370</t>
  </si>
  <si>
    <t>ISME J</t>
  </si>
  <si>
    <t>ISME J.</t>
  </si>
  <si>
    <t>10.1038/s41396-023-01536-4</t>
  </si>
  <si>
    <t>Ecology; Microbiology</t>
  </si>
  <si>
    <t>Environmental Sciences &amp; Ecology; Microbiology</t>
  </si>
  <si>
    <t>AH4I1</t>
  </si>
  <si>
    <t>WOS:001087818500002</t>
  </si>
  <si>
    <t>Sohail, T</t>
  </si>
  <si>
    <t>Sohail, Taimoor</t>
  </si>
  <si>
    <t>Committed future ice-shelf melt</t>
  </si>
  <si>
    <t>The collapse of the West Antarctic Ice Sheet is a worrying climate tipping point, with the potential to raise global sea level by up to 5.3 metres. Now, an assessment of future climate scenarios suggests that accelerated melting of ice shelves in West Antarctica is locked in, even for the most ambitious emissions reduction scenarios.</t>
  </si>
  <si>
    <t>[Sohail, Taimoor] Univ New South Wales, Sch Math &amp; Stat, Sydney, NSW, Australia; [Sohail, Taimoor] Univ New South Wales, Australian Ctr Excellence Antarctic Sci, Sydney, NSW, Australia</t>
  </si>
  <si>
    <t>University of New South Wales Sydney; University of New South Wales Sydney</t>
  </si>
  <si>
    <t>Sohail, Taimoor/T-3785-2018</t>
  </si>
  <si>
    <t>Sohail, Taimoor/0000-0002-4162-3269</t>
  </si>
  <si>
    <t>10.1038/s41558-023-01817-y</t>
  </si>
  <si>
    <t>X5HA5</t>
  </si>
  <si>
    <t>WOS:001087062600001</t>
  </si>
  <si>
    <t>Naughten, KA; Holland, PR; De Rydt, J</t>
  </si>
  <si>
    <t>Naughten, Kaitlin A.; Holland, Paul R.; De Rydt, Jan</t>
  </si>
  <si>
    <t>Unavoidable future increase in West Antarctic ice-shelf melting over the twenty-first century</t>
  </si>
  <si>
    <t>AMUNDSEN SEA; VARIABILITY; MELTWATER; DRIVEN; MODEL</t>
  </si>
  <si>
    <t>Ocean-driven melting of floating ice-shelves in the Amundsen Sea is currently the main process controlling Antarctica's contribution to sea-level rise. Using a regional ocean model, we present a comprehensive suite of future projections of ice-shelf melting in the Amundsen Sea. We find that rapid ocean warming, at approximately triple the historical rate, is likely committed over the twenty-first century, with widespread increases in ice-shelf melting, including in regions crucial for ice-sheet stability. When internal climate variability is considered, there is no significant difference between mid-range emissions scenarios and the most ambitious targets of the Paris Agreement. These results suggest that mitigation of greenhouse gases now has limited power to prevent ocean warming that could lead to the collapse of the West Antarctic Ice Sheet.</t>
  </si>
  <si>
    <t>[Naughten, Kaitlin A.; Holland, Paul R.] British Antarctic Survey, Cambridge, England; [De Rydt, Jan] Northumbria Univ, Newcastle Upon Tyne, England</t>
  </si>
  <si>
    <t>UK Research &amp; Innovation (UKRI); Natural Environment Research Council (NERC); NERC British Antarctic Survey; Northumbria University</t>
  </si>
  <si>
    <t>Naughten, KA (corresponding author), British Antarctic Survey, Cambridge, England.</t>
  </si>
  <si>
    <t>kaight@bas.ac.uk</t>
  </si>
  <si>
    <t>De Rydt, Jan/H-5692-2018</t>
  </si>
  <si>
    <t>De Rydt, Jan/0000-0002-2978-8706; Naughten, Kaitlin/0000-0001-9475-9162</t>
  </si>
  <si>
    <t>We thank the CESM Climate Variability and Change Working Group for producing the CESM1 ensembles for community use. G. Strand assisted with data access to CESM1 output. M. Mineter ported the ocean model to the ARCHER2 facility and optimized its computation [NE/S011994/1]; UKRI-JSPS project 'Quantifying Human Influence on Ocean Melting of the West Antarctic Ice Sheet' [820575]; EU [MR/W011816/1, ARCHER2-eCSE02-06]; UKRI Future Leaders Fellowship; FIC [NE/S011994/1] Funding Source: UKRI</t>
  </si>
  <si>
    <t>We thank the CESM Climate Variability and Change Working Group for producing the CESM1 ensembles for community use. G. Strand assisted with data access to CESM1 output. M. Mineter ported the ocean model to the ARCHER2 facility and optimized its computation; UKRI-JSPS project 'Quantifying Human Influence on Ocean Melting of the West Antarctic Ice Sheet'; EU(European Union (EU)); UKRI Future Leaders Fellowship(UK Research &amp; Innovation (UKRI)); FIC</t>
  </si>
  <si>
    <t>We thank the CESM Climate Variability and Change Working Group for producing the CESM1 ensembles for community use. G. Strand assisted with data access to CESM1 output. M. Mineter ported the ocean model to the ARCHER2 facility and optimized its computational performance. R. Reese provided advice on the ice sheet buttressing simulations and their analysis. C. Jones provided advice on scenario divergence calculations. Q. Dalaiden provided information about the treatment of Antarctic snowfall in CESM1. Previous developers of the ocean model configuration include D. Bett, S. Kimura, K. Assmann and M. Losch; the ice sheet model is developed and maintained by G. H. Gudmundsson. The authors benefited from helpful discussions with J. Janzing, K. Turner, P. Dutrieux and A. Silvano during the development of this study. This research is part of the UKRI-JSPS project 'Quantifying Human Influence on Ocean Melting of the West Antarctic Ice Sheet' (NE/S011994/1, K.A.N., P.R.H.). It was also supported by the NERC LTSM project TerraFIRMA (Future Impacts, Risks and Mitigation Actions in a changing Earth system, K.A.N., P.R.H.), the EU Horizon 2020 project TiPACCs (Tipping Points in Antarctic Climate Components, 820575, J.D.R.) and a UKRI Future Leaders Fellowship (MR/W011816/1, J.D.R.). Model porting and optimization was supported by the project 'Optimizing MITgcm on ARCHER2' (ARCHER2-eCSE02-06, K.A.N.). Computational resources were provided by the ARCHER2 UK National Supercomputing Service.</t>
  </si>
  <si>
    <t>10.1038/s41558-023-01818-x</t>
  </si>
  <si>
    <t>WOS:001087062600003</t>
  </si>
  <si>
    <t>Choi, SK; Kang, YH; Moon, K; Seo, IS; Kim, S; Park, SR</t>
  </si>
  <si>
    <t>Choi, Sun Kyeong; Kang, Yun Hee; Moon, Kyeonglim; Seo, In-Soo; Kim, Sanghee; Park, Sang Rul</t>
  </si>
  <si>
    <t>The dynamics of growth and maturation age in the scallop Adamussium colbecki in Tera Nova Bay, Antarctica</t>
  </si>
  <si>
    <t>ESTUARINE COASTAL AND SHELF SCIENCE</t>
  </si>
  <si>
    <t>Adamussium colbecki; Antarctic scallop; Age; Growth rate; Sexual maturity</t>
  </si>
  <si>
    <t>FISH TREMATOMUS-BERNACCHII; 1ST SEXUAL-MATURITY; MCMURDO SOUND; ROSS SEA; VARIABILITY; BIVALVIA; TEMPERATURE; CYCLE; SIZE; ICE</t>
  </si>
  <si>
    <t>The endemic Antarctic scallop Adamussium colbecki, one of the most common bivalve species, plays an important ecological role in Antarctic ecosystems. In this study, we investigated the size frequency structure, shell height, and gonadosomatic index (GSI) of A. colbecki in coastal areas near Jang Bogo Antarctic Research Station in Terra Nova Bay. A generalized von Bertalanffy growth function was fitted to shell height-at-age measurements of 389 individuals (H-infinity = 115.4 mm and K = 0.064 year(-1)). Large-sized individuals (70-84 mm) of A. colbecki were similar to 2X as prevalent, accounting for more than 50% of the overall density. Individuals younger than 6 years showed a lower growth rate compared to that reported in previous studies. GSI indicated that sexual maturity of both females and males was observed in individuals over 50 mm shell height at the age of approximately 9 years. The maturity was delayed by two to four years when compared with previous data in Terra Nova Bay due to the low growth rates of the young population. Therefore, the low growth rate of young individuals and the delayed maturity age may have deleterious effects on population growth. The information reported here provides baseline scientific data that can be used to develop better informed management decisions and aid in defining an effective management strategy for Antarctic scallops.</t>
  </si>
  <si>
    <t>[Choi, Sun Kyeong] Korea Inst Ocean Sci &amp; Technol, Trop &amp; Subtrop Res Ctr, Jeju 63349, South Korea; [Kang, Yun Hee; Park, Sang Rul] Jeju Natl Univ, Ctr Climate Change Response, Jeju 63243, South Korea; [Moon, Kyeonglim; Park, Sang Rul] Jeju Natl Univ, Dept Marine Life Sci, Estuarine &amp; Coastal Ecol Lab, Jeju 63243, South Korea; [Seo, In-Soo] Korea Benthos Res Ctr Co Ltd, Busan 608804, South Korea; [Kim, Sanghee] Korea Polar Res Inst, Div Life Sci, Incheon 21990, South Korea</t>
  </si>
  <si>
    <t>Korea Institute of Ocean Science &amp; Technology (KIOST); Jeju National University; Jeju National University; Korea Polar Research Institute (KOPRI)</t>
  </si>
  <si>
    <t>Park, SR (corresponding author), Jeju Natl Univ, Ctr Climate Change Response, Jeju 63243, South Korea.;Kim, S (corresponding author), Korea Polar Res Inst, Div Life Sci, Incheon 21990, South Korea.</t>
  </si>
  <si>
    <t>sangheekim@kopri.re.kr; srpark@jejunu.ac.kr</t>
  </si>
  <si>
    <t>Korea Polar Research Institute KOPRI [PE22140]; Korea Institute of Marine Science &amp; Technology Promotion (KIMST) - Ministry of Oceans and Fisheries [20220559]; Basic Science Research Program through the National Research Foundation of Korea (NRF) - Ministry of Education [2019R1I1A2A01040865]</t>
  </si>
  <si>
    <t>Korea Polar Research Institute KOPRI(Korea Polar Research Institute of Marine Research Placement (KOPRI)); Korea Institute of Marine Science &amp; Technology Promotion (KIMST) - Ministry of Oceans and Fisheries(Korea Institute of Marine Science &amp; Technology Promotion (KIMST)); Basic Science Research Program through the National Research Foundation of Korea (NRF) - Ministry of Education(National Research Foundation of KoreaMinistry of Education (MOE), Republic of KoreaNational Research Council for Economics, Humanities &amp; Social Sciences, Republic of Korea)</t>
  </si>
  <si>
    <t>We thank members of Estuarine and Coastal Ecology Laboratory of Jeju National University for their many hours of field and lab assistance. Special thanks to Seonggil Go for critical advice on data analysis. This work was supported by the Korea Polar Research Institute KOPRI (research grants PE22140) to Sang Rul Park and Sanghee Kim. This research was also supported by Korea Institute of Marine Science &amp; Technology Promotion (KIMST) funded by the Ministry of Oceans and Fisheries (20220559) and by Basic Science Research Program through the National Research Foundation of Korea (NRF) funded by the Ministry of Education (2019R1I1A2A01040865) to Sang Rul Park.</t>
  </si>
  <si>
    <t>0272-7714</t>
  </si>
  <si>
    <t>1096-0015</t>
  </si>
  <si>
    <t>ESTUAR COAST SHELF S</t>
  </si>
  <si>
    <t>Estuar. Coast. Shelf Sci.</t>
  </si>
  <si>
    <t>NOV 5</t>
  </si>
  <si>
    <t>10.1016/j.ecss.2023.108537</t>
  </si>
  <si>
    <t>X6ZR5</t>
  </si>
  <si>
    <t>WOS:001099914100001</t>
  </si>
  <si>
    <t>Fang, ZM; Zhang, K; Yang, WF; Chen, M; Stubbins, A; Hu, HN</t>
  </si>
  <si>
    <t>Fang, Ziming; Zhang, Kun; Yang, Weifeng; Chen, Min; Stubbins, Aron; Hu, Huina</t>
  </si>
  <si>
    <t>Top-down control over dissolved organic carbon in the bottom water of the Weddell Sea and its implication for the continental shelf pump</t>
  </si>
  <si>
    <t>NORTHERN ANTARCTIC PENINSULA; BLACK CARBON; OCEAN CARBON; DEEP WATERS; ROSS SEA; MATTER; TRANSPORT; ICE; CO2; PHYTOPLANKTON</t>
  </si>
  <si>
    <t>Dense water out of the Antarctic shelves is expected to drive the transport of carbon into the deep Southern Ocean via the formation of Antarctic Bottom Water. However, bottom water formation's capacity to sequester carbon into the deep ocean is poorly constrained. Here, dissolved organic carbon (DOC), dissolved black carbon (DBC), and particulate organic carbon (POC) were examined to reveal the influence of the Weddell Sea Deep Water (WSDW) on DOC transport during its flowing out of the Weddell Sea. High DOC concentrations (&gt;60 mu M-C) and low DBC/DOC ratios (&lt;1.5%) were observed in surface water near the South Orkney Islands, ascribing to sea ice melt-induced phytoplankton blooms. Seawater at the mid-deep depths exhibited a higher DOC concentration (averaging 48.1 +/- 3.7 mu M-C) than the incoming water source, resulting from the release of DOC from sinking particles. Bottom water had higher DOC concentration compared to the mid-deep layer water (t-test, p &lt; 0.005), while the DBC concentrations were comparable. In addition, the excess DOC (relative to WSDW) in bottom water showed a close relation with POC in surface water. These results reveal a top-down control over the DOC concentration in bottom water through a quick sinking of diatom detritus and subsequently solubilization in bottom water and/or sediment. With an estimate, the WSDW carries 5.1 +/- 2.8 Tg-C/yr of excess DOC out of the Powell Basin, representing an important carbon source to the deep Southern Ocean. This study highlights the key role of the Antarctic continental shelf pump in carbon sequestration.</t>
  </si>
  <si>
    <t>[Fang, Ziming; Zhang, Kun; Yang, Weifeng; Chen, Min; Hu, Huina] Xiamen Univ, Coll Ocean &amp; Earth Sci, State Key Lab Marine Environm Sci, Xiamen 361102, Peoples R China; [Stubbins, Aron] Northeastern Univ, Dept Marine &amp; Environm Sci, Boston, MA 02115 USA; [Stubbins, Aron] Northeastern Univ, Dept Civil &amp; Environm Engn, Boston, MA 02115 USA; [Stubbins, Aron] Northeastern Univ, Dept Chem &amp; Chem Biol, Boston, MA 02115 USA</t>
  </si>
  <si>
    <t>Xiamen University; Northeastern University; Northeastern University; Northeastern University</t>
  </si>
  <si>
    <t>Yang, WF (corresponding author), Xiamen Univ, Coll Ocean &amp; Earth Sci, State Key Lab Marine Environm Sci, Xiamen 361102, Peoples R China.;Stubbins, A (corresponding author), Northeastern Univ, Dept Marine &amp; Environm Sci, Boston, MA 02115 USA.;Stubbins, A (corresponding author), Northeastern Univ, Dept Civil &amp; Environm Engn, Boston, MA 02115 USA.;Stubbins, A (corresponding author), Northeastern Univ, Dept Chem &amp; Chem Biol, Boston, MA 02115 USA.</t>
  </si>
  <si>
    <t>wyang@xmu.edu.cn; a.stubbins@northeastern.edu</t>
  </si>
  <si>
    <t>Stubbins, Aron/M-8801-2014; Yang, Weifeng/G-3996-2010</t>
  </si>
  <si>
    <t>Yang, Weifeng/0000-0002-9339-1746</t>
  </si>
  <si>
    <t>National Natural Science Foundation of China [42076030, 42306046]; Ministry of Natural Resources of the People's Republic of China [IRASCC 01-01-02B, IRASCC 02-02-03]; Fundamental Research Funds for the Central Universities of China [0050ZK1150]</t>
  </si>
  <si>
    <t>National Natural Science Foundation of China(National Natural Science Foundation of China (NSFC)); Ministry of Natural Resources of the People's Republic of China; Fundamental Research Funds for the Central Universities of China(Fundamental Research Funds for the Central Universities)</t>
  </si>
  <si>
    <t>This study was financially supported by the National Natural Science Foundation of China (Grant No. 42076030 to WY, Grant No. 42306046 to ZF) , the Ministry of Natural Resources of the People's Republic of China (IRASCC 01-01-02B, IRASCC 02-02-03 to MC) , and the Fundamental Research Funds for the Central Universities of China (Grant No. 0050ZK1150 to ZF) . Sasha Wagner, Lixin Zhu, and Jay Brandes are thanked for their assistance in DBC analyses. Junjie Li assisted in DOC determination. The data on temperature and salinity were provided by the Polar Research Institute of China.</t>
  </si>
  <si>
    <t>10.1016/j.pocean.2023.103145</t>
  </si>
  <si>
    <t>Y5JG6</t>
  </si>
  <si>
    <t>WOS:001105612500001</t>
  </si>
  <si>
    <t>Turnlund, AC; Vanwonterghem, I; Botté, ES; Randall, CJ; Giuliano, C; Kam, L; Bell, S; O'Brien, P; Negri, AP; Webster, NS; Lurgi, M</t>
  </si>
  <si>
    <t>Turnlund, Abigail C.; Vanwonterghem, Inka; Botte, Emmanuelle S.; Randall, Carly J.; Giuliano, Christine; Kam, Lisa; Bell, Sara; O'Brien, Paul; Negri, Andrew P.; Webster, Nicole S.; Lurgi, Miguel</t>
  </si>
  <si>
    <t>Linking differences in microbial network structure with changes in coral larval settlement</t>
  </si>
  <si>
    <t>ISME COMMUNICATIONS</t>
  </si>
  <si>
    <t>POLYCHAETE HYDROIDS-ELEGANS; MARINE BIOFILMS; SCLERACTINIAN CORAL; SPATIAL SCALES; SP NOV.; BACTERIA; INHIBITION; SURFACE; METAMORPHOSIS; RECRUITMENT</t>
  </si>
  <si>
    <t>Coral cover and recruitment have decreased on reefs worldwide due to climate change-related disturbances. Achieving reliable coral larval settlement under aquaculture conditions is critical for reef restoration programmes; however, this can be challenging due to the lack of reliable and universal larval settlement cues. To investigate the role of microorganisms in coral larval settlement, we undertook a settlement choice experiment with larvae of the coral Acropora tenuis and microbial biofilms grown for different periods on the reef and in aquaria. Biofilm community composition across conditioning types and time was profiled using 16S and 18S rRNA gene sequencing. Co-occurrence networks revealed that strong larval settlement correlated with diverse biofilm communities, with specific nodes in the network facilitating connections between modules comprised of low- vs high-settlement communities. Taxa associated with high-settlement communities were identified as Myxoccales sp., Granulosicoccus sp., Alcanivoraceae sp., unassigned JTB23 sp. (Gammaproteobacteria), and Pseudovibrio denitrificans. Meanwhile, taxa closely related to Reichenbachiella agariperforans, Pleurocapsa sp., Alcanivorax sp., Sneathiella limmimaris, as well as several diatom and brown algae were associated with low settlement. Our results characterise high-settlement biofilm communities and identify transitionary taxa that may develop settlement-inducing biofilms to improve coral larval settlement in aquaculture.</t>
  </si>
  <si>
    <t>[Turnlund, Abigail C.; Vanwonterghem, Inka; O'Brien, Paul; Webster, Nicole S.] Univ Queensland, Australian Ctr Ecogenom, Sch Chem &amp; Mol Biosci, St Lucia, Qld 4072, Australia; [Botte, Emmanuelle S.] Univ New South Wales, Ctr Marine Sci &amp; Innovat, Sch Biol Earth &amp; Environm Sci, Sydney, NSW, Australia; [Botte, Emmanuelle S.; Randall, Carly J.; Giuliano, Christine; Kam, Lisa; Bell, Sara; Negri, Andrew P.; Webster, Nicole S.] Australian Inst Marine Sci, Townsville, Qld, Australia; [Webster, Nicole S.] Australian Antarctic Div, Dept Climate Change Energy Environm &amp; Water, Kingston, Tas, Australia; [Lurgi, Miguel] Swansea Univ, Dept Biosci, Swansea SA2 8PP, Wales</t>
  </si>
  <si>
    <t>University of Queensland; University of New South Wales Sydney; Australian Institute of Marine Science; Australian Antarctic Division; Swansea University</t>
  </si>
  <si>
    <t>Lurgi, M (corresponding author), Swansea Univ, Dept Biosci, Swansea SA2 8PP, Wales.</t>
  </si>
  <si>
    <t>miguel.lurgi@swansea.ac.uk</t>
  </si>
  <si>
    <t>Randall, Carly J./H-4195-2019</t>
  </si>
  <si>
    <t>Randall, Carly J./0000-0001-8112-3552; Botte, Emmanuelle/0000-0001-5070-5891; Bell, Sara/0000-0003-1327-0360; Giuliano, Christine/0000-0002-6945-7151</t>
  </si>
  <si>
    <t>We acknowledge the Wulgurukaba and Bindal people as the Traditional Custodians of sea Country where this research took place. The authors acknowledge their Elders past, present, and emerging, and their continuing spiritual connection to sea Country. Coral; Australian Institute of Marine Science; Great Barrier Reef Foundation; Reef Restoration and Adaptation Programme; Australian Government's Reef Trust</t>
  </si>
  <si>
    <t>We acknowledge the Wulgurukaba and Bindal people as the Traditional Custodians of sea Country where this research took place. The authors acknowledge their Elders past, present, and emerging, and their continuing spiritual connection to sea Country. Coral; Australian Institute of Marine Science; Great Barrier Reef Foundation; Reef Restoration and Adaptation Programme; Australian Government's Reef Trust(Australian Government)</t>
  </si>
  <si>
    <t>We acknowledge the Wulgurukaba and Bindal people as the Traditional Custodians of sea Country where this research took place. The authors acknowledge their Elders past, present, and emerging, and their continuing spiritual connection to sea Country. Coral colonies were collected under permit G12/35236.1 issued by the Great Barrier Reef Marine Park Authority. This research was funded by the Australian Institute of Marine Science, the Great Barrier Reef Foundation (Fast Tracking Coral Propagation and Spawning) and the Reef Restoration and Adaptation Programme, a partnership between the Australian Government's Reef Trust and the Great Barrier Reef Foundation. We thank T Whitman, G Milton, B Stephenson, A Campili and RV Cape Ferguson crew for field assistance. We thank JE Speaks for spat quantification and assessment.</t>
  </si>
  <si>
    <t>2730-6151</t>
  </si>
  <si>
    <t>ISME COMMUN</t>
  </si>
  <si>
    <t>ISME Commun.</t>
  </si>
  <si>
    <t>OCT 21</t>
  </si>
  <si>
    <t>10.1038/s43705-023-00320-x</t>
  </si>
  <si>
    <t>X1AN8</t>
  </si>
  <si>
    <t>WOS:001095845800001</t>
  </si>
  <si>
    <t>Jansen, J; Jansen, J; Dean, AT; Brandle, R; Peacock, DE; Jones, ME</t>
  </si>
  <si>
    <t>Jansen, Jeroen; Jansen, Jan; Dean, Abbey T.; Brandle, Robert; Peacock, David E.; Jones, Menna E.</t>
  </si>
  <si>
    <t>High-resolution mapping of rabbit (Oryctolagus cuniculus) densities for targeted conservation management</t>
  </si>
  <si>
    <t>JOURNAL OF APPLIED ECOLOGY</t>
  </si>
  <si>
    <t>abundance model; inclusion probability; invasive alien species; landscape scale; management efficiency; spatially balanced; species distribution; transect survey</t>
  </si>
  <si>
    <t>EUROPEAN RABBIT; FLINDERS RANGES; HABITAT; IMPACT</t>
  </si>
  <si>
    <t>Despite the staggering economic and ecological impacts of invasive animals, maps of their distribution are often only broad generalisations. Detailed knowledge about the spatial distribution of pest animals is crucial to efficiently reduce their numbers in open landscapes where no conservation fencing, or natural boundaries exist.Our case study tests a random but spatially balanced transect design to collect data on the distribution of the European rabbit (Oryctolagus cuniculus), a major destructive pest species in Australian ecosystems, and create distribution maps in relation to abiotic and biotic features. We surveyed an area of 650 km(2) in the semi-arid Flinders Ranges of South Australia using 95 transects (1.4 km length by 50 m width), that were placed with a method originally developed for surveying the ocean-floor and applied for the first time in terrestrial ecosystems.According to a hurdle model fitted to our data set, the presence of rabbit warrens is influenced by geology, vegetation cover and the topographic wetness index, whereas the number of holes per warren depends on the ruggedness of the terrain, the vegetation cover and whether it has previously been destroyed.The model predicted the numbers of rabbit holes with up to 96.4% accuracy and at a previously unavailable resolution, providing a significant improvement in detail of the distribution of this feral animal.Synthesis and applications: A reliable, high-resolution map of the distribution of rabbit densities was generated with surveying of less than 1% of the study area, information that can now be used to direct targeted conservation management efforts. This method is highly accurate and can still be improved in future studies.</t>
  </si>
  <si>
    <t>[Jansen, Jeroen; Dean, Abbey T.; Jones, Menna E.] Univ Tasmania, Sch Nat Sci, Hobart, Tas, Australia; [Jansen, Jan] Univ Tasmania, Inst Marine &amp; Antarctic Studies, Hobart, Tas, Australia; [Brandle, Robert] Dept Environm &amp; Water, Port Augusta, SA, Australia; [Peacock, David E.] Univ Adelaide, Davies Livestock Res Ctr, Sch Anim &amp; Vet Sci, Roseworthy, SA, Australia</t>
  </si>
  <si>
    <t>University of Tasmania; University of Tasmania; University of Adelaide</t>
  </si>
  <si>
    <t>Jansen, J (corresponding author), Univ Tasmania, Sch Nat Sci, Hobart, Tas, Australia.</t>
  </si>
  <si>
    <t>jeroen.jansen@utas.edu.au</t>
  </si>
  <si>
    <t>; Jansen, Jan/O-8632-2014</t>
  </si>
  <si>
    <t>Jansen, Jeroen/0000-0002-6002-4552; Jones, Menna/0000-0001-7558-9022; Jansen, Jan/0000-0001-5896-365X</t>
  </si>
  <si>
    <t>We thank Scott Foster, Sebastien Comte, Ben Halliwell, Luke Yates, Leon Barmuta and Simon Wotherspoon for help during analysis; Greg Mutze for suggestions on study design; Iain Dunk and the Department for Environment and Water for providing data and help w; Wiley - University of Tasmania agreement via the Council of Australian University Librarians</t>
  </si>
  <si>
    <t>We thank Scott Foster, Sebastien Comte, Ben Halliwell, Luke Yates, Leon Barmuta and Simon Wotherspoon for help during analysis; Greg Mutze for suggestions on study design; Iain Dunk and the Department for Environment and Water for providing data and help with transect setup; Adnyamathanha members of the IFRNP co-management board for permission to do fieldwork on their country, and National Parks and Wildlife Service for ongoing support and access to park facilities. This research was supported by use of the Nectar Research Cloud. We thank three anonymous reviewers for constructive suggestions to improve the manuscript. Open access publishing facilitated by University of Tasmania, as part of the Wiley - University of Tasmania agreement via the Council of Australian University Librarians.</t>
  </si>
  <si>
    <t>0021-8901</t>
  </si>
  <si>
    <t>1365-2664</t>
  </si>
  <si>
    <t>J APPL ECOL</t>
  </si>
  <si>
    <t>J. Appl. Ecol.</t>
  </si>
  <si>
    <t>10.1111/1365-2664.14525</t>
  </si>
  <si>
    <t>GJ8T3</t>
  </si>
  <si>
    <t>WOS:001090940200001</t>
  </si>
  <si>
    <t>Hahn, T; Egger, J; Krake, S; Dyballa, M; Stegbauer, L; von Seggern, N; Bruheim, I; Zibek, S</t>
  </si>
  <si>
    <t>Hahn, Thomas; Egger, Jeannine; Krake, Simon; Dyballa, Michael; Stegbauer, Linus; von Seggern, Nils; Bruheim, Inge; Zibek, Susanne</t>
  </si>
  <si>
    <t>Comprehensive characterization and evaluation of the process chain and products from Euphausia superba exocuticles to chitosan</t>
  </si>
  <si>
    <t>JOURNAL OF APPLIED POLYMER SCIENCE</t>
  </si>
  <si>
    <t>Antarctic krill; characterization; chitin; chitosan; deacetylation; Euphausia superba; extraction</t>
  </si>
  <si>
    <t>SOLID-STATE NMR; CHITIN EXTRACTION; KRILL MEAL; AMINO-ACID; WASTE; ACETYLATION; OIL; DEACETYLATION; CRYSTALLINE; KINETICS</t>
  </si>
  <si>
    <t>Antarctic krill (Euphausia superba) is a source for compounds of high nutritive value. Within that process of extraction, exocuticles (shells) accumulate which are currently disposed. A valorization of the compounds of the exocuticle such as chitosan would be beneficial to avoid waste and to obtain a versatile polymer at the same time. In contrast to previous investigations focusing on chitosan production from whole krill, we applied and optimized process stages of the chitosan production from the exocuticles, performing a comprehensive analytical evaluation of the whole process, the side streams and the products for the first time. Degreasing was the first step resulting in a krill oil yield of 6.2% using ethanol. The fatty acid profile exhibited high contents of phospholipids (21.2%). Citric acid offered a demineralization efficiency of 93%. Deproteinization investigation revealed 2 M NaOH and 90(degrees)C for 2.5 h to be the best parameters, resulting in a deproteinization efficiency of 99.9% and a chitin content of 92.8%. The spectroscopic investigation indicated that the chitin has a crystallinity index of 76% and an acetylation degree of 88%. The deacetylation degrees of the resulting chitosans is determined to be 74%-88%, the molecular weight ranges from 102 to 126 kDa.</t>
  </si>
  <si>
    <t>[Hahn, Thomas; Egger, Jeannine; Krake, Simon; Zibek, Susanne] Fraunhofer Inst Interfacial Engn &amp; Biotechnol, Grp Bioproc Engn, Stuttgart, Germany; [Krake, Simon; Stegbauer, Linus; von Seggern, Nils; Zibek, Susanne] Univ Stuttgart, Inst Interfacial Proc Engn &amp; Plasma Technol, Stuttgart, Germany; [Dyballa, Michael] Univ Stuttgart, Inst Tech Chem, Stuttgart, Germany; [Bruheim, Inge] Rimfrost AS, Alesund, Norway; [Hahn, Thomas] Fraunhofer Inst Interfacial Engn &amp; Biotechnol, Grp Bioproc Engn, Nobelstr 12, D-70569 Stuttgart, Germany</t>
  </si>
  <si>
    <t>Fraunhofer Gesellschaft; University of Stuttgart; University of Stuttgart; Fraunhofer Gesellschaft</t>
  </si>
  <si>
    <t>Hahn, T (corresponding author), Fraunhofer Inst Interfacial Engn &amp; Biotechnol, Grp Bioproc Engn, Nobelstr 12, D-70569 Stuttgart, Germany.</t>
  </si>
  <si>
    <t>thomas.hahn@igb.fraunhofer.de</t>
  </si>
  <si>
    <t>Krake, Simon/0009-0006-2841-8072; Dyballa, Michael/0000-0002-8883-1145; Stegbauer, Linus/0000-0003-1823-7949</t>
  </si>
  <si>
    <t>The authors would like to thank Padma Priya Ravi for their valuable comments during generation of the manuscript. Additionally, we would like to thank Jessica Bauhof for the XRD measurements. Open Access funding enabled and organized by Projekt DEAL.</t>
  </si>
  <si>
    <t>0021-8995</t>
  </si>
  <si>
    <t>1097-4628</t>
  </si>
  <si>
    <t>J APPL POLYM SCI</t>
  </si>
  <si>
    <t>J. Appl. Polym. Sci.</t>
  </si>
  <si>
    <t>10.1002/app.54789</t>
  </si>
  <si>
    <t>EK3Y8</t>
  </si>
  <si>
    <t>WOS:001090148800001</t>
  </si>
  <si>
    <t>Martin, JE; Norton, T</t>
  </si>
  <si>
    <t>Martin, Jonathan E.; Norton, Taylor</t>
  </si>
  <si>
    <t>Waviness of the Southern Hemisphere wintertime polar and subtropical jets</t>
  </si>
  <si>
    <t>ARCTIC AMPLIFICATION; NORTHERN-HEMISPHERE; ANNULAR MODES; STORM TRACKS; REANALYSIS; WEATHER; CLIMATOLOGY; STREAM; VARIABILITY; CIRCULATION</t>
  </si>
  <si>
    <t>The recently developed average latitudinal displacement (ALD) methodology is applied to assess the waviness of the austral-winter subtropical and polar jets using three different reanalysis data sets. As in the wintertime Northern Hemisphere, both jets in the Southern Hemisphere have become systematically wavier over the time series and the waviness of each jet evolves quite independently of the other during most cold seasons. Also, like its Northern Hemisphere equivalent, the Southern Hemisphere polar jet exhibits no trend in speed (though it is notably slower), while its poleward shift is statistically significant. In contrast to its Northern Hemisphere counterpart, the austral subtropical jet has undergone both a systematic increase in speed and a statistically significant poleward migration. Composite differences between the waviest and least wavy seasons for each species suggest that the Southern Hemisphere's lower-stratospheric polar vortex is negatively impacted by unusually wavy tropopause-level jets of either species. These results are considered in the context of trends in the Southern Annular Mode as well as the findings of other related studies.</t>
  </si>
  <si>
    <t>[Martin, Jonathan E.] Univ Wisconsin Madison, Dept Atmospher &amp; Ocean Sci, Madison, WI 53706 USA; [Norton, Taylor] Univ Wisconsin Madison, Antarctic Meteorol Res Ctr, Madison, WI 53706 USA</t>
  </si>
  <si>
    <t>University of Wisconsin System; University of Wisconsin Madison; University of Wisconsin System; University of Wisconsin Madison</t>
  </si>
  <si>
    <t>Martin, JE (corresponding author), Univ Wisconsin Madison, Dept Atmospher &amp; Ocean Sci, Madison, WI 53706 USA.</t>
  </si>
  <si>
    <t>jemarti1@wisc.edu</t>
  </si>
  <si>
    <t>National Science Foundation; [ATM-1640055]; [NSF-2055667]</t>
  </si>
  <si>
    <t>National Science Foundation(National Science Foundation (NSF)); ;</t>
  </si>
  <si>
    <t>This work was supported by the National Science Foundation (grant nos. ATM-1640055 and NSF-2055667). JRA-55 data are available from the Research Data Archive at the National Center for Atmospheric Research. The authors would like to thank Andrea A. Lopez-Lang for helpful comments and suggestions.</t>
  </si>
  <si>
    <t>OCT 20</t>
  </si>
  <si>
    <t>10.5194/wcd-4-875-2023</t>
  </si>
  <si>
    <t>IU4U8</t>
  </si>
  <si>
    <t>WOS:001168845900001</t>
  </si>
  <si>
    <t>Kang, D</t>
  </si>
  <si>
    <t>Kang, Donghwa</t>
  </si>
  <si>
    <t>IceCube Collaboration</t>
  </si>
  <si>
    <t>Recent results of cosmic-ray studies with IceTop at the IceCube Neutrino Observatory</t>
  </si>
  <si>
    <t>Cosmic rays; Energy spectrum; Mass composition; GeV muons</t>
  </si>
  <si>
    <t>SPECTRUM</t>
  </si>
  <si>
    <t>The IceCube Neutrino Observatory is a cubic-kilometer Cherenkov detector that is deployed deep in the Antarctic ice at the South Pole. A square kilometer companion surface detector, IceTop, located directly above in the in-ice array, measures cosmic-ray initiated extensive air showers with primary energies between 100 TeV and 1 EeV. By combining the events measured by IceTop and the in-ice detectors of IceCube in coincidence, we can reconstruct the energy spectra for different primary mass groups. Therefore, we provide information about the origin of cosmic rays, in particular, in the transition region from galactic to extra-galactic origin of high-energy cosmic rays. In this contribution we present recent experimental results, as well as prospects by the foreseen enhancement of the surface detectors of IceTop and the future IceCube-Gen2 surface array.(c) 2023 COSPAR. Published by Elsevier B.V. This is an open access article under the CC BY license (http://creativecommons.org/licenses/by/4.0/).</t>
  </si>
  <si>
    <t>[Kang, Donghwa] Karlsruhe Inst Technol, Inst Astroparticle Phys, Karlsruhe, Germany</t>
  </si>
  <si>
    <t>Helmholtz Association; Karlsruhe Institute of Technology</t>
  </si>
  <si>
    <t>Kang, D (corresponding author), Karlsruhe Inst Technol, Inst Astroparticle Phys, Karlsruhe, Germany.</t>
  </si>
  <si>
    <t>donghwa.kang@kit.edu</t>
  </si>
  <si>
    <t>Haungs, Andreas/JXW-9490-2024</t>
  </si>
  <si>
    <t>Haungs, Andreas/0000-0002-9638-7574</t>
  </si>
  <si>
    <t>10.1016/j.asr.2023.09.027</t>
  </si>
  <si>
    <t>AY3B1</t>
  </si>
  <si>
    <t>WOS:001121957500001</t>
  </si>
  <si>
    <t>de Andrade, GAK; de Vargas, MVOM; Goulart, SNB; Bernardes, BM; Bezerra, JDP; Lemos, RPM; Victoria, FD; de Albuquerque, MP</t>
  </si>
  <si>
    <t>de Andrade, Guilherme Afonso Kessler; de Vargas, Maria Vict oria Magalhaes; Goulart, Sara Navarrete Bohi; Bernardes, Bruna Mota; Bezerra, Jadson D. P.; Lemos, Rafael Pla Matielo; Victoria, Filipe de Carvalho; de Albuquerque, Margeli Pereira</t>
  </si>
  <si>
    <t>Screening of endophytic fungi from Antarctic mosses: Potential production for L-asparaginase free of glutaminase and urease activity</t>
  </si>
  <si>
    <t>JOURNAL OF BIOTECHNOLOGY</t>
  </si>
  <si>
    <t>L-ASPAse; Ascomycota; In vitro production; Bryophyta; Bioprospection</t>
  </si>
  <si>
    <t>ACUTE LYMPHOBLASTIC-LEUKEMIA; KING GEORGE ISLAND; COMMUNITIES; DIVERSITY; CANCER; PERMAFROST; VERSICOLOR; BALANCE; ENZYMES; SCALE</t>
  </si>
  <si>
    <t>Studies involving endophytic fungi aim to identify organisms inhabiting extreme and relatively unexplored environments, as these fungi possess unique characteristics and uncommon biochemical pathways that enable them to produce compounds with biotechnological potential. Among various enzymes, L-Asparaginase is employed in the treatment of Acute Lymphoblastic Leukemia. In this study, we identified endophytic fungi from Sanionia uncinata and Polytrichastrum alpinum collected on King George Island in Antarctica. The fungi were categorized into morphological groups based on their characteristics, molecularly identified, and assessed for L-Asparaginase (L-ASNase) enzyme production. Subsequently, production optimization was conducted. A total of 161 endophytes were isolated from 504 moss gametophytes, with 107 originating from P. alpinum and 54 from S. uncinata. These isolates were categorized into 31 morphotypes. Fungi exhibiting high enzyme production were identified molecularly. Among them, nine identified isolates belonged to the genera Aspergillus, Collariella, Diaporthe, Epicoccum, Peroneutypa, Xylaria, and Trametes. Three of these isolates were identified at the species level through multigene phylogeny, namely Epicoccum nigrum, Collariella virescens, and Peroneutypa scoparia. All 31 fungi were subjected to solid media testing for L-ASNase enzyme production, with 22 isolates demonstrating production capability, and 13 of them produced L-ASNase free from Urease and Glutaminase. The isolates dis-playing solid media production underwent further testing in liquid media, all of which exhibited enzyme pro-duction ranging from 0.75 to 1.29 U g-1. Notably, the three fungi identified at the species level were the highest producers of the enzyme (1.29, 1.17, and 1.13 U g-1). The production of these fungi was optimized using the Taguchi method, resulting in production values ranging from 0.687 to 2.461 U g-1. In conclusion, our findings indicate that Antarctic moss endophytic fungi exhibit significant potential for the production of the anti-leukemic enzyme L-ASNase.</t>
  </si>
  <si>
    <t>[de Andrade, Guilherme Afonso Kessler; de Vargas, Maria Vict oria Magalhaes; Goulart, Sara Navarrete Bohi; Bernardes, Bruna Mota; Lemos, Rafael Pla Matielo; Victoria, Filipe de Carvalho; de Albuquerque, Margeli Pereira] Univ Fed Pampa, Nucleo Estudos Vegetacao Antart, Rua Aluizio Barros MacedoS-N,BR 290-Km 423,, BR-97300930 Sao Gabriel, RS, Brazil; [Goulart, Sara Navarrete Bohi] Texas Tech Univ, Dept Biol Sci, Ecohlth Lab, 2500 Broadway, Lubbock, TX 79409 USA; [Bezerra, Jadson D. P.] Univ Fed Goias, Dept Biociencias &amp; Tecnol, Lab Micol, Inst Patol Trop &amp; Saude Publ, BR-74605050 Goiania, GO, Brazil; [de Albuquerque, Margeli Pereira] Esplanada Minist, Programa Antart Brasileiro PROANTAR, BR-70055900 Brasilia, Brazil</t>
  </si>
  <si>
    <t>Universidade Federal do Pampa; Texas Tech University System; Texas Tech University; Universidade Federal de Goias</t>
  </si>
  <si>
    <t>Victoria, FD (corresponding author), Univ Fed Pampa, Nucleo Estudos Vegetacao Antart, Rua Aluizio Barros MacedoS-N,BR 290-Km 423,, BR-97300930 Sao Gabriel, RS, Brazil.</t>
  </si>
  <si>
    <t>filipevictoria@unipampa.edu.br</t>
  </si>
  <si>
    <t>Bezerra, Jadson DP/A-5846-2019; Lemos, Rafael Plá Matielo/HTQ-3581-2023</t>
  </si>
  <si>
    <t>Lemos, Rafael Plá Matielo/0000-0001-6645-9541; Victoria Magalhaes de Vargas, Maria/0000-0003-0651-4953; Bohi Goulart, Sara/0000-0001-7259-2007</t>
  </si>
  <si>
    <t>Conselho Nacional de Desenvolvimento Cientifico (CNPq) [001]; [442675/2018-6]; [442720/2018-1]</t>
  </si>
  <si>
    <t>Conselho Nacional de Desenvolvimento Cientifico (CNPq)(Conselho Nacional de Desenvolvimento Cientifico e Tecnologico (CNPQ)); ;</t>
  </si>
  <si>
    <t>Acknowledgements This study was funded by the Coordenac ao de Aperfeic oamento de Pessoal de Nivel Superior - Brasil (CAPES) - Finance Code 001 and Conselho Nacional de Desenvolvimento Cientifico (CNPq, grant number 442675/2018-6 and 442720/2018-1) .</t>
  </si>
  <si>
    <t>0168-1656</t>
  </si>
  <si>
    <t>1873-4863</t>
  </si>
  <si>
    <t>J BIOTECHNOL</t>
  </si>
  <si>
    <t>J. Biotechnol.</t>
  </si>
  <si>
    <t>10.1016/j.jbiotec.2023.10.001</t>
  </si>
  <si>
    <t>X9BS1</t>
  </si>
  <si>
    <t>WOS:001101328500001</t>
  </si>
  <si>
    <t>Boyd, MR; Cartwright, JA; Singh, J; Bagot, PAJ; Bays, CL; Chan, QHS; Genge, MJ; Moody, MP</t>
  </si>
  <si>
    <t>Boyd, Mark R.; Cartwright, Julia A.; Singh, Jaspreet; Bagot, Paul A. J.; Bays, Charlotte L.; Chan, Queenie H. S.; Genge, Matthew J.; Moody, Michael P.</t>
  </si>
  <si>
    <t>Multiscale evidence for weathering and the preservation of carbonaceous material in an Antarctic micrometeorite</t>
  </si>
  <si>
    <t>Micrometeorite; Atom probe tomography; Terrestrial weathering; Unmelted; Ferrihydrite</t>
  </si>
  <si>
    <t>ATOM-PROBE TOMOGRAPHY; PARENT BODY; AQUEOUS ALTERATION; ATMOSPHERIC ENTRY; SYNTHETIC FERRIHYDRITE; RAMAN-SPECTROSCOPY; COSMIC SPHERULES; ORGANIC-MATTER; MINERALOGY; IDENTIFICATION</t>
  </si>
  <si>
    <t>Micrometeorites (MMs) recovered from the Earth's surface may have undergone significant changes prior to their collection, including weathering while residing in the terrestrial environment. These alteration processes, such as the precipitation of hydrous phases, may overprint both primary and atmospheric entry features, obscuring preexisting material properties. In addition, weathering exerts a prominent control on the geochemical interactions, such as species mobility, between extraterrestrial material and the terrestrial environment, particularly in Antarctica. In this study, we have characterised the textural and compositional consequences of weathering on an unmelted, fine-grained, Antarctic MM, which includes the mapping of nanometre-scale features using atom probe tomography. In particular, we investigate geochemical behaviour across textural boundaries in the MM and observe nanoscale elemental heterogeneity within complex alteration assemblages. In one sample region, a compositional boundary is highlighted by distinct elemental differences, consistent with a weathering encrustation of mixed mineralogies, while analyses in other targeted regions show evidence for nanoscale elemental networks, as well as a grain boundary adjacent to a carbon-rich region. We discuss our findings in the context of terrestrial weathering as a dominant cause for the nanoscale features observed. Weathering processes responsible for these features include the leaching of extraterrestrial material, precipitation of secondary alteration products with associated layering, and the influence of mechanical stress on pre-existing weaknesses. From these results, we derive a weathering sequence to explain the formation of the alteration product assemblage and highlight the controls on MM geochemistry in the terrestrial environment. Our observations show that nanoscale carbonaceous material may be preserved in oxy-hydroxides under icy conditions, which can also act as tracers for local environmental changes.</t>
  </si>
  <si>
    <t>[Boyd, Mark R.; Cartwright, Julia A.] Univ Alabama, Dept Geol Sci, Tuscaloosa, AL 35487 USA; [Singh, Jaspreet; Bagot, Paul A. J.; Moody, Michael P.] Univ Oxford, Dept Mat, Oxford OX1 3PH, Oxfordshire, England; [Bays, Charlotte L.; Chan, Queenie H. S.; Genge, Matthew J.] Nat Hist Museum, Planetary Mat Grp, London SW7 5BD, England; [Bays, Charlotte L.] Univ London Royal Holloway, Dept Earth Sci, Egham TW20 0EX, Surrey, England; [Boyd, Mark R.; Genge, Matthew J.] Imperial Coll London, Dept Earth Sci &amp; Engn, London SW7 2AZ, England</t>
  </si>
  <si>
    <t>University of Alabama System; University of Alabama Tuscaloosa; University of Oxford; Natural History Museum London; University of London; Royal Holloway University London; Imperial College London</t>
  </si>
  <si>
    <t>Boyd, MR (corresponding author), Univ Alabama, Dept Geol Sci, Tuscaloosa, AL 35487 USA.;Boyd, MR (corresponding author), Imperial Coll London, Dept Earth Sci &amp; Engn, London SW7 2AZ, England.</t>
  </si>
  <si>
    <t>mrboyd4@crimson.ua.edu; jacartwright@ua.edu; jaspreet.singh@keble.ox.ac.uk; paul.bagot@materials.ox.ac.uk; charlotte.bays@nhm.ac.uk; Queenie.Chan@rhul.ac.uk; m.genge@imperial.ac.uk; michael.moody@materials.ox.ac.uk</t>
  </si>
  <si>
    <t>Moody, Michael/0000-0002-9256-0966; Cartwright, Julia/0000-0002-1525-6768; Bays, Charlotte L./0000-0003-3678-3177</t>
  </si>
  <si>
    <t>Department of Geological Sciences, College of Arts &amp; Sciences and Geological Sciences Alumni Board at the University of Alabama</t>
  </si>
  <si>
    <t>We would like to thank R. Holler (AARC, University of Alabama) for support with preliminary analyses, and P. Krizan (Royal Holloway) for Raman analysis sample preparation. This work was supported by funding from the Department of Geological Sciences, College of Arts &amp; Sciences and Geological Sciences Alumni Board at the University of Alabama. We are grateful to M. Lee (Associate Editor) , L. Folco, D. Fougerouse and an anonymous reviewer for their comments on an earlier version of this manuscript, which brought notable improve-ments. We are also grateful to M. Lee (Associate Editor) , J. Catalano (Executive Editor) and two additional anonymous reviewers for their comments on this manuscript.</t>
  </si>
  <si>
    <t>10.1016/j.gca.2023.08.023</t>
  </si>
  <si>
    <t>Y5JQ4</t>
  </si>
  <si>
    <t>WOS:001105622400001</t>
  </si>
  <si>
    <t>Frame, B</t>
  </si>
  <si>
    <t>Frame, Bob</t>
  </si>
  <si>
    <t>Erebus The Ice Dragon: A portrait of an Antarctic volcano</t>
  </si>
  <si>
    <t>[Frame, Bob] Univ Canterbury, Gateway Antarctica, Canterbury, New Zealand</t>
  </si>
  <si>
    <t>Frame, B (corresponding author), Univ Canterbury, Gateway Antarctica, Canterbury, New Zealand.</t>
  </si>
  <si>
    <t>bob.frame@canterbury.ac.nz</t>
  </si>
  <si>
    <t>Frame, Bob/0000-0003-2447-4174</t>
  </si>
  <si>
    <t>10.1017/S0032247423000232</t>
  </si>
  <si>
    <t>X7GM0</t>
  </si>
  <si>
    <t>WOS:001100090700001</t>
  </si>
  <si>
    <t>Panasenko, SV; Aksonova, KD; Buresová, D; Bogomaz, OV; Zhivolup, TG; Koloskov, OV</t>
  </si>
  <si>
    <t>Panasenko, Sergii V.; Aksonova, Kateryna D.; Buresova, Dalia; Bogomaz, Oleksandr V.; Zhivolup, Taras G.; Koloskov, Oleksandr V.</t>
  </si>
  <si>
    <t>Large-scale traveling ionospheric disturbances over central and eastern Europe during moderate magnetic storm period on 22-24 September 2020</t>
  </si>
  <si>
    <t>Ionosonde and incoherent scatter observations; Traveling ionospheric disturbances; Moderate magnetic storm; Solar terminator effects; F2 peak electron density and height perturbations; Wave propagation characteristics</t>
  </si>
  <si>
    <t>ATMOSPHERIC GRAVITY-WAVES; TIDS; IDENTIFICATION; PHASES</t>
  </si>
  <si>
    <t>We present the results of ground based remote sensing observations of large-scale traveling ionospheric disturbances (LSTIDs) occurring during the moderate magnetic storm evolution (22-24 September 2020) over central and eastern Europe. Three ionosondes located in Juliusruh, Pruhonice and near Kharkiv, and the Kharkiv incoherent scatter radar were employed to study temporal and spatial LSTID signatures in ionospheric F2 peak density and height and electron density variations at the heights of 100-300 km. Two types of LSTIDs are detected, which are originated during enhancement in auroral activity (2 events) and local sunrise terminator passage (3 events) from the ionosonde data. The magnetic storm-related LSTIDs exhibit equatorward propagation with the horizontal phase velocities of 546 m/s and 576 m/s, similar dominant periods of 135-150 min and 165-180 min over all three sites and a longitudinal dependence in fractional (relative) amplitudes of electron density perturbation. The solar terminator induced LSTIDs demonstrate the variety in both relative amplitudes and dominant periods over different locations. They have a westward apparent horizontal phase velocities of 288-345 m/s, which are close to the solar terminator velocity at ionospheric heights. Employment of incoherent scatter data enabled the detection of additional LSTIDs over Ukraine with the periods in a broader range of 41-168 min, an establishment of phase and onset differences for the oscillations in the ionospheric F2 peak electron density and height. (c) 2023 COSPAR. Published by Elsevier B.V. This is an open access article under the CC BY license (http://creativecommons.org/licenses/by/4.0/).</t>
  </si>
  <si>
    <t>[Panasenko, Sergii V.; Aksonova, Kateryna D.; Bogomaz, Oleksandr V.; Zhivolup, Taras G.] Inst Ionosphere, 16 Kyrpychova Str, UA-61001 Kharkiv, Ukraine; [Aksonova, Kateryna D.; Buresova, Dalia] Czech Acad Sci, Inst Atmospher Phys, Bocni 2 1401-1A, Prague 14100, Czech Republic; [Bogomaz, Oleksandr V.; Koloskov, Oleksandr V.] Minist Educ &amp; Sci Ukraine, State Inst Natl Antarctic Sci Ctr, 16 Taras Shevchenko Blvd, UA-01601 Kiev, Ukraine; [Koloskov, Oleksandr V.] Natl Acad Sci Ukraine, Inst Radio Astron, 4 Mystetstv Str, UA-61002 Kharkiv, Ukraine; [Koloskov, Oleksandr V.] Univ New Brunswick, 3 Bailey Dr, Fredericton, NB E3B 5A3, Canada</t>
  </si>
  <si>
    <t>Czech Academy of Sciences; Institute of Atmospheric Physics of the Czech Academy of Sciences; Ministry of Education &amp; Science of Ukraine; State Institution National Antarctic Scientific Center; National Academy of Sciences Ukraine; Institute of Radio Astronomy of the National Academy of Sciences of Ukraine; University of New Brunswick</t>
  </si>
  <si>
    <t>Panasenko, SV (corresponding author), Inst Ionosphere, 16 Kyrpychova Str, UA-61001 Kharkiv, Ukraine.</t>
  </si>
  <si>
    <t>Sergii.V.Panasenko@gmail.com</t>
  </si>
  <si>
    <t>HORIZON Europe T -FORS project [101081835]; Ministry of Education and Science of Ukraine [0121U112420]; EOARD-STCU Partner Project P-775 [22IOE019]; Horizon Europe - Pillar II [101081835] Funding Source: Horizon Europe - Pillar II</t>
  </si>
  <si>
    <t>HORIZON Europe T -FORS project; Ministry of Education and Science of Ukraine; EOARD-STCU Partner Project P-775; Horizon Europe - Pillar II(European Union (EU)Horizon Europe - Pillar II)</t>
  </si>
  <si>
    <t>Dalia Buresova thanks for support the HORIZON Europe T -FORS project (Grant No 101081835) . Sergii V. Panasenko and Oleksandr V. Bogomaz are partially supported by project No 0121U112420 funded by the Ministry of Education and Science of Ukraine. Oleksandr V. Kolos- kov is partially supported by project No 0121U108635 funded by the National Academy of Sciences of Ukraine and EOARD-STCU Partner Project P-775 (EOARD 22IOE019) . The authors affiliated with the Institute of ionosphere thank Igor F. Domnin, Leonid Ya. Emelyanov and Vodymyr V. Barabash for the arrangement of observations and operation of KhISR and ISDR. The authors thank the University of Massachusetts at Lowell for making available the GIRO data resources (https://hpde.io/SMWG/Observatory/GIRO) and the SAO Explorer pro- gram (https://ulcar.uml.edu/SAO-X/SAO-X.html) . All authors from Ukraine cordially acknowledge the Armed Forces of Ukraine for a courageous defense of Ukrainian territory providing secure scientific activity.</t>
  </si>
  <si>
    <t>10.1016/j.asr.2023.09.035</t>
  </si>
  <si>
    <t>W8XX1</t>
  </si>
  <si>
    <t>WOS:001094414100001</t>
  </si>
  <si>
    <t>Clarke, TM; Whitmarsh, SK; Jaine, FRA; Taylor, MD; Brodie, S; Payne, NL; Butcher, PA; Broadhurst, MK; Davey, J; Huveneers, C</t>
  </si>
  <si>
    <t>Clarke, Thomas M.; Whitmarsh, Sasha K.; Jaine, Fabrice R. A.; Taylor, Matt D.; Brodie, Stephanie; Payne, Nicholas L.; Butcher, Paul A.; Broadhurst, Matt K.; Davey, Joshua; Huveneers, Charlie</t>
  </si>
  <si>
    <t>Environmental drivers of yellowtail kingfish, Seriola lalandi, activity inferred through a continental acoustic tracking network</t>
  </si>
  <si>
    <t>accelerometer; climate change; movement; pelagic; Seriola lalandi; tagging</t>
  </si>
  <si>
    <t>MARINE ANIMAL BEHAVIOR; CLIMATE-CHANGE; METABOLIC-RATE; HABITAT USE; SPACE USE; FISH; MOVEMENT; SHARKS; AUSTRALIA; MANAGEMENT</t>
  </si>
  <si>
    <t>1. Identifying the species response to changing environments can contribute towards proactive and adaptable resource management and, although obtaining observations can be logistically challenging for aquatic species, can be postulated through monitoring.2. A network of acoustic tracking receivers (n = 93) across south-eastern Australia was used to identify the effects of environmental conditions on the activity of the yellowtail kingfish (Seriola lalandi, n = 63), an economically important species with a crucial role in pelagic ecosystems. Activity (measured via tri-axial acceleration) provides an insight into the energetic expenditure of animals, which is linked to movement, behaviour, and physiological processes.3. Kingfish activity was strongly influenced by sea surface temperature and hour of day, with smaller effects from distance to nearest landmass and bathymetry. Activity also decreased during higher tides and periods of greater moon fraction. Findings show that the energetic responses of kingfish are sensitive to long- and short-term changes, which can regulate behaviours and physiological processes. Changes in kingfish activity and movement (residency and space use) were further investigated at a seasonal aggregation in a small temperate estuary (approx. 120 km(2); Coffin Bay, South Australia), where individuals remained during the austral spring and summer (September-April), with a complete exodus in winter. Fifty per cent of tagged fish returned to this estuary in three consecutive years, indicating its importance for aggregating kingfish.4. While residing in Coffin Bay, kingfish activity varied between interconnected areas, with temperature, hour of day, tide height, and moon fraction again identified as important explanatory variables. These findings have implications for the energetic budgets of large pelagic fish in subtropical and temperate regions, which are facing rapidly changing climates.5. These results are important for understanding and accounting for the potential responses and physiological impacts of future climatic conditions on migratory pelagic species.</t>
  </si>
  <si>
    <t>[Clarke, Thomas M.; Davey, Joshua; Huveneers, Charlie] Flinders Univ S Australia, Coll Sci &amp; Engn, Adelaide, SA, Australia; [Whitmarsh, Sasha K.] Deakin Univ, Sch Life &amp; Environm Sci, Warrnambool, Vic, Australia; [Jaine, Fabrice R. A.] Macquarie Univ, Sch Nat Sci, Sydney, NSW, Australia; [Jaine, Fabrice R. A.] Sydney Inst Marine Sci, Integrated Marine Observing Syst IMOS Anim Trackin, Mosman, NSW, Australia; [Taylor, Matt D.] Port Stephens Fisheries Inst, New South Wales Dept Primary Ind, Taylors Beach, NSW, Australia; [Brodie, Stephanie] Univ Calif Santa Cruz, Inst Marine Sci, Santa Cruz, CA USA; [Payne, Nicholas L.] Trinity Coll Dublin, Sch Nat Sci, Dublin, Ireland; [Butcher, Paul A.; Broadhurst, Matt K.] Southern Cross Univ, Natl Marine Sci Ctr, NSW Dept Primary Ind, Fisheries Conservat Technol Unit, Coffs Harbour, NSW, Australia; [Broadhurst, Matt K.] Univ Queensland, Sch Biol Sci, Marine &amp; Estuarine Ecol Unit, Brisbane, Qld, Australia; [Clarke, Thomas M.] Flinders Univ S Australia, Coll Sci &amp; Engn, Biol Sci Bldg, Adelaide, SA 5042, Australia</t>
  </si>
  <si>
    <t>Flinders University South Australia; Deakin University; Macquarie University; Sydney Institute of Marine Science; NSW Department of Primary Industries; University of California System; University of California Santa Cruz; Trinity College Dublin; Southern Cross University; NSW Department of Primary Industries; University of Queensland; Flinders University South Australia</t>
  </si>
  <si>
    <t>Clarke, TM (corresponding author), Flinders Univ S Australia, Coll Sci &amp; Engn, Biol Sci Bldg, Adelaide, SA 5042, Australia.</t>
  </si>
  <si>
    <t>tom.clarke@flinders.edu.au</t>
  </si>
  <si>
    <t>Huveneers, Charlie/0000-0001-8937-1358; Payne, Nicholas/0000-0002-5274-471X</t>
  </si>
  <si>
    <t>The South Australian Component of this study was financially and logistically supported by the Flinders University College of Science and Engineering. All animal handling and tagging protocols were approved by the Flinders University Animal Welfare Committ [E467-18]; Flinders University College of Science and Engineering; Holsworth Wildlife Research Endowment and Biology Society of South Australia - NSW Recreational Fishing Trusts; NSW Department of Primary Industries via the project entitled 'Estimating and maximizing the post-release survival of key angler-caught fish in NSW'; Flinders University, as part of the Wiley - Flinders University agreement via the Council of Australian University Librarians</t>
  </si>
  <si>
    <t>The South Australian Component of this study was financially and logistically supported by the Flinders University College of Science and Engineering. All animal handling and tagging protocols were approved by the Flinders University Animal Welfare Committ; Flinders University College of Science and Engineering; Holsworth Wildlife Research Endowment and Biology Society of South Australia - NSW Recreational Fishing Trusts; NSW Department of Primary Industries via the project entitled 'Estimating and maximizing the post-release survival of key angler-caught fish in NSW'; Flinders University, as part of the Wiley - Flinders University agreement via the Council of Australian University Librarians</t>
  </si>
  <si>
    <t>The South Australian Component of this study was financially and logistically supported by the Flinders University College of Science and Engineering. All animal handling and tagging protocols were approved by the Flinders University Animal Welfare Committee (project no. E467-18). Funding for the acquisition of acoustic tags and field costs were supported by the Holsworth Wildlife Research Endowment and Biology Society of South Australia. The New South Wales (NSW) tagging component of this study was funded by the NSW Recreational Fishing Trusts and the NSW Department of Primary Industries via the project entitled 'Estimating and maximizing the post-release survival of key angler-caught fish in NSW'. We appreciate the contributions made by the volunteer anglers and Lachlan Roberts, Craig Brand, and Ken Cowden for their technical support. Data were sourced from Australia's Integrated Marine Observing System (IMOS), and IMOS is enabled by the National Collaborative Research Infrastructure Strategy (NCRIS). We thank collaborating scientists for uploading receiver detections on the IMOS acoustic telemetry database, enabling access to detections from these kingfish beyond our specific projects. The acoustic telemetry data used in this study are available from the IMOS Acoustic Telemetry Database (). Coffin Bay tide height information was provided by the Bureau of Meteorology Marine and Antarctic Environmental Prediction Services. Open access publishing facilitated by Flinders University, as part of the Wiley - Flinders University agreement via the Council of Australian University Librarians.</t>
  </si>
  <si>
    <t>10.1002/aqc.4019</t>
  </si>
  <si>
    <t>KC7W6</t>
  </si>
  <si>
    <t>WOS:001087085200001</t>
  </si>
  <si>
    <t>Khim, BK; Sohn, YK; Lee, MK; Kim, S; Lee, JI; Yoo, KC</t>
  </si>
  <si>
    <t>Khim, Boo-Keun; Sohn, Young Kwan; Lee, Min Kyung; Kim, Sunghan; Lee, Jae Il; Yoo, Kyu Cheul</t>
  </si>
  <si>
    <t>Pleistocene glaciomarine laminated muds in the Central Basin of the northwestern Ross Sea and their palaeoceanographic records</t>
  </si>
  <si>
    <t>TERRA NOVA</t>
  </si>
  <si>
    <t>antarctic continental margin; glaciomarine laminated muds; paleoceanography</t>
  </si>
  <si>
    <t>ANTARCTIC PENINSULA; SEDIMENTS; MARGIN; STRATIGRAPHY; BEHAVIOR; RISE</t>
  </si>
  <si>
    <t>Glaciomarine laminated muds around the Antarctic continental margin are important in the marine geological record related to ice sheet dynamics. Microscopic observation and backscattered electron imagery of Pleistocene laminated muds in the Central Basin (Ross Sea) reveal that the light laminae comprise terrigenous angular to subangular silt-sized particles, scattered diatom fragments, and eroded sand-sized lumps of fossil-bearing mud. In contrast, the dark laminae are clayey and biogenic with very tiny pieces of fossils. These laminated muds are interpreted to have been deposited by subglacial meltwater plumes underneath the advancing glaciers that torn off the earlier-deposited and semi-consolidated diatom-rich sediments. Thus, most biogenic components of these laminated muds were recycled from older deposits, indicating that they are not related to enhanced biological production during the mud deposition. Our study suggests that the recycling of biogenic particles should be considered when interpreting the palaeoclimatic and palaeoceanographic implications of Antarctic environmental system.</t>
  </si>
  <si>
    <t>[Khim, Boo-Keun] Pusan Natl Univ, Dept Oceanog, Busan, South Korea; [Khim, Boo-Keun] Pusan Natl Univ, Marine Res Inst, Busan, South Korea; [Sohn, Young Kwan] Gyeongsang Natl Univ, Dept Geol, Jinju, South Korea; [Lee, Min Kyung; Kim, Sunghan; Lee, Jae Il; Yoo, Kyu Cheul] Korea Polar Res Inst, Div Glacial Environm Res, Incheon, South Korea; [Khim, Boo-Keun] Pusan Natl Univ, Dept Oceanog, Busan 46241, South Korea; [Khim, Boo-Keun] Pusan Natl Univ, Marine Res Inst, Busan 46241, South Korea</t>
  </si>
  <si>
    <t>Pusan National University; Pusan National University; Gyeongsang National University; Korea Polar Research Institute (KOPRI); Pusan National University; Pusan National University</t>
  </si>
  <si>
    <t>Khim, BK (corresponding author), Pusan Natl Univ, Dept Oceanog, Busan 46241, South Korea.;Khim, BK (corresponding author), Pusan Natl Univ, Marine Res Inst, Busan 46241, South Korea.</t>
  </si>
  <si>
    <t>bkkhim@pusan.ac.kr</t>
  </si>
  <si>
    <t>Sohn, Young Kwan/0000-0002-1811-0545; Kim, Sunghan/0000-0003-4245-8389</t>
  </si>
  <si>
    <t>We thank the captain, crew, and all onboard technicians and researchers of IB Araon cruise for collecting the core. Constructive comments by an anonymous reviewer were greatly appreciated. This study was supported by Korea Polar Research Institute grant (K [KOPRI PE23090]; Korea Polar Research Institute; Ministry of Oceans and Fisheries [2022R1A2B5B01001811]; National Research Foundation of Korea</t>
  </si>
  <si>
    <t>We thank the captain, crew, and all onboard technicians and researchers of IB Araon cruise for collecting the core. Constructive comments by an anonymous reviewer were greatly appreciated. This study was supported by Korea Polar Research Institute grant (K; Korea Polar Research Institute(Korea Polar Research Institute of Marine Research Placement (KOPRI)); Ministry of Oceans and Fisheries; National Research Foundation of Korea(National Research Foundation of Korea)</t>
  </si>
  <si>
    <t>We thank the captain, crew, and all onboard technicians and researchers of IB Araon cruise for collecting the core. Constructive comments by an anonymous reviewer were greatly appreciated. This study was supported by Korea Polar Research Institute grant (KOPRI PE23090) funded by the Ministry of Oceans and Fisheries and by National Research Foundation of Korea (2022R1A2B5B01001811).</t>
  </si>
  <si>
    <t>0954-4879</t>
  </si>
  <si>
    <t>1365-3121</t>
  </si>
  <si>
    <t>Terr. Nova</t>
  </si>
  <si>
    <t>10.1111/ter.12688</t>
  </si>
  <si>
    <t>ER8E3</t>
  </si>
  <si>
    <t>WOS:001086168800001</t>
  </si>
  <si>
    <t>O'Connor, GK; Holland, PR; Steig, EJ; Dutrieux, P; Hakim, GJ</t>
  </si>
  <si>
    <t>O'Connor, Gemma K.; Holland, Paul R.; Steig, Eric J.; Dutrieux, Pierre; Hakim, Gregory J.</t>
  </si>
  <si>
    <t>Characteristics and rarity of the strong 1940s westerly wind event over the Amundsen Sea, West Antarctica</t>
  </si>
  <si>
    <t>CIRCUMPOLAR DEEP-WATER; CLIMATE VARIABILITY; ICE CORES; DRIVEN; SHELF; FRAMEWORK; PATTERNS; TROPICS; INFLOW; TROUGH</t>
  </si>
  <si>
    <t>Glaciers in the Amundsen Sea Embayment of West Antarctica are rapidly retreating and contributing to sea level rise. Ice loss is occurring primarily via exposure to warm ocean water, which varies in response to local wind variability. There is evidence that retreat was initiated in the mid-20th century, but the perturbation that may have triggered retreat remains unknown. A leading hypothesis is that large pressure and wind anomalies in the 1940s drove exceptionally strong oceanic ice-shelf melting. However, the characteristics, drivers, and rarity of the atmospheric event remain poorly constrained. We investigate the 1940s atmospheric event using paleoclimate reconstructions and climate model simulations. The reconstructions show that large westerly wind anomalies occurred from similar to 1938-1942, a combined response to the very large El Nino event from 1940-1942 and other variability beginning years earlier. Climate model simulations provide evidence that events of similar magnitude and duration may occur tens to hundreds of times per 10 kyr of internal climate variability (similar to 0.2 to 2.5 occurrences per century). Our results suggest that the 1940s westerly event is unlikely to have been exceptional enough to be the sole explanation for the initiation of Amundsen Sea glacier retreat. Additional factors are likely needed to explain the onset of retreat in West Antarctica, such as naturally arising variability in ocean conditions prior to the 1940s or anthropogenically driven trends since the 1940s.</t>
  </si>
  <si>
    <t>[O'Connor, Gemma K.; Steig, Eric J.] Univ Washington, Dept Earth &amp; Space Sci, Seattle, WA 98195 USA; [Holland, Paul R.; Dutrieux, Pierre] British Antarctic Survey, Cambridge, England; [Steig, Eric J.; Hakim, Gregory J.] Univ Washington, Dept Atmospher Sci, Seattle, WA USA</t>
  </si>
  <si>
    <t>University of Washington; University of Washington Seattle; UK Research &amp; Innovation (UKRI); Natural Environment Research Council (NERC); NERC British Antarctic Survey; University of Washington; University of Washington Seattle</t>
  </si>
  <si>
    <t>O'Connor, GK (corresponding author), Univ Washington, Dept Earth &amp; Space Sci, Seattle, WA 98195 USA.</t>
  </si>
  <si>
    <t>goconnor@uw.edu</t>
  </si>
  <si>
    <t>Dutrieux, Pierre/GVS-2890-2022</t>
  </si>
  <si>
    <t>Dutrieux, Pierre/0000-0002-8066-934X</t>
  </si>
  <si>
    <t>National Science Foundation</t>
  </si>
  <si>
    <t>We would like to acknowledge the members of the Last Millennium Reanalysis group and the glaciology group at the University of Washington for their helpful support and discussions. We would also like to thank the three anonymous reviewers for their helpful contributions to this paper.</t>
  </si>
  <si>
    <t>OCT 19</t>
  </si>
  <si>
    <t>10.5194/tc-17-4399-2023</t>
  </si>
  <si>
    <t>HT7Q5</t>
  </si>
  <si>
    <t>WOS:001161828000001</t>
  </si>
  <si>
    <t>Surawy-Stepney, T; Hogg, AE; Cornford, SL; Hogg, DC</t>
  </si>
  <si>
    <t>Surawy-Stepney, Trystan; Hogg, Anna E.; Cornford, Stephen L.; Hogg, David C.</t>
  </si>
  <si>
    <t>Mapping Antarctic crevasses and their evolution with deep learning applied to satellite radar imagery</t>
  </si>
  <si>
    <t>AMUNDSEN SEA EMBAYMENT; C ICE SHELF; BASAL CREVASSES; VULNERABILITY; ENHANCEMENT; STABILITY; COLLAPSE; DAMAGE; SHEET</t>
  </si>
  <si>
    <t>The fracturing of glaciers and ice shelves in Antarctica influences their dynamics and stability. Hence, data on the evolving distribution of crevasses are required to better understand the evolution of the ice sheet, though such data have traditionally been difficult and time-consuming to generate. Here, we present an automated method of mapping crevasses on grounded and floating ice with the application of convolutional neural networks to Sentinel-1 synthetic aperture radar backscatter data. We apply this method across Antarctica to images acquired between 2015 and 2022, producing a 7.5-year record of composite fracture maps at monthly intervals and 50 m spatial resolution and showing the distribution of crevasses around the majority of the ice sheet margin. We develop a method of quantifying changes to the density of ice shelf fractures using a time series of crevasse maps and show increases in crevassing on Thwaites and Pine Island ice shelves over the observational period, with observed changes elsewhere in the Amundsen Sea dominated by the advection of existing crevasses. Using stress fields computed using the BISICLES ice sheet model, we show that much of this structural change has occurred in buttressing regions of these ice shelves, indicating a recent and ongoing link between fracturing and the developing dynamics of the Amundsen Sea sector.</t>
  </si>
  <si>
    <t>[Surawy-Stepney, Trystan; Hogg, Anna E.] Univ Leeds, Sch Earth &amp; Environm, Leeds, England; [Cornford, Stephen L.] Univ Bristol, Sch Geog Sci, Bristol, England; [Hogg, David C.] Univ Leeds, Sch Comp, Leeds, England</t>
  </si>
  <si>
    <t>University of Leeds; University of Bristol; University of Leeds</t>
  </si>
  <si>
    <t>Surawy-Stepney, T (corresponding author), Univ Leeds, Sch Earth &amp; Environm, Leeds, England.</t>
  </si>
  <si>
    <t>eetss@leeds.ac.uk</t>
  </si>
  <si>
    <t>Hogg, David/0000-0002-6125-9564; Surawy-Stepney, Trystan/0000-0003-0319-1861; Cornford, Stephen/0000-0003-1844-274X</t>
  </si>
  <si>
    <t>National Centre for Earth Observation; European Commission</t>
  </si>
  <si>
    <t>National Centre for Earth Observation; European Commission(European Union (EU)European Commission Joint Research Centre)</t>
  </si>
  <si>
    <t>This work was led by Trystan Surawy-Stepney at the School of Earth and Environment at the University of Leeds. Much of this work was undertaken on ARC3 and ARC4, part of the High-Performance Computing facilities at the University of Leeds, UK. The authors gratefully acknowledge the ESA and the European Commission for the acquisition of Sentinel-1 data.</t>
  </si>
  <si>
    <t>10.5194/tc-17-4421-2023</t>
  </si>
  <si>
    <t>HT6U9</t>
  </si>
  <si>
    <t>WOS:001161806400001</t>
  </si>
  <si>
    <t>Palomba, M; Libro, P; Di Martino, J; Roca-Geronès, X; Macali, A; Castrignanò, T; Canestrelli, D; Mattiucci, S</t>
  </si>
  <si>
    <t>Palomba, Marialetizia; Libro, Pietro; Di Martino, Jessica; Roca-Gerones, Xavier; Macali, Armando; Castrignano, Tiziana; Canestrelli, Daniele; Mattiucci, Simonetta</t>
  </si>
  <si>
    <t>De novo transcriptome assembly of an Antarctic nematode for the study of thermal adaptation in marine parasites</t>
  </si>
  <si>
    <t>ALIGNMENT; ECOLOGY; FISH</t>
  </si>
  <si>
    <t>Understanding the genomic underpinnings of thermal adaptation is a hot topic in eco-evolutionary studies of parasites. Marine heteroxenous parasites have complex life cycles encompassing a free-living larval stage, an ectothermic intermediate host and a homeothermic definitive host, thus representing compelling systems for the study of thermal adaptation. The Antarctic anisakid Contracaecum osculatum sp. D is a marine parasite able to survive and thrive both at very cold and warm temperatures within the environment and its hosts. Here, a de novo transcriptome of C. osculatum sp. D was generated for the first time, by performing RNA-Seq experiments on a set of individuals exposed to temperatures experienced by the nematode during its life cycle. The analysis generated 425,954,724 reads, which were assembled and then annotated. The high-quality assembly was validated, achieving over 88% mapping against the transcriptome. The transcriptome of this parasite will represent a valuable genomic resource for future studies aimed at disentangling the genomic architecture of thermal tolerance and metabolic pathways related to temperature stress.</t>
  </si>
  <si>
    <t>[Palomba, Marialetizia; Libro, Pietro; Di Martino, Jessica; Macali, Armando; Castrignano, Tiziana; Canestrelli, Daniele] Tuscia Univ, Dept Ecol &amp; Biol Sci, Viale Univ s-n, I-01100 Viterbo, Italy; [Roca-Gerones, Xavier] Univ Barcelona, Fac Pharm &amp; Food Sci, Dept Biol Hlth &amp; Environm, Sect Parasitol, Joan XXIII Ave 27-31, Barcelona 08028, Spain; [Mattiucci, Simonetta] Sapienza Univ Rome, Dept Publ Hlth &amp; Infect Dis, Sect Parasitol, Ple Aldo Moro 5, I-00185 Rome, Italy</t>
  </si>
  <si>
    <t>Tuscia University; University of Barcelona; Sapienza University Rome</t>
  </si>
  <si>
    <t>Castrignanò, T (corresponding author), Tuscia Univ, Dept Ecol &amp; Biol Sci, Viale Univ s-n, I-01100 Viterbo, Italy.</t>
  </si>
  <si>
    <t>Canestrelli, Daniele/N-1724-2015</t>
  </si>
  <si>
    <t>Di Martino, Jessica/0000-0003-0505-4190; Roca-Gerones, Xavier/0000-0003-3983-489X</t>
  </si>
  <si>
    <t>This study was supported by the Ministry of University and Research (MUR), Italian Program of Research in Antarctica (PNRA), PNRA19_00125 and the Research project implemented under the National Recovery and Resilience Plan (NRRP), Mission 4 Component 2 Inv; Ministry of University and Research (MUR) [PNRA19_00125]; Italian Program of Research in Antarctica (PNRA) [3138, 3175]; Mission 4 Component 2 Investment 1.4 - Call [CN_00000033, 1034]; European Union - Next Generation EU [CUP J83C22000860007]; University and Research; (Department of Ecological and Biological Sciences, University of Tuscia)</t>
  </si>
  <si>
    <t>This study was supported by the Ministry of University and Research (MUR), Italian Program of Research in Antarctica (PNRA), PNRA19_00125 and the Research project implemented under the National Recovery and Resilience Plan (NRRP), Mission 4 Component 2 Inv; Ministry of University and Research (MUR)(Ministry of Education, Universities and Research (MIUR)); Italian Program of Research in Antarctica (PNRA); Mission 4 Component 2 Investment 1.4 - Call; European Union - Next Generation EU; University and Research; (Department of Ecological and Biological Sciences, University of Tuscia)</t>
  </si>
  <si>
    <t>This study was supported by the Ministry of University and Research (MUR), Italian Program of Research in Antarctica (PNRA), PNRA19_00125 and the Research project implemented under the National Recovery and Resilience Plan (NRRP), Mission 4 Component 2 Investment 1.4 - Call for tender No. 3138 of 16 December 2021, rectified by Decree n.3175 of 18 December 2021 of Italian Ministry of University and Research funded by the European Union - Next Generation EU. Project code CN_00000033, Concession Decree No. 1034 of 17 June 2022 adopted by the Italian Ministry of University and Research, CUP J83C22000860007 (Department of Ecological and Biological Sciences, University of Tuscia), Project title National Biodiversity Future Center - NBFC.</t>
  </si>
  <si>
    <t>10.1038/s41597-023-02591-4</t>
  </si>
  <si>
    <t>X3HV0</t>
  </si>
  <si>
    <t>WOS:001097405100004</t>
  </si>
  <si>
    <t>Cannone, N; Guglielmin, M; Ponti, S</t>
  </si>
  <si>
    <t>Cannone, N.; Guglielmin, M.; Ponti, S.</t>
  </si>
  <si>
    <t>Suitability and limitations of ground-based imagery and thermography for long-term monitoring of vegetation changes in Victoria Land (continental Antarctica)</t>
  </si>
  <si>
    <t>Climate change; Vegetation as bio-indicator; Field survey data; Ground-based remote sensing; Fishnet grid; RGB supervised; Growing season</t>
  </si>
  <si>
    <t>WILKES-LAND; TERRESTRIAL VEGETATION; LICHEN VEGETATION; KAR PLATEAU; SOUTHERN; MOSS; CLASSIFICATION; COMMUNITIES; BRYOPHYTE; ISLANDS</t>
  </si>
  <si>
    <t>Antarctic vegetation has been recognized to be a valuable bio-indicator to track climatic and environmental changes through an accurate long-term monitoring. The extremely harsh climatic conditions of Antarctica, its limited logistical accessibility and remoteness encourage the substitution or integration of field surveys with remote sensing monitoring. Here we assess the applicability and limitations of ground-based remote sensing (visible imagery and ther-mography) for accurate long-term monitoring of vegetation changes in continental Antarctica with reference to: a) total vegetation coverage; b) cover of the dominant species; c) vegetation seasonality. We selected the three most widespread continental Antarctic vegetation types (high cover moss; low cover moss; low cover moss and/ or lichen). For the total vegetation cover the best fitting with the field data was achieved by the fishnet grid analysis performed by the expert and by the RGB_sup analysis, the two methods providing the highest feasibility, espe-cially for the high cover moss, while for the other vegetation types the remote sensing methods provided over-and/or under-estimations (including GEI, differently from the Arctic). Regarding the dominant species cover (%), none of the remote sensing methods provided suitable results, while we demonstrated that seasonality affects the quantification of total vegetation cover through remote sensing due to changes of vegetation temperature, hydration and activity, especially for moss vegetation, even analyzing mono-specific vegetation plots. This finding underlines the importance of the timing of the digital image acquisition, an issue that has never been addressed before in continental Antarctica.</t>
  </si>
  <si>
    <t>[Cannone, N.] Univ Insubria, Dip Sci &amp; Alta Tecnol, Via Valleggio 11, I-22100 Como, CO, Italy; [Guglielmin, M.; Ponti, S.] Univ Insubria, Dip Sci Teor &amp; Appl, Via JH Dunant 2, I-21100 Varese, VA, Italy; [Cannone, N.; Guglielmin, M.; Ponti, S.] Univ Insubria, Climate Change Res Ctr, Via San Abbondio 12, I-22100 Como, CO, Italy</t>
  </si>
  <si>
    <t>University of Insubria; University of Insubria; University of Insubria</t>
  </si>
  <si>
    <t>Cannone, N (corresponding author), Univ Insubria, Dip Sci &amp; Alta Tecnol, Via Valleggio 11, I-22100 Como, CO, Italy.</t>
  </si>
  <si>
    <t>nicoletta.cannone@uninsubria.it</t>
  </si>
  <si>
    <t>Programma Nazionale di Ricerche in Antartide (PNRA) [PNRA 2013/AZ1.05, PNRA16_00194-A1, PNRA18_00186-E]</t>
  </si>
  <si>
    <t>Programma Nazionale di Ricerche in Antartide (PNRA)</t>
  </si>
  <si>
    <t>This work has been supported by the Programma Nazionale di Ricerche in Antartide (PNRA) and funded by the projects PNRA 2013/AZ1.05 Permafrost ecology in Victoria Land; PNRA16_00194-A1 Climate Change and Permafrost Ecosystems in Continental Antarctica; PNRA18_00186-E Interactions between permafrost and ecosystems in Continental Antarctica.</t>
  </si>
  <si>
    <t>10.1016/j.ecolind.2023.111080</t>
  </si>
  <si>
    <t>X3VC7</t>
  </si>
  <si>
    <t>WOS:001097755200001</t>
  </si>
  <si>
    <t>Yi, L</t>
  </si>
  <si>
    <t>Yi, Liang</t>
  </si>
  <si>
    <t>Diverse glacial ventilation in deep Pacific: An integrated record from Mariana Trench and Magellan Seamounts over last 1.2 Myr</t>
  </si>
  <si>
    <t>Abyssal sediments; Mariana Trench; Caiwei Guyot; Deep-sea redox; Sedimentary manganese; Middle Pleistocene transition; Mid-Brunhes Event</t>
  </si>
  <si>
    <t>CARBON-DIOXIDE CONCENTRATION; CENTRAL EQUATORIAL PACIFIC; CACO3 PRESERVATION; OCEAN CIRCULATION; TIBETAN PLATEAU; ATMOSPHERIC CO2; SURFACE VORTEX; HALF-LIFE; CLIMATE; MIDPLEISTOCENE</t>
  </si>
  <si>
    <t>Antarctic bottom water production is one of the most important components in oceanic circulation, yet its long-term impact on Earth's climate remains poorly known. In this study, three sediment cores collected from the Mariana Trench and the Magellan Seamounts of the western Pacific are examined to investigate regional deep-sea ventilation over the past 1.2 Myr. The main results are as follows. 1) By integrating magnetostratigraphy, beryllium isotopes and element-based tuning, a geochronological framework is precisely established for the deep-sea sediments. 2) An Mn-based proxy for deep-sea ventilation is developed to provide an indication of paleoceanographic evolution in the western Pacific. 3) Diverse variations in regional ventilation associated with glacial-interglacial alternations are observed. Based on these results, a strong consistency in deep-sea ventilation between the North Atlantic and the western Pacific is found, indicating that deep-sea ventilation generally intensified during interglacial periods in the western Pacific. It is also highlighted the occurrence of enhanced deep-sea ventilation during several glacial periods in the study area, particularly at the end of the middle Pleistocene Transition and prior to the Mid-Brunhes Event. These findings suggest a reorganization of oceanic circulation in the deep Pacific around 0.6 Myr, which may have had implications for modulating atmospheric CO2 levels. Overall, the sedimentary records from the Mariana Trench and the Magellan Seamounts present great potentials for investigating the long-term influence of Antarctic bottom water production during the Pleistocene.</t>
  </si>
  <si>
    <t>[Yi, Liang] Tongji Univ, State Key Lab Marine Geol, Shanghai, Peoples R China</t>
  </si>
  <si>
    <t>Tongji University</t>
  </si>
  <si>
    <t>Yi, L (corresponding author), Tongji Univ, State Key Lab Marine Geol, Shanghai, Peoples R China.</t>
  </si>
  <si>
    <t>yiliang@tongji.edu.cn</t>
  </si>
  <si>
    <t>Yi, Liang/AAM-9737-2020</t>
  </si>
  <si>
    <t>Yi, Liang/0000-0003-3377-8591</t>
  </si>
  <si>
    <t>National Natural Science Foundation of China [42177422, 42188102]</t>
  </si>
  <si>
    <t>The author thanks Dr. Fabienne Marret-Davies (Editor) and one anonymous reviewer for their suggestion and comments in improving this manuscript. The author thanks that Prof. Qiang Xie in the Sanya Institute of Deep-sea Science and Engineering facilitated the study; thanks Mr. Haifeng Wang in the Guangzhou Marine Geological Survey, Dr. Yeqiang Shu in South China Sea Institute of Oceanology, Dr. Dong Xu in the Second Institute of Oceanography, Dr. Guoqing Zhao in the Institute of Earth Environment, Dr. Jingen Xiao in the Tianjin University, and Prof. Chenglong Deng in the Institute of Geology and Geophysics for critical helps and discussion in this study. This research was funded by the National Natural Science Foundation of China (42177422, 42188102) .</t>
  </si>
  <si>
    <t>10.1016/j.gloplacha.2023.104279</t>
  </si>
  <si>
    <t>X5PA7</t>
  </si>
  <si>
    <t>WOS:001098956100001</t>
  </si>
  <si>
    <t>Cichecka, A; Saniewska, D; Balazy, P; Saniewski, M</t>
  </si>
  <si>
    <t>Cichecka, Aleksandra; Saniewska, Dominika; Balazy, Piotr; Saniewski, Michal</t>
  </si>
  <si>
    <t>Sources and pathways of mercury in soils from Antarctic periglacial areas</t>
  </si>
  <si>
    <t>Mercury; Antarctica; Periglacial regions; Methylmercury; Antarctic bedrock and soil</t>
  </si>
  <si>
    <t>KING-GEORGE-ISLAND; SOUTH SHETLAND ISLANDS; ADMIRALTY BAY; ATMOSPHERIC MERCURY; CHEMISTRY; DEPOSITION; OXIDATION; IMPACT</t>
  </si>
  <si>
    <t>The Antarctic plays a critical role in global mercury cycling as both a sink of Hg and, in response to rapid global warming, an emerging source of Hg through its release from thawing permafrost and recessing glaciers. At the present time, Antarctica and surrounding areas have little mercury contamination in comparison to other regions of the world. Understanding the sources and transformations of Hg in the Antarctic will be particularly important in predicting the role of a changing environment in the mercury cycle as emissions and global climate change. Study samples were collected at 12 stations, categorized into three groups based on the human or animal presence and flora. Sampling took place in December 2018 and January 2019, and soil and parent rock samples were collected and analyzed for total mercury concentration and its fractions using atomic absorption spectroscopy. Bedrock samples collected on the coast of Admiralty Bay were found to have low organic matter content, while soil samples from the west shore of the bay had a high variability of organic matter content, ranging from 3 % to 41 %. The concentration of total mercury in bedrock ranged from 2.1 ng/g to 15.0 ng/g, and in soil samples, the total mercury concentration ranged from 4.7 ng/g to 143.1 ng/g. This paper reviews current knowledge of Hg cycling in the Antarctic, including its sources, fate, and effects on the ecosystem. The implications of climate change for Hg cycling in the region are also discussed, highlighting the need for continued research to better understand the potential impacts of Hg contamination in the Antarctic.</t>
  </si>
  <si>
    <t>[Cichecka, Aleksandra; Saniewska, Dominika] Univ Gdansk, Fac Oceanog &amp; Geog, Al Pilsudskiego 46, PL-81387 Gdynia, Poland; [Balazy, Piotr] Polish Acad Sci, Inst Oceanol, Powstancow Warszawy 55, PL-81712 Sopot, Poland; [Saniewski, Michal] Natl Res Inst, Inst Meteorol &amp; Water Management, Waszyngton 42 St, PL-81342 Gdynia, Poland</t>
  </si>
  <si>
    <t>Fahrenheit Universities; University of Gdansk; Polish Academy of Sciences; Institute of Oceanology of the Polish Academy of Sciences; Institute of Meteorology &amp; Water Management</t>
  </si>
  <si>
    <t>Saniewska, D (corresponding author), Univ Gdansk, Fac Oceanog &amp; Geog, Al Pilsudskiego 46, PL-81387 Gdynia, Poland.</t>
  </si>
  <si>
    <t>dominika.saniewska@ug.edu.pl</t>
  </si>
  <si>
    <t>Saniewska, Dominika/G-1472-2015; Balazy, Piotr/D-2949-2018</t>
  </si>
  <si>
    <t>Saniewska, Dominika/0000-0002-0630-9602; Balazy, Piotr/0000-0002-1126-3151; Saniewski, Michal/0000-0002-2347-1660</t>
  </si>
  <si>
    <t>National Science Center [2019/33/B/ST10/00290, 2017/27/N/ST10/02230]</t>
  </si>
  <si>
    <t>Acknowledgment This work was supported by National Science Center [No. 2019/33/B/ST10/00290 and No. 2017/27/N/ST10/02230] .</t>
  </si>
  <si>
    <t>10.1016/j.catena.2023.107592</t>
  </si>
  <si>
    <t>W7DP2</t>
  </si>
  <si>
    <t>WOS:001093197000001</t>
  </si>
  <si>
    <t>Noronha, PM</t>
  </si>
  <si>
    <t>Noronha, Patricia Maia</t>
  </si>
  <si>
    <t>Every day, I release balloons into the Antarctic sky</t>
  </si>
  <si>
    <t>NATURE</t>
  </si>
  <si>
    <t>Careers; Lab life; Climate sciences</t>
  </si>
  <si>
    <t>Electronic engineer Axel Bres predicts the weather from one of the world's most isolated islands.</t>
  </si>
  <si>
    <t>0028-0836</t>
  </si>
  <si>
    <t>1476-4687</t>
  </si>
  <si>
    <t>Nature</t>
  </si>
  <si>
    <t>10.1038/d41586-023-03237-6</t>
  </si>
  <si>
    <t>U7YN9</t>
  </si>
  <si>
    <t>WOS:001086924500004</t>
  </si>
  <si>
    <t>Gurgacz, NS; Kvale, K; Eby, M; Weaver, AJ</t>
  </si>
  <si>
    <t>Gurgacz, Natalia S.; Kvale, Karin; Eby, Michael; Weaver, Andrew J.</t>
  </si>
  <si>
    <t>Impact of plastic pollution on atmospheric carbon dioxide</t>
  </si>
  <si>
    <t>FACETS</t>
  </si>
  <si>
    <t>Marine plastic pollution; carbon cycle; climate change</t>
  </si>
  <si>
    <t>CLIMATE-CHANGE; MODEL; OCEAN</t>
  </si>
  <si>
    <t>Since the beginning of its large-scale production in the early 20th century, plastics have remained an important material in widespread use throughout modern society. Nevertheless, despite possessing many benefits, plastics are resistant to degradation and instead accumulate in the ocean and terrestrial sediments, thereby potentially affecting marine and terrestrial ecosystems. Plastics release CO2 throughout their entire lifecycle; during the extraction of materials used in their production, through plastic-carbon leaching in the marine and terrestrial environment, and during their different end-of-life scenarios, which include recycling, landfill, and incineration. Here, we use the University of Victoria earth system climate model to quantity the effects on atmospheric CO2 and the ocean carbon cycle by using upper-bound estimates of carbon emissions from marine plastic-carbon leaching or land-based incineration. Despite the suggestions of some, our results indicate that it has only a very minor influence and an insignificant effect on the earth's global climate system. This holds even if plastic contamination increases well beyond current levels. On the other hand, carbon emissions associated with plastic production and incineration have a greater impact on climate while still dwarfed by emissions associated with the combustion of fossil fuels (coal, oil, and natural gas) and other anthropogenic sources. Our results have important policy implications for ongoing United Nations Environment Programme Intergovernmental Negotiating Committee on Plastic Pollution negotiations.</t>
  </si>
  <si>
    <t>[Gurgacz, Natalia S.; Eby, Michael; Weaver, Andrew J.] Univ Victoria, Sch Earth &amp; Ocean Sci, 3800 Finnerty Rd, Victoria, BC V8P 5C2, Canada; [Kvale, Karin] GNS Sci, 1 Fairway Dr,Avalon 5010,POB 30368, Lower Hutt 5040, New Zealand</t>
  </si>
  <si>
    <t>University of Victoria; GNS Science - New Zealand</t>
  </si>
  <si>
    <t>Weaver, AJ (corresponding author), Univ Victoria, Sch Earth &amp; Ocean Sci, 3800 Finnerty Rd, Victoria, BC V8P 5C2, Canada.</t>
  </si>
  <si>
    <t>weaver@uvic.ca</t>
  </si>
  <si>
    <t>Kvale, Karin F/A-7597-2013; Eby, Michael/H-5278-2013</t>
  </si>
  <si>
    <t>New Zealand Ministry of Business, Innovation and Employment (MBIE) within the Antarctic Science Platform [ANTA1801]; New Zealand MBIE through the Global Change through Time programme (Strategic Science Invest-ment Fund) [C05X1702]</t>
  </si>
  <si>
    <t>New Zealand Ministry of Business, Innovation and Employment (MBIE) within the Antarctic Science Platform(New Zealand Ministry of Business, Innovation and Employment (MBIE)); New Zealand MBIE through the Global Change through Time programme (Strategic Science Invest-ment Fund)</t>
  </si>
  <si>
    <t>ME and AJW are grateful for support from NSERC and the Federal Climate Action and Awareness Fund. KK acknowl-r edges support from the New Zealand Ministry of Business, Innovation and Employment (MBIE) within the Antarctic Science Platform, grant ANTA1801. KK also acknowledges support from the New Zealand MBIE through the Global Change through Time programme (Strategic Science Invest-ment Fund, contract C05X1702) . We are grateful to two anonymous reviewers for their helpful comments.</t>
  </si>
  <si>
    <t>CANADIAN SCIENCE PUBLISHING</t>
  </si>
  <si>
    <t>OTTAWA</t>
  </si>
  <si>
    <t>65 AURIGA DR, SUITE 203, OTTAWA, ON K2E 7W6, CANADA</t>
  </si>
  <si>
    <t>2371-1671</t>
  </si>
  <si>
    <t>Facets</t>
  </si>
  <si>
    <t>10.1139/facets-2023-0061</t>
  </si>
  <si>
    <t>U9WH7</t>
  </si>
  <si>
    <t>WOS:001088232500001</t>
  </si>
  <si>
    <t>Theilen, BM; Simms, AR; Dewitt, R; Zurbuchen, J; Garcia, C; Gernant, C</t>
  </si>
  <si>
    <t>Theilen, Brittany M.; Simms, Alexander R.; Dewitt, Regina; Zurbuchen, Julie; Garcia, Christopher; Gernant, Cameron</t>
  </si>
  <si>
    <t>The impact of the Neoglacial and other environmental changes on the raised beaches of Joinville Island, Antarctica</t>
  </si>
  <si>
    <t>Climate; coastlines; glacial isostatic adjustment; Holocene; sea level; Weddell Sea</t>
  </si>
  <si>
    <t>JAMES-ROSS-ISLAND; OPTICALLY STIMULATED LUMINESCENCE; SOUTH SHETLAND ISLANDS; HOLOCENE GLACIAL HISTORY; PRINCE GUSTAV CHANNEL; SEA-LEVEL CHANGES; ICE-SHELF; CLIMATE HISTORY; AIR-TEMPERATURE; MARGUERITE BAY</t>
  </si>
  <si>
    <t>In order to reconstruct past environmental conditions along the north-eastern Antarctic Peninsula, we documented changes in grain size, grain roundness, onlap as seen in ground-penetrating radar reflection profiles and ice-rafted debris on a set of 36 raised beaches developed over the last similar to 7.7 +/- 0.9 ka on Joinville Island. The most pronounced changes in beach character occur at similar to 2.7-3.0 ka. At this time, there appears to have been a reintroduction of less rounded material, the development of stratification within individual beach ridges, an introduction of seaweed and limpets to the beach deposits, a change in clast provenance (although slightly earlier than the change in cobble roundness) and a shallowing of the overall beach plain slope. Prolonged cooling associated with the Neoglacial period may have contributed to these changes, as the readvance of glaciers could have changed the provenance of the beach deposits and introduced more material, leading to the change in roundness of the beach cobbles and the overall slope of the beach plain. This study suggests that late Holocene environmental change left a measurable impact on the coastal zone of Antarctica.</t>
  </si>
  <si>
    <t>[Theilen, Brittany M.; Simms, Alexander R.; Zurbuchen, Julie; Gernant, Cameron] Univ Calif Santa Barbara, Dept Earth Sci, 1006 Webb Hall, Santa Barbara, CA 93111 USA; [Dewitt, Regina; Garcia, Christopher] East Carolina Univ, Dept Phys, C-209 Howell Sci Complex, Greenville, NC 27858 USA</t>
  </si>
  <si>
    <t>University of California System; University of California Santa Barbara; University of North Carolina; East Carolina University</t>
  </si>
  <si>
    <t>Simms, AR (corresponding author), Univ Calif Santa Barbara, Dept Earth Sci, 1006 Webb Hall, Santa Barbara, CA 93111 USA.</t>
  </si>
  <si>
    <t>asimms@geol.ucsb.edu</t>
  </si>
  <si>
    <t>Simms, Alexander R/E-5609-2012</t>
  </si>
  <si>
    <t>Simms, Alexander/0000-0001-5034-2189; Zurbuchen, Julie/0000-0002-5275-5494; Praim, Brittany/0000-0002-6361-593X</t>
  </si>
  <si>
    <t>National Science Foundation (NSF) [0724929]; Geological Society of America Graduate Student Research Grant; NSF Graduate Research Fellowship</t>
  </si>
  <si>
    <t>National Science Foundation (NSF)(National Science Foundation (NSF)); Geological Society of America Graduate Student Research Grant; NSF Graduate Research Fellowship(National Science Foundation (NSF))</t>
  </si>
  <si>
    <t>This work was supported through National Science Foundation (NSF) grant 0724929 to ARS and RD.Additional support was provided by a Geological Society of America Graduate Student Research Grant and an NSF Graduate Research Fellowship to JZ.</t>
  </si>
  <si>
    <t>2023 OCT 19</t>
  </si>
  <si>
    <t>10.1017/S0954102023000275</t>
  </si>
  <si>
    <t>U6HG3</t>
  </si>
  <si>
    <t>WOS:001085787000001</t>
  </si>
  <si>
    <t>Günzkofer, F; Pokhotelov, D; Stober, G; Mann, I; Vadas, SL; Becker, E; Tjulin, A; Kozlovsky, A; Tsutsumi, M; Gulbrandsen, N; Nozawa, S; Lester, M; Belova, E; Kero, J; Mitchell, NJ; Borries, C</t>
  </si>
  <si>
    <t>Guenzkofer, Florian; Pokhotelov, Dimitry; Stober, Gunter; Mann, Ingrid; Vadas, Sharon L.; Becker, Erich; Tjulin, Anders; Kozlovsky, Alexander; Tsutsumi, Masaki; Gulbrandsen, Njal; Nozawa, Satonori; Lester, Mark; Belova, Evgenia; Kero, Johan; Mitchell, Nicholas J.; Borries, Claudia</t>
  </si>
  <si>
    <t>Inferring neutral winds in the ionospheric transition region from atmospheric-gravity-wave traveling-ionospheric-disturbance (AGW-TID) observations with the EISCAT VHF radar and the Nordic Meteor Radar Cluster</t>
  </si>
  <si>
    <t>ANNALES GEOPHYSICAE</t>
  </si>
  <si>
    <t>MESOSPHERIC WINDS; MOMENTUM FLUX; PARAMETERS; SCATTER; TOMOGRAPHY; MESOPAUSE; NETWORK; MIDDLE; EVENT</t>
  </si>
  <si>
    <t>Atmospheric gravity waves and traveling ionospheric disturbances can be observed in the neutral atmosphere and the ionosphere at a wide range of spatial and temporal scales. Especially at medium scales, these oscillations are often not resolved in general circulation models and are parameterized. We show that ionospheric disturbances forced by upward-propagating atmospheric gravity waves can be simultaneously observed with the EISCAT very high frequency incoherent scatter radar and the Nordic Meteor Radar Cluster. From combined multi-static measurements, both vertical and horizontal wave parameters can be determined by applying a specially developed Fourier filter analysis method. This method is demonstrated using the example of a strongly pronounced wave mode that occurred during the EISCAT experiment on 7 July 2020. Leveraging the developed technique, we show that the wave characteristics of traveling ionospheric disturbances are notably impacted by the fall transition of the mesosphere and lower thermosphere. We also demonstrate the application of using the determined wave parameters to infer the thermospheric neutral wind velocities. Applying the dissipative anelastic gravity wave dispersion relation, we obtain vertical wind profiles in the lower thermosphere.</t>
  </si>
  <si>
    <t>[Guenzkofer, Florian; Borries, Claudia] Inst Solar Terr Phys, German Aerosp Ctr DLR, Neustrelitz, Germany; [Pokhotelov, Dimitry] Univ Greifswald, Inst Phys, Greifswald, Germany; [Stober, Gunter] Univ Bern, Inst Appl Phys, CH-3012 Bern, Switzerland; [Stober, Gunter] Univ Bern, Oeschger Ctr Climate Change Res, Microwave Phys, Bern, Switzerland; [Mann, Ingrid] UIT Arctic Univ Norway, Inst Phys &amp; Technol, Tromso, Norway; [Vadas, Sharon L.; Becker, Erich] North West Res Associates NWRA, Boulder, CO USA; [Tjulin, Anders] EISCAT Sci Assoc, Kiruna, Sweden; [Kozlovsky, Alexander] Univ Oulu, Sodankyla Geophys Observ, Oulu, Finland; [Tsutsumi, Masaki] Natl Inst Polar Res, Tachikawa, Japan; [Tsutsumi, Masaki] Grad Univ Adv Studies SOKENDAI, Tokyo, Japan; [Gulbrandsen, Njal] UiT Arctic Univ Norway, Tromso Geophys Observ, Tromso, Norway; [Nozawa, Satonori] Nagoya Univ, Inst Space Earth Environm Res, Nagoya, Japan; [Lester, Mark] Univ Leicester, Dept Phys &amp; Astron, Leicester, England; [Belova, Evgenia; Kero, Johan] Swedish Inst Space Phys IRF, Kiruna, Sweden; [Mitchell, Nicholas J.] British Antarctic Survey, Cambridge, England; [Mitchell, Nicholas J.] Univ Bath, Dept Elect &amp; Elect Engn, Bath BA2 7AY, Somerset, England</t>
  </si>
  <si>
    <t>Helmholtz Association; German Aerospace Centre (DLR); Universitat Greifswald; University of Bern; University of Bern; UiT The Arctic University of Tromso; University of Oulu; Research Organization of Information &amp; Systems (ROIS); National Institute of Polar Research (NIPR) - Japan; Graduate University for Advanced Studies - Japan; UiT The Arctic University of Tromso; Nagoya University; University of Leicester; UK Research &amp; Innovation (UKRI); Natural Environment Research Council (NERC); NERC British Antarctic Survey; University of Bath</t>
  </si>
  <si>
    <t>Günzkofer, F (corresponding author), Inst Solar Terr Phys, German Aerosp Ctr DLR, Neustrelitz, Germany.</t>
  </si>
  <si>
    <t>florian.guenzkofer@dlr.de</t>
  </si>
  <si>
    <t>Pokhotelov, Dimitry/AAG-5627-2020</t>
  </si>
  <si>
    <t>Pokhotelov, Dimitry/0000-0002-3712-0597; Stober, Gunter/0000-0002-7909-6345; Gunzkofer, Florian/0000-0001-6568-2995; Becker, Erich/0000-0001-7883-3254</t>
  </si>
  <si>
    <t>STFC [ST/S000429/1]; Japan Society for the Promotion of Science (JSPS) [17H02968]; Schweizerischer Nationalfonds zur Forderung der Wissenschaftlichen Forschung [200021-200517/1]; Research Council of Norway [NFR 275503]; NSF [AGS-1832988]; STFC [ST/S000429/1] Funding Source: UKRI</t>
  </si>
  <si>
    <t>STFC(UK Research &amp; Innovation (UKRI)Science &amp; Technology Facilities Council (STFC)); Japan Society for the Promotion of Science (JSPS)(Ministry of Education, Culture, Sports, Science and Technology, Japan (MEXT)Japan Society for the Promotion of Science); Schweizerischer Nationalfonds zur Forderung der Wissenschaftlichen Forschung(Swiss National Science Foundation (SNSF)); Research Council of Norway(Research Council of Norway); NSF(National Science Foundation (NSF)); STFC(UK Research &amp; Innovation (UKRI)Science &amp; Technology Facilities Council (STFC))</t>
  </si>
  <si>
    <t>This research has been supported by the STFC (grant no. ST/S000429/1) and the Japan Society for the Promotion of Science (JSPS, Grants-in-Aid for Scientific Research, grant no. 17H02968). This research has been supported by the Schweizerischer Nationalfonds zur Forderung der Wissenschaftlichen Forschung (grant no. 200021-200517/1). Ingrid Mann is supported by the Research Council of Norway (grant no. NFR 275503). Sharon L. Vadas was supported by NSF grant AGS-1832988.</t>
  </si>
  <si>
    <t>0992-7689</t>
  </si>
  <si>
    <t>1432-0576</t>
  </si>
  <si>
    <t>ANN GEOPHYS-GERMANY</t>
  </si>
  <si>
    <t>Ann. Geophys.</t>
  </si>
  <si>
    <t>OCT 18</t>
  </si>
  <si>
    <t>10.5194/angeo-41-409-2023</t>
  </si>
  <si>
    <t>Astronomy &amp; Astrophysics; Geosciences, Multidisciplinary; Meteorology &amp; Atmospheric Sciences</t>
  </si>
  <si>
    <t>Astronomy &amp; Astrophysics; Geology; Meteorology &amp; Atmospheric Sciences</t>
  </si>
  <si>
    <t>HR5U8</t>
  </si>
  <si>
    <t>WOS:001161254500001</t>
  </si>
  <si>
    <t>Oelerich, R; Heywood, KJ; Damerell, GM; du Plessis, M; Biddle, LC; Swart, S</t>
  </si>
  <si>
    <t>Oelerich, Ria; Heywood, Karen J.; Damerell, Gillian M.; du Plessis, Marcel; Biddle, Louise C.; Swart, Sebastiaan</t>
  </si>
  <si>
    <t>Stirring across the Antarctic Circumpolar Current's southern boundary at the prime meridian, Weddell Sea</t>
  </si>
  <si>
    <t>OCEAN; VARIABILITY; JETS; SUPPRESSION; TRANSPORT; FRONTS; TRENDS; MODEL</t>
  </si>
  <si>
    <t>At the southern boundary of the Antarctic Circumpolar Current (ACC), relatively warm ACC waters encounter the colder waters surrounding Antarctica. Strong density gradients across the southern boundary indicate the presence of a frontal jet and are thought to modulate the southward heat transport across the front. In this study, the southern boundary in the Weddell Sea sector at the prime meridian is surveyed for the first time in high resolution over 2 months during an austral summer with underwater gliders occupying a transect across the front on five occasions. The five transects show that the frontal structure (i.e. hydrography, velocities and lateral density gradients) varies temporally. The results demonstrate significant, transient (a few weeks) variability of the southern boundary and its frontal jet in location, strength and width. A mesoscale cold-core eddy is identified to disrupt the southern boundary's frontal structure and strengthen lateral density gradients across the front. The front's barrier properties are assessed using mixing length scales and potential vorticity to establish the cross-frontal exchange of properties between the ACC and the Weddell Gyre. The results show that stronger lateral density gradients caused by the mesoscale eddy strengthen the barrier-like properties of the front through reduced mixing length scales and pronounced gradients of potential vorticity. In contrast, the barrier-like properties of the southern boundary are reduced when no mesoscale eddy is influencing the density gradients across the front. Using satellite altimetry, we further demonstrate that the barrier properties over the past decade have strengthened as a result of increased meridional gradients of absolute dynamic topography and increased frontal jet speeds in comparison to previous decades. Our results emphasise that locally and rapidly changing barrier properties of the southern boundary are important to quantify the cross-frontal exchange, which is particularly relevant in regions where the southern boundary is located near the Antarctic shelf break (e.g. in the West Antarctic sector).</t>
  </si>
  <si>
    <t>[Oelerich, Ria; Heywood, Karen J.; Damerell, Gillian M.] Univ East Anglia, Ctr Ocean &amp; Atmospher Sci, Sch Environm Sci, Norwich NR4 7TJ, England; [du Plessis, Marcel; Biddle, Louise C.; Swart, Sebastiaan] Univ Gothenburg, Dept Marine Sci, Gothenburg, Sweden; [Swart, Sebastiaan] Univ Cape Town, Dept Oceanog, Rondebosch, South Korea; [Damerell, Gillian M.] Univ Bergen, Geophys Inst, Bergen, Norway; [Damerell, Gillian M.] Bjerknes Ctr Climate Res, Bergen, Norway; [Oelerich, Ria] Univ Bremen, Inst Environm Phys, Bremen, Germany; [Oelerich, Ria] Univ Bremen, MARUM Ctr Marine Environm Sci, Bremen, Germany; [Biddle, Louise C.] Voice Ocean Fdn, Akersberga, Sweden</t>
  </si>
  <si>
    <t>University of East Anglia; University of Gothenburg; University of Bergen; Bjerknes Centre for Climate Research; University of Bremen; University of Bremen</t>
  </si>
  <si>
    <t>Oelerich, R (corresponding author), Univ East Anglia, Ctr Ocean &amp; Atmospher Sci, Sch Environm Sci, Norwich NR4 7TJ, England.;Oelerich, R (corresponding author), Univ Bremen, Inst Environm Phys, Bremen, Germany.;Oelerich, R (corresponding author), Univ Bremen, MARUM Ctr Marine Environm Sci, Bremen, Germany.</t>
  </si>
  <si>
    <t>riaoelerich@gmail.com</t>
  </si>
  <si>
    <t>; Heywood, Karen/L-1757-2016</t>
  </si>
  <si>
    <t>O., Ria/0000-0002-0014-0877; Damerell, Gillian/0000-0001-5808-0822; du Plessis, Marcel/0000-0003-2759-2467; Biddle, Louise/0000-0002-4785-1959; Heywood, Karen/0000-0001-9859-0026</t>
  </si>
  <si>
    <t>H2020 European Research Council; SANAP</t>
  </si>
  <si>
    <t>H2020 European Research Council(Horizon 2020European Research Council (ERC)); SANAP</t>
  </si>
  <si>
    <t>We thank Sea Technology Services (STS), SANAP, and the captain and crew of the S. A. Agulhas II for their fieldwork/technical assistance associated with the deploying of the gliders in this study.</t>
  </si>
  <si>
    <t>10.5194/os-19-1465-2023</t>
  </si>
  <si>
    <t>HT7S6</t>
  </si>
  <si>
    <t>WOS:001161830100001</t>
  </si>
  <si>
    <t>York, JM</t>
  </si>
  <si>
    <t>York, Julia M.</t>
  </si>
  <si>
    <t>Temperature activated transient receptor potential ion channels from Antarctic fishes</t>
  </si>
  <si>
    <t>notothenioids; TRP channels; thermosensation; ion channels; Antarctica</t>
  </si>
  <si>
    <t>COLD-DENATURATION; LIPID RAFTS; TRPA1; TRPV1; MECHANISM; REVEALS; SENSITIVITY; ADAPTATION; UNDERLIES; ENZYMES</t>
  </si>
  <si>
    <t>Antarctic notothenioid fishes (cryonotothenioids) live in waters that range between -1.86 degrees C and an extreme maximum +4 degrees C. Evidence suggests these fish sense temperature peripherally, but the molecular mechanism of temperature sensation in unknown. Previous work identified transient receptor potential (TRP) channels TRPA1b, TRPM4 and TRPV1a as the top candidates for temperature sensors. Here, cryonotothenioid TRPA1b and TRPV1a are characterized using Xenopus oocyte electrophysiology. TRPA1b and TRPV1a showed heat-evoked currents with Q10s of 11.1 +/- 2.2 and 20.5 +/- 2.4, respectively. Unexpectedly, heat activation occurred at a threshold of 22.9 +/- 1.3 degrees C for TRPA1b and 32.1 +/- 0.6 degrees C for TRPV1a. These fish have not experienced such temperatures for at least 15 Myr. Either (1) another molecular mechanism underlies temperature sensation, (2) these fishes do not sense temperatures below these thresholds despite having lethal limits as low as 5 degrees C, or (3) native cellular conditions modify the TRP channels to function at relevant temperatures. The effects of osmolytes, pH, oxidation, phosphorylation, lipids and accessory proteins were tested. No conditions shifted the activity range of TRPV1a. Oxidation in combination with reduced cholesterol significantly dropped activation threshold of TRPA1b to 11.3 +/- 2.3 degrees C, it is hypothesized the effect may be due to lipid raft disruption.</t>
  </si>
  <si>
    <t>[York, Julia M.] Univ Texas Austin, Inst Neurosci, Dept Integrat Biol, Austin, TX 78712 USA; [York, Julia M.] Univ Illinois, Sch Integrat Biol, Urbana, IL 61820 USA</t>
  </si>
  <si>
    <t>University of Texas System; University of Texas Austin; University of Illinois System; University of Illinois Urbana-Champaign</t>
  </si>
  <si>
    <t>York, JM (corresponding author), Univ Texas Austin, Inst Neurosci, Dept Integrat Biol, Austin, TX 78712 USA.;York, JM (corresponding author), Univ Illinois, Sch Integrat Biol, Urbana, IL 61820 USA.</t>
  </si>
  <si>
    <t>jmy@illinois.edu</t>
  </si>
  <si>
    <t>York, Julia/0000-0003-4947-0591</t>
  </si>
  <si>
    <t>I would like to thank Dr KyeongJin Kang and Dr Slav Bagriantsev for advice on the electrophysiological set-up, Dr Art DeVries for assistance with cold temperature control, Dr Elena Gracheva for providing vectors, Dr Cecilia Borghese for providing positive</t>
  </si>
  <si>
    <t>I would like to thank Dr KyeongJin Kang and Dr Slav Bagriantsev for advice on the electrophysiological set-up, Dr Art DeVries for assistance with cold temperature control, Dr Elena Gracheva for providing vectors, Dr Cecilia Borghese for providing positive control genes, Warner Instruments for advice on temperature set-up, and Dave McKenna for aid in cold experiments. Thanks as well to Harold Zakon for funding, methodological and manuscript assistance.</t>
  </si>
  <si>
    <t>10.1098/rsob.230215</t>
  </si>
  <si>
    <t>FK7U5</t>
  </si>
  <si>
    <t>WOS:001145751700001</t>
  </si>
  <si>
    <t>Willis, MD; Lannuzel, D; Else, B; Angot, H; Campbell, K; Crabeck, O; Delille, B; Hayashida, H; Lizotte, M; Loose, B; Meiners, KM; Miller, L; Moreau, S; Nomura, D; Prytherch, J; Schmale, J; Steiner, N; Tedesco, L; Thomas, J</t>
  </si>
  <si>
    <t>Willis, Megan D.; Lannuzel, Delphine; Else, Brent; Angot, Helene; Campbell, Karley; Crabeck, Odile; Delille, Bruno; Hayashida, Hakase; Lizotte, Martine; Loose, Brice; Meiners, Klaus M.; Miller, Lisa; Moreau, Sebastien; Nomura, Daiki; Prytherch, John; Schmale, Julia; Steiner, Nadja; Tedesco, Letizia; Thomas, Jennie</t>
  </si>
  <si>
    <t>Polar oceans and sea ice in a changing climate</t>
  </si>
  <si>
    <t>ELEMENTA-SCIENCE OF THE ANTHROPOCENE</t>
  </si>
  <si>
    <t>Arctic Ocean; Southern Ocean; Atmosphere; Sea ice; Ocean</t>
  </si>
  <si>
    <t>SALT AEROSOL PRODUCTION; GAS TRANSFER VELOCITY; DIMETHYL SULFIDE DMS; UPPER WATER COLUMN; ARCTIC-OCEAN; SOUTHERN-OCEAN; LONG-TERM; BLOWING SNOW; AMUNDSEN SEA; PHYTOPLANKTON BLOOMS</t>
  </si>
  <si>
    <t>Polar oceans and sea ice cover 15% of the Earth's ocean surface, and the environment is changing rapidly at both poles. Improving knowledge on the interactions between the atmospheric and oceanic realms in the polar regions, a Surface Ocean-Lower Atmosphere Study (SOLAS) project key focus, is essential to understanding the Earth system in the context of climate change. However, our ability to monitor the pace and magnitude of changes in the polar regions and evaluate their impacts for the rest of the globe is limited by both remoteness and sea-ice coverage. Sea ice not only supports biological activity and mediates gas and aerosol exchange but can also hinder some in-situ and remote sensing observations. While satellite remote sensing provides the baseline climate record for sea-ice properties and extent, these techniques cannot provide key variables within and below sea ice. Recent robotics, modeling, and in-situ measurement advances have opened new possibilities for understanding the ocean-sea ice-atmosphere system, but critical knowledge gaps remain. Seasonal and long-term observations are clearly lacking across all variables and phases. Observational and modeling efforts across the sea-ice, ocean, and atmospheric domains must be better linked to achieve a system-level understanding of polar ocean and sea-ice environments. As polar oceans are warming and sea ice is becoming thinner and more ephemeral than before, dramatic changes over a suite of physicochemical and biogeochemical processes are expected, if not already underway. These changes in sea-ice and ocean conditions will affect atmospheric processes by modifying the production of aerosols, aerosol precursors, reactive halogens and oxidants, and the exchange of greenhouse gases. Quantifying which processes will be enhanced or reduced by climate change calls for tailored monitoring programs for high-latitude ocean environments. Open questions in this coupled system will be best resolved by leveraging ongoing international and multidisciplinary programs, such as efforts led by SOLAS, to link research across the ocean-sea ice-atmosphere interface.</t>
  </si>
  <si>
    <t>[Willis, Megan D.] Colorado State Univ, Dept Chem, Ft Collins, CO 80523 USA; [Lannuzel, Delphine; Meiners, Klaus M.] Univ Tasmania, Australian Ctr Excellence Antarctic Sci, Hobart, Tas, Australia; [Lannuzel, Delphine; Hayashida, Hakase] Univ Tasmania, Inst Marine &amp; Antarctic Studies, Hobart, Tas, Australia; [Else, Brent] Univ Calgary, Dept Geog, Calgary, AB, Canada; [Angot, Helene; Thomas, Jennie] Univ Grenoble Alpes, CNRS, IRD, Grenoble INP,INRAE,IGE, Grenoble, France; [Campbell, Karley] UiT Arctic Univ Norway, Dept Arctic &amp; Marine Biol, Tromso, Norway; [Crabeck, Odile] Univ Liege, Chem Oceanog Unit, Liege, Belgium; [Crabeck, Odile] Univ Libre Bruxelles, Lab Glaciol, Brussels, Belgium; [Hayashida, Hakase] Japan Agcy Marine Earth Sci &amp; Technol, Applicat Lab, Yokohama, Japan; [Lizotte, Martine] Univ Laval, Takuvik Int Res Lab IRL3376, CNRS, Quebec City, PQ, Canada; [Lizotte, Martine] Univ Laval, Dept Biol, Quebec City, PQ, Canada; [Lizotte, Martine] Univ Laval, Quebec Ocean, Quebec City, PQ, Canada; [Loose, Brice] Univ Rhode Isl, Grad Sch Oceanog, Kingston, RI USA; [Meiners, Klaus M.] Dept Climate Change Energy Environm &amp; Water, Australian Antarctic Div, Kingston, Tas, Australia; [Meiners, Klaus M.] Univ Tasmania, Australian Antarctic Program Partnership, Inst Marine &amp; Antarctic Studies, Hobart, Tas, Australia; [Miller, Lisa; Steiner, Nadja] Fisheries &amp; Oceans Canada, Inst Ocean Sci, Sidney, BC, Canada; [Moreau, Sebastien] Norwegian Polar Res Inst, Tromso, Norway; [Nomura, Daiki] Hokkaido Univ, Sch Fisheries Sci, Hakodate, Hokkaido, Japan; [Nomura, Daiki] Hokkaido Univ, Arctic Res Ctr, Hakodate, Hokkaido, Japan; [Prytherch, John] Stockholm Univ, Dept Meteorol, Stockholm, Sweden; [Schmale, Julia] Ecole Polytech Fed Lausanne EPFL Valais Wallis, Extreme Environm Res Lab, Sion, Switzerland; [Schmale, Julia] Finnish Environm Inst, Marine &amp; Freshwater Solut Unit, Helsinki, Finland</t>
  </si>
  <si>
    <t>Colorado State University; University of Tasmania; University of Tasmania; University of Calgary; Institut de Recherche pour le Developpement (IRD); INRAE; Communaute Universite Grenoble Alpes; Institut National Polytechnique de Grenoble; Centre National de la Recherche Scientifique (CNRS); Universite Grenoble Alpes (UGA); UiT The Arctic University of Tromso; University of Liege; Universite Libre de Bruxelles; Japan Agency for Marine-Earth Science &amp; Technology (JAMSTEC); Laval University; Laval University; Laval University; University of Rhode Island; Australian Antarctic Division; University of Tasmania; Fisheries &amp; Oceans Canada; Norwegian Polar Institute; Hokkaido University; Hokkaido University; Stockholm University; Swiss Federal Institutes of Technology Domain; Ecole Polytechnique Federale de Lausanne; Finnish Environment Institute</t>
  </si>
  <si>
    <t>Willis, MD (corresponding author), Colorado State Univ, Dept Chem, Ft Collins, CO 80523 USA.</t>
  </si>
  <si>
    <t>megan.willis@colostate.edu</t>
  </si>
  <si>
    <t>Hayashida, Hakase/AAY-4151-2020; Lannuzel, Delphine/J-7937-2014; /Q-6028-2018; Delille, Bruno/C-3486-2008</t>
  </si>
  <si>
    <t>Hayashida, Hakase/0000-0002-6349-4947; /0000-0003-1882-9303; Delille, Bruno/0000-0003-0502-8101</t>
  </si>
  <si>
    <t>Research Council of Norway [325405]; CRYosphere Melting on Southern Ocean Ecosystems and biogeochemical cycles [335512]; Norwegian Centre of Excellence iC3: Center for ice [332635]; Knut and Alice Wallenberg Foundation [2016-0024]; Academy of Finland [335692]; Academy of Finland (AKA) [335692] Funding Source: Academy of Finland (AKA)</t>
  </si>
  <si>
    <t>Research Council of Norway(Research Council of Norway); CRYosphere Melting on Southern Ocean Ecosystems and biogeochemical cycles; Norwegian Centre of Excellence iC3: Center for ice; Knut and Alice Wallenberg Foundation(Knut &amp; Alice Wallenberg Foundation); Academy of Finland(Research Council of Finland); Academy of Finland (AKA)(Research Council of Finland)</t>
  </si>
  <si>
    <t>This publication resulted in part from support from the U.S. National Science Foundation (grant OCE-1840868) to the Scientific Committee on Oceanic Research (SCOR) , the European Union's Horizon 2020 research and innovation programme under grant agreement No. 101003826 via the project CRiceS: Climate Relevant interactions and feedbacks: the key role of sea ice and Snow in the polar and global climate system, and the Government of Canada's New Frontiers in Research Fund (NFRF) for partner country participation in the CRiceS project, Grant Number NFRFG-2020-00451. Delphine Lannuzel was supported by the Australian Research Council through a Future Fellowship (L0026677) and a Special Research Initiative grant (SR200100008) . This work also contributes to the Australian Antarctic Program Partnership funded by the Australian Government as part of the Antarctic Science Collaboration Initiative program (project ID ASCI000002) . Megan Willis received funding from the U.S. National Science Foundation for the project SMA Marine Aerosol precursors and Links to aerosol growth at ice-melT onset in the Arctic (grant no. AGS-2211153) . LTA: Secondary Sebastien Moreau received funding from the Research Council of Norway for the project I-CRYME: Impact of CRYosphere Melting on Southern Ocean Ecosystems and biogeochemical cycles (grant no. 335512) and for the Norwegian Centre of Excellence iC3: Center for ice, Cr yo-sphere, Carbon and Climate (grand no. 332635) . Karley Campbell received funding from the Research Council of Norway for the project BREATHE: Bottom sea ice Respiration and nutrient Exchanges Assessed for THE Arctic (grant no. 325405) . John Prytherch was supported by the Knut and Alice Wallenberg Foundation (grant no. 2016-0024) . Letizia Tedesco received funding from the Academy of Finland for the project IMICROBE: Iron limitation on primary productivity in the Marginal Ice Zone of the Southern Ocean-unravelling the role of bacteria as mediators in the iron cycle (grant no. 335692) .r Sebastien Moreau received Funding from the Research Council of Norway for the project I-CRYME: Impact of CRYosphere Melting on Southern Ocean Ecosystems and biogeochemical cycles (grant no. 335512) and for the Norwegian Centre of Excellence iC3: Center for ice, Cr yo-sphere, Carbon and Climate (grand no. 332635) . Karley Campbell received funding from the Research Council of Norway for the project BREATHE: Bottom sea ice Respi-ration and nutrient Exchanges Assessed for THE Arctic (grant no. 325405) . John Prytherch was supported by the Knut and Alice Wallenberg Foundation (grant no. 2016-0024) . Letizia Tedesco received funding from the Academy of Finland for the project IMICROBE: Iron limitation on primary productivity in the Marginal Ice Zone of the Southern Ocean-unravelling the role of bacteria as med-iators in the iron cycle (grant no. 335692) .</t>
  </si>
  <si>
    <t>UNIV CALIFORNIA PRESS</t>
  </si>
  <si>
    <t>OAKLAND</t>
  </si>
  <si>
    <t>155 GRAND AVE, SUITE 400, OAKLAND, CA 94612-3758 USA</t>
  </si>
  <si>
    <t>2325-1026</t>
  </si>
  <si>
    <t>ELEMENTA-SCI ANTHROP</t>
  </si>
  <si>
    <t>Elementa-Sci. Anthrop.</t>
  </si>
  <si>
    <t>10.1525/elementa.2023.00056</t>
  </si>
  <si>
    <t>X8NM2</t>
  </si>
  <si>
    <t>WOS:001100951200001</t>
  </si>
  <si>
    <t>Hughes, KA; Lowther, A; Gilbert, N; Waluda, CM; Lee, JR</t>
  </si>
  <si>
    <t>Hughes, Kevin A.; Lowther, Andrew; Gilbert, Neil; Waluda, Claire M.; Lee, Jasmine R.</t>
  </si>
  <si>
    <t>Communicating the best available science to inform Antarctic policy and management: a practical introduction for researchers</t>
  </si>
  <si>
    <t>Antarctic Treaty System; communication; knowledge; science needs; science-policy interface; stakeholders</t>
  </si>
  <si>
    <t>SPECIALLY PROTECTED AREAS; ENVIRONMENTAL-MANAGEMENT; SPATIAL-DISTRIBUTION; CLIMATE-CHANGE; CONSERVATION; FISHERIES; TOURISM; IMPACTS; TREATY; IMPLEMENTATION</t>
  </si>
  <si>
    <t>Communication at the science-policy interface can be bewildering not only for early-career researchers, but also for many within the research community. In the context of Antarctica and the Southern Ocean, decision-makers operating within the Antarctic Treaty System (ATS) aspire to use the best available science as a basis for their decision-making. Therefore, to maximize the impact of Antarctic Treaty Parties' substantial investment in southern polar research, researchers wishing to contribute to policy and management must understand 1) how their work relates to and can potentially inform Antarctic and/or global policy and 2) the available mechanisms by which their research can be communicated to decision-makers. Recognizing these needs, we describe the main legal instruments relevant to Antarctic governance (primarily the ATS) and the associated meetings and stakeholders that contribute to policy development for the region. We highlight effective mechanisms by which Antarctic researchers may communicate their science into the policy realm, including through National Delegations or the Scientific Committee on Antarctic Research (SCAR), and we detail the key contemporary topics of interest to decision-makers, including those issues where further research is needed. Finally, we describe challenges at the Antarctic science-policy interface that may potentially slow or halt policy development.</t>
  </si>
  <si>
    <t>[Hughes, Kevin A.; Waluda, Claire M.; Lee, Jasmine R.] British Antarctic Survey, Nat Environm Res Council, Madingley Rd, Cambridge CB3 0ET, England; [Lowther, Andrew] Norwegian Polar Res Inst, Fram Ctr, Hjalmar Johanesensgata 14, Tromso, Norway; [Gilbert, Neil] Univ Canterbury, Ctr Antarctic Studies &amp; Res, Sch Earth &amp; Environm, Gateway Antarctica, Private Bag 4800, Christchurch 8140, New Zealand; [Lee, Jasmine R.] Queensland Univ Technol, Sch Biol &amp; Environm Sci, Securing Antarcticas Environm Future, Brisbane, Qld, Australia</t>
  </si>
  <si>
    <t>UK Research &amp; Innovation (UKRI); Natural Environment Research Council (NERC); NERC British Antarctic Survey; Norwegian Polar Institute; University of Canterbury; Queensland University of Technology (QUT)</t>
  </si>
  <si>
    <t>Hughes, KA (corresponding author), British Antarctic Survey, Nat Environm Res Council, Madingley Rd, Cambridge CB3 0ET, England.</t>
  </si>
  <si>
    <t>kehu@bas.ac.uk</t>
  </si>
  <si>
    <t>Hughes, Kevin/JVZ-0793-2024</t>
  </si>
  <si>
    <t>Lee, Jasmine/0000-0003-3847-1679</t>
  </si>
  <si>
    <t>NERC core funding; Royal Commission for the Exhibition of 1851</t>
  </si>
  <si>
    <t>KAH is supported by NERC core funding to the BAS Environment Office. JRL is supported by a Research Fellowship awarded by the Royal Commission for the Exhibition of 1851. Laura Gerrish, from the Mapping and Geographic Information Centre (MAGIC), BAS, is thanked for the preparation of Fig. 2. The helpful comments of three anonymous reviewers are gratefully acknowledged. This paper is a contribution to the 'Human Impacts and Sustainability' research theme of the SCAR Scientific Research Programme 'Integrated Science to Inform Antarctic and Southern Ocean Conservation' (Ant-ICON).</t>
  </si>
  <si>
    <t>2023 OCT 18</t>
  </si>
  <si>
    <t>10.1017/S095410202300024X</t>
  </si>
  <si>
    <t>U6KH5</t>
  </si>
  <si>
    <t>WOS:001085867700001</t>
  </si>
  <si>
    <t>Shrestha, P; Karmacharya, J; Han, SR; Lee, JH; Oh, TJ</t>
  </si>
  <si>
    <t>Shrestha, Prasansah; Karmacharya, Jayram; Han, So-Ra; Lee, Jun Hyuck; Oh, Tae-Jin</t>
  </si>
  <si>
    <t>Elucidation of cold adaptation in Glaciimonas sp. PAMC28666 with special focus on trehalose biosynthesis</t>
  </si>
  <si>
    <t>Antarctica; cold shock proteins; extremophiles; Glaciimonas sp.; trehalose biosynthesis</t>
  </si>
  <si>
    <t>16S RIBOSOMAL-RNA; ESCHERICHIA-COLI; LOW-TEMPERATURE; SHOCK PROTEIN; CSPA FAMILY; SP NOV.; ACCLIMATION PROTEINS; DEGREES-C; GENES; EXPRESSION</t>
  </si>
  <si>
    <t>Glaciimonas sp. PAMC28666, an extremophilic bacterium thriving in Antarctic soil and belonging to the Oxalobacteraceae family, represents the only complete genome of its genus available in the NCBI database. Its genome measures 5.2 Mb and comprises 4,476 genes (4,350 protein-coding and 72 non-coding). Phylogenetic analysis shows the strain PAMC28666 in a unique branch within the genus Glaciimonas, closely related to Glaciimonas alpine Cr9-12, supported by robust bootstrap values. In addition, strain PAMC28666 showed 77.08 and 23.3% ANI and DDH, respectively, with Glaciimonas sp. PCH181.This study focuses on how polar strain PAMC28666 responds to freeze-thaw conditions, Experimental results revealed a notable survival rate of 47.28% when subjected to a temperature of 15degree celsius for a period of 10 days. Notably, two genes known to be responsive to cold stress, Trehalose 6-phosphate synthase (otsA) and Trehalose 6-phosphate phosphatase (otsB), exhibited increased expression levels as the temperature shifted from 25degree celsius to 15degree celsius. The upregulation of otsAB and the consequent synthesis of trehalose play pivotal roles in enhancing the cold resistance of strain PAMC28666, offering valuable insights into the correlation between trehalose production and adaptation to cold stress. Furthermore, research into this neglected cold-adapted variation, like Glaciimonas sp. PAMC28666, has the potential to shed light on how trehalose is produced in cold-adapted environments Additionally, there is potential to extract trehalose compounds from this strain for diverse biotechnological applications, including food and cosmetics, with ongoing research exploring its unique properties.</t>
  </si>
  <si>
    <t>[Shrestha, Prasansah; Karmacharya, Jayram; Han, So-Ra; Oh, Tae-Jin] SunMoon Univ, Grad Sch, Dept Life Sci &amp; Biochem Engn, Asan, South Korea; [Han, So-Ra; Oh, Tae-Jin] Genome Based Bioit Convergence Inst, Asan, South Korea; [Han, So-Ra; Oh, Tae-Jin] SunMoon Univ, Bio Big Data Based Chungnam Smart Clean Res Leader, Asan, South Korea; [Lee, Jun Hyuck] Korea Polar Res Inst, Res Unit Cryogen Novel Mat, Incheon, South Korea; [Oh, Tae-Jin] SunMoon Univ, Dept Pharmaceut Engn &amp; Biotechnol, Asan, South Korea</t>
  </si>
  <si>
    <t>Sun Moon University; Sun Moon University; Korea Polar Research Institute (KOPRI); Sun Moon University</t>
  </si>
  <si>
    <t>Oh, TJ (corresponding author), SunMoon Univ, Grad Sch, Dept Life Sci &amp; Biochem Engn, Asan, South Korea.;Oh, TJ (corresponding author), Genome Based Bioit Convergence Inst, Asan, South Korea.;Oh, TJ (corresponding author), SunMoon Univ, Bio Big Data Based Chungnam Smart Clean Res Leader, Asan, South Korea.;Oh, TJ (corresponding author), SunMoon Univ, Dept Pharmaceut Engn &amp; Biotechnol, Asan, South Korea.</t>
  </si>
  <si>
    <t>tjoh3782@sunmoon.ac.kr</t>
  </si>
  <si>
    <t>Shrestha, Prasansah/0000-0002-7258-1380</t>
  </si>
  <si>
    <t>The author(s) declare financial support was received for the research, authorship, and/or publication of this article. This research was a part of the project titled Development of potential antibiotic compounds using polar organism resources (20200610), [20200610]; Ministry of Oceans and Fisheries, Korea</t>
  </si>
  <si>
    <t>The author(s) declare financial support was received for the research, authorship, and/or publication of this article. This research was a part of the project titled Development of potential antibiotic compounds using polar organism resources (20200610),; Ministry of Oceans and Fisheries, Korea</t>
  </si>
  <si>
    <t>The author(s) declare financial support was received for the research, authorship, and/or publication of this article. This research was a part of the project titled Development of potential antibiotic compounds using polar organism resources (20200610), funded by the Ministry of Oceans and Fisheries, Korea.</t>
  </si>
  <si>
    <t>10.3389/fmicb.2023.1280775</t>
  </si>
  <si>
    <t>W8BR4</t>
  </si>
  <si>
    <t>WOS:001093829400001</t>
  </si>
  <si>
    <t>Rucová, D; Vilková, M; Sovová, S; Vargová, Z; Kostecká, Z; Frenák, R; Routray, D; Backor, M</t>
  </si>
  <si>
    <t>Rucova, Dajana; Vilkova, Maria; Sovova, Simona; Vargova, Zuzana; Kostecka, Zuzana; Frenak, Richard; Routray, Deepti; Backor, Martin</t>
  </si>
  <si>
    <t>Photoprotective and antioxidant properties of scytonemin isolated from Antarctic cyanobacterium Nostoc commune Vaucher ex Bornet &amp; Flahault and its potential as sunscreen ingredient</t>
  </si>
  <si>
    <t>Scytonemin; UV protection; Antioxidant activity; SPF factor</t>
  </si>
  <si>
    <t>ORGANIC UV FILTERS; ULTRAVIOLET-RADIATION; NATURAL-PRODUCTS; SURFACE WATERS; WASTE-WATER; PIGMENT; SKIN; BIOSYNTHESIS; RESOURCES; EXTRACTS</t>
  </si>
  <si>
    <t>In the cosmetic industry there is an increasing demand for substances obtained from natural sources that can replace synthetic ones. Due to consumer demand for a protective filter with (SPF) labels in sunscreens, moisturizers, face make-up, and lipsticks worldwide, they produce tonnes of such products every year. Many species of cyanobacteria live in extreme environments, including sites with excessive doses of sunlight and drought. To survive in such extreme conditions, they produce compounds that allow both protection against ultraviolet radiation (UV), as well as the substances that are responsible for reducing oxidative stress. The aim of this study was to isolate, identify, and test the biological potential of the secondary metabolite scytonemin from the cyanobacterium Nostoc commune Vaucher ex Bornet et Flahault collected in Antarctica. The photoprotective effect was evaluated by the measurement of the sun protection factor (SPF) and the antioxidant activity was determined by two different assays including superoxide anion scavenging activity and free radical scavenging activity based on the amount of substance. An estimated SPF value of 33.34 +/- 0.02 demonstrated that scytonemin might serve as a topically applicable ingredient for natural UV sunscreen cream.</t>
  </si>
  <si>
    <t>[Rucova, Dajana; Frenak, Richard; Routray, Deepti; Backor, Martin] Pavol Jozef Safarik Univ, Fac Sci, Inst Biol &amp; Ecol, Dept Bot, Manesova 23, Kosice 04167, Slovakia; [Vilkova, Maria] Pavol Jozef Safarik Univ, Inst Chem, Fac Sci, NMR Lab, Moyzesova 11, Kosice 04001, Slovakia; [Sovova, Simona; Vargova, Zuzana] Pavol Jozef Safarik Univ, Fac Sci, Dept Inorgan Chem, Moyzesova 11, Kosice 04154, Slovakia; [Kostecka, Zuzana] Univ Vet Med &amp; Pharm, Dept Chem Biochem &amp; Biophys, Komenskeho 73, Kosice 04181, Slovakia; [Backor, Martin] Slovak Univ Agr, Inst Biotechnol, Fac Biotechnol &amp; Food Sci, Nitra 94976, Slovakia</t>
  </si>
  <si>
    <t>University of Pavol Jozef Safarik Kosice; University of Pavol Jozef Safarik Kosice; University of Pavol Jozef Safarik Kosice; University of Veterinary Medicine Kosice; Slovak University of Agriculture Nitra</t>
  </si>
  <si>
    <t>Rucová, D (corresponding author), Pavol Jozef Safarik Univ, Fac Sci, Inst Biol &amp; Ecol, Dept Bot, Manesova 23, Kosice 04167, Slovakia.</t>
  </si>
  <si>
    <t>dajana.rucova@upjs.sk</t>
  </si>
  <si>
    <t>Sovova, Simona/0000-0002-2753-2109</t>
  </si>
  <si>
    <t>Ministry of Education, Science, Research and Sport of the Slovak Republic; Centre for Scientific and Technical Information of the Slovak Republic; Slovak Grant Agency KEGA [009UPJScaron;-4/2023, 008SPU-4/2023]; Slovak Research and Development Agency [APVV-21-0289]</t>
  </si>
  <si>
    <t>Ministry of Education, Science, Research and Sport of the Slovak Republic; Centre for Scientific and Technical Information of the Slovak Republic; Slovak Grant Agency KEGA; Slovak Research and Development Agency(Slovak Research and Development Agency)</t>
  </si>
  <si>
    <t>Open access funding provided by The Ministry of Education, Science, Research and Sport of the Slovak Republic in cooperation with Centre for Scientific and Technical Information of the Slovak Republic This study was supported by the Slovak Grant Agency KEGA (009UPJ &amp; Scaron;-4/2023 and 008SPU-4/2023) and by the Slovak Research and Development Agency under contract No. APVV-21-0289.</t>
  </si>
  <si>
    <t>10.1007/s10811-023-03109-6</t>
  </si>
  <si>
    <t>AD1Y9</t>
  </si>
  <si>
    <t>WOS:001089615400003</t>
  </si>
  <si>
    <t>Capotondi, A; McGregor, S; McPhaden, MJ; Cravatte, S; Holbrook, NJ; Imada, Y; Sanchez, SC; Sprintall, J; Stuecker, MF; Ummenhofer, CC; Zeller, M; Farneti, R; Graffino, G; Hu, SJ; Karnauskas, KB; Kosaka, Y; Kucharski, F; Mayer, M; Qiu, B; Santoso, A; Taschetto, AS; Wang, F; Zhang, XB; Holmes, RM; Luo, JJ; Maher, N; Martinez-Villalobos, C; Meehl, GA; Naha, R; Schneider, N; Stevenson, S; Sullivan, A; van Rensch, P; Xu, TT</t>
  </si>
  <si>
    <t>Capotondi, Antonietta; McGregor, Shayne; McPhaden, Michael J.; Cravatte, Sophie; Holbrook, Neil J.; Imada, Yukiko; Sanchez, Sara C.; Sprintall, Janet; Stuecker, Malte F.; Ummenhofer, Caroline C.; Zeller, Mathias; Farneti, Riccardo; Graffino, Giorgio; Hu, Shijian; Karnauskas, Kristopher B.; Kosaka, Yu; Kucharski, Fred; Mayer, Michael; Qiu, Bo; Santoso, Agus; Taschetto, Andrea S.; Wang, Fan; Zhang, Xuebin; Holmes, Ryan M.; Luo, Jing-Jia; Maher, Nicola; Martinez-Villalobos, Cristian; Meehl, Gerald A.; Naha, Rajashree; Schneider, Niklas; Stevenson, Samantha; Sullivan, Arnold; van Rensch, Peter; Xu, Tongtong</t>
  </si>
  <si>
    <t>Mechanisms of tropical Pacific decadal variability</t>
  </si>
  <si>
    <t>SEA-SURFACE TEMPERATURE; MERIDIONAL OVERTURNING CIRCULATION; EL-NINO/SOUTHERN OSCILLATION; NINO-SOUTHERN OSCILLATION; OCEAN HEAT-CONTENT; EQUATORIAL PACIFIC; NORTH PACIFIC; WIND STRESS; CLIMATE VARIABILITY; SUBTROPICAL CELLS</t>
  </si>
  <si>
    <t>Naturally occurring tropical Pacific variations at timescales of 7-70 years - tropical Pacific decadal variability (TPDV) - describe basin-scale sea surface temperature (SST), sea-level pressure and heat content anomalies. Several mechanisms are proposed to explain TPDV, which can originate through oceanic processes, atmospheric processes or as an El Nino/Southern Oscillation (ENSO) residual. In this Review, we synthesize knowledge of these mechanisms, their characteristics and contribution to TPDV. Oceanic processes include off-equatorial Rossby waves, which mediate oceanic adjustment and contribute to variations in equatorial thermocline depth and SST; variations in the strength of the shallow upper-ocean overturning circulation, which exhibit a large anti-correlation with equatorial Pacific SST at interannual and decadal timescales; and the propagation of salinity-compensated temperature (spiciness) anomalies from the subtropics to the equatorial thermocline. Atmospheric processes include midlatitude internal variability leading to tropical and subtropical wind anomalies, which result in equatorial SST anomalies and feedbacks that enhance persistence; and atmospheric teleconnections from Atlantic and Indian Ocean SST variability, which induce winds conducive to decadal anomalies of the opposite sign in the Pacific. Although uncertain, the tropical adjustment through Rossby wave activity is likely a dominant mechanism. A deeper understanding of the origin and spectral characteristics of TPDV-related winds is a key priority.</t>
  </si>
  <si>
    <t>[Capotondi, Antonietta; Karnauskas, Kristopher B.; Maher, Nicola; Xu, Tongtong] Univ Colorado, Cooperat Inst Res Environm Sci, Boulder, CO 80309 USA; [Capotondi, Antonietta; Xu, Tongtong] NOAA, Phys Sci Lab, Boulder, CO 80305 USA; [McGregor, Shayne; Naha, Rajashree; van Rensch, Peter] Monash Univ, Sch Earth Atmosphere &amp; Environm, Clayton, Vic, Australia; [McGregor, Shayne] Monash Univ, ARC Ctr Excellence Climate Extremes, Clayton, Vic, Australia; [McPhaden, Michael J.] NOAA, Pacific Marine Environm Lab, Seattle, WA USA; [Cravatte, Sophie] Univ Toulouse, CNRS, LEGOS, CNES,IRD,UPS, Toulouse, France; [Cravatte, Sophie] IRD, Noumea, New Caledonia; [Holbrook, Neil J.] Univ Tasmania, Inst Marine &amp; Antarctic Studies, Hobart, Tas, Australia; [Holbrook, Neil J.] Univ Tasmania, ARC Ctr Excellence Climate Extremes, Hobart, Tas, Australia; [Imada, Yukiko] Univ Tokyo, Atmosphere &amp; Ocean Res Inst, Chiba, Japan; [Sanchez, Sara C.; Maher, Nicola] Univ Colorado, Dept Atmospher &amp; Ocean Sci, Boulder, CO USA; [Sprintall, Janet] Univ Calif San Diego, Scripps Inst Oceanog, La Jolla, CA USA; [Stuecker, Malte F.; Qiu, Bo; Schneider, Niklas] Univ Hawaii Manoa, Sch Ocean &amp; Earth Sci &amp; Technol SOEST, Dept Oceanog, Honolulu, HI USA; [Stuecker, Malte F.; Schneider, Niklas] Univ Hawaii Manoa, Int Pacific Res Ctr IPRC, Sch Ocean &amp; Earth Sci &amp; Technol SOEST, Honolulu, HI USA; [Ummenhofer, Caroline C.] Woods Hole Oceanog Inst, Dept Phys Oceanog, Woods Hole, MA USA; [Ummenhofer, Caroline C.; Santoso, Agus; Taschetto, Andrea S.] Univ New South Wales, ARC Ctr Excellence Climate Extremes, Sydney, NSW, Australia; [Zeller, Mathias] GEOMAR Helmholtz Ctr Ocean Res, Kiel, Germany; [Farneti, Riccardo; Kucharski, Fred] Abdus Salam Int Ctr Theoret Phys, Trieste, Italy; [Graffino, Giorgio] Univ Reading, Natl Ctr Atmospher Sci, Dept Meteorol, Reading, England; [Hu, Shijian; Wang, Fan] Chinese Acad Sci, Inst Oceanol, CAS Key Lab Ocean Circulat &amp; Waves, Qingdao, Peoples R China; [Kosaka, Yu] Univ Tokyo, Res Ctr Adv Sci &amp; Technol, Tokyo, Japan; [Mayer, Michael] European Ctr Medium Range Weather Forecasts, Res Dept, Reading, England; [Mayer, Michael] Univ Vienna, Dept Meteorol &amp; Geophys, Vienna, Austria; [Santoso, Agus; Taschetto, Andrea S.] Univ New South Wales, Climate Change Res Ctr, Sydney, NSW, Australia; [Zhang, Xuebin] CSIRO Environm, Climate Sci Ctr, Hobart, Tas, Australia; [Holmes, Ryan M.] Univ Sydney, Sch Geosci, Sydney, NSW, Australia; [Luo, Jing-Jia] Nanjing Univ Informat Sci &amp; Technol, Inst Climate Applicat Res ICAR CIC FEMD, Nanjing, Peoples R China; [Maher, Nicola] Australian Natl Univ, Res Sch Earth Sci, Canberra, ACT, Australia; [Maher, Nicola] Australian Natl Univ, ARC Ctr Excellence Climate Extremes, Canberra, ACT, Australia; [Martinez-Villalobos, Cristian] Univ Adolfo Ibanez, Fac Engn &amp; Sci, Santiago, Chile; [Martinez-Villalobos, Cristian] Data Observ Fdn, Santiago, Chile; [Meehl, Gerald A.] Natl Ctr Atmospher Res, Boulder, CO USA; [Stevenson, Samantha] Univ Calif Santa Baranra, Bren Sch Environm Sci &amp; Management, Santa Baranra, CA USA; [Sullivan, Arnold] CSIRO Oceans &amp; Atmosphere, Aspendale, Vic, Australia</t>
  </si>
  <si>
    <t>University of Colorado System; University of Colorado Boulder; National Oceanic Atmospheric Admin (NOAA) - USA; Monash University; Monash University; National Oceanic Atmospheric Admin (NOAA) - USA; Universite de Toulouse; Universite Toulouse III - Paul Sabatier; Centre National de la Recherche Scientifique (CNRS); Institut de Recherche pour le Developpement (IRD); Laboratoire d'Etudes en Geophysique et oceanographie spatiales; Institut de Recherche pour le Developpement (IRD); University of Tasmania; University of Tasmania; University of Tokyo; University of Colorado System; University of Colorado Boulder; University of California System; University of California San Diego; Scripps Institution of Oceanography; University of Hawaii System; University of Hawaii Manoa; University of Hawaii System; University of Hawaii Manoa; Woods Hole Oceanographic Institution; University of New South Wales Sydney; Helmholtz Association; GEOMAR Helmholtz Center for Ocean Research Kiel; Abdus Salam International Centre for Theoretical Physics (ICTP); University of Reading; UK Research &amp; Innovation (UKRI); Natural Environment Research Council (NERC); NERC National Centre for Atmospheric Science; Chinese Academy of Sciences; Institute of Oceanology, CAS; University of Tokyo; European Centre for Medium-Range Weather Forecasts (ECMWF); University of Vienna; University of New South Wales Sydney; University of Sydney; Nanjing University of Information Science &amp; Technology; Australian National University; Australian National University; Universidad Adolfo Ibanez; National Center Atmospheric Research (NCAR) - USA; Commonwealth Scientific &amp; Industrial Research Organisation (CSIRO)</t>
  </si>
  <si>
    <t>Capotondi, A (corresponding author), Univ Colorado, Cooperat Inst Res Environm Sci, Boulder, CO 80309 USA.;Capotondi, A (corresponding author), NOAA, Phys Sci Lab, Boulder, CO 80305 USA.</t>
  </si>
  <si>
    <t>antonietta.capotondi@noaa.gov</t>
  </si>
  <si>
    <t>Stuecker, Malte Fabian/H-6304-2011; Wang, Fan/J-5119-2012; Luo, Jing-Jia/T-9612-2019; Kosaka, Yu/C-2792-2009; Hu, Shijian/Q-6838-2016; McGregor, Shayne/A-9059-2013; Holbrook, Neil/M-7544-2013</t>
  </si>
  <si>
    <t>Stuecker, Malte Fabian/0000-0001-8355-0662; Wang, Fan/0000-0001-5932-7567; Luo, Jing-Jia/0000-0003-2181-0638; Kosaka, Yu/0000-0001-5575-4668; Martinez-Villalobos, Cristian/0000-0001-7057-5553; McGregor, Shayne/0000-0003-3222-7042; Kucharski, Fred/0000-0002-8710-8051; van Rensch, Peter/0000-0002-1377-1694; Holbrook, Neil/0000-0002-3523-6254; Sanchez, Sara/0000-0002-1923-1218; Sprintall, Janet/0000-0002-7428-7580</t>
  </si>
  <si>
    <t>CLIVAR; Faculty of Science; School of Earth Atmosphere and Environment at Monash University; US CLIVAR; NOAA Climate Program Office's Climate Variability and Predictability (CVP); Modeling, Analysis, Predictions and Projections (MAPP) programmes; DOE; Australian Government's National Environmental Science Program (NESP2) Climate Systems Hub; IRD (French National Research Institute for Sustainable Development); NSF; NOAA's Climate Program Office's MAPP programme; NOAA's Global Ocean Monitoring and Observing Program; Ministry of Education, Culture, Sports, Science and Technology, Japan; Centre for Southern Hemisphere Oceans Research; NASA Sea Level Change Science Program; ARC Centre of Excellence for Climate Extremes; NESP2 Climate Systems Hub; Austrian Science Fund; US Department of Energy; US National Science Foundation (NSF); Proyecto ANID Fondecyt; Australian Research Council; James E. and Barbara V. Moltz Fellowship for Climate-Related Research [DE-SC0023228]; Regional and Global Model Analysis component of the Earth and Environmental System Modelling Program of the US Department of Energy's Office of Biological and Environmental Research [FT160100162, DP200102329]; National Center for Atmospheric Research; joint JAMSTEC-IPRC Collaborative Research project JICore; US Office of Naval Research through the Climate Resilience Collaborative at the University of Hawai'i at Mamacr;noa [AGS-2141728, 3200621, DE-SC0022070]; NOAA [AGS-2002083]; U.S. Department of Energy (DOE) [DE-SC0023228] Funding Source: U.S. Department of Energy (DOE)</t>
  </si>
  <si>
    <t>CLIVAR; Faculty of Science; School of Earth Atmosphere and Environment at Monash University; US CLIVAR; NOAA Climate Program Office's Climate Variability and Predictability (CVP)(National Oceanic Atmospheric Admin (NOAA) - USA); Modeling, Analysis, Predictions and Projections (MAPP) programmes; DOE(United States Department of Energy (DOE)); Australian Government's National Environmental Science Program (NESP2) Climate Systems Hub(Australian Government); IRD (French National Research Institute for Sustainable Development); NSF(National Science Foundation (NSF)); NOAA's Climate Program Office's MAPP programme; NOAA's Global Ocean Monitoring and Observing Program(National Oceanic Atmospheric Admin (NOAA) - USA); Ministry of Education, Culture, Sports, Science and Technology, Japan(Ministry of Education, Culture, Sports, Science and Technology, Japan (MEXT)); Centre for Southern Hemisphere Oceans Research(Commonwealth Scientific &amp; Industrial Research Organisation (CSIRO)); NASA Sea Level Change Science Program; ARC Centre of Excellence for Climate Extremes(Australian Research Council); NESP2 Climate Systems Hub; Austrian Science Fund(Austrian Science Fund (FWF)); US Department of Energy(United States Department of Energy (DOE)); US National Science Foundation (NSF)(National Science Foundation (NSF)); Proyecto ANID Fondecyt; Australian Research Council(Australian Research Council); James E. and Barbara V. Moltz Fellowship for Climate-Related Research; Regional and Global Model Analysis component of the Earth and Environmental System Modelling Program of the US Department of Energy's Office of Biological and Environmental Research; National Center for Atmospheric Research; joint JAMSTEC-IPRC Collaborative Research project JICore; US Office of Naval Research through the Climate Resilience Collaborative at the University of Hawai'i at Mamacr;noa; NOAA(National Oceanic Atmospheric Admin (NOAA) - USA); U.S. Department of Energy (DOE)(United States Department of Energy (DOE))</t>
  </si>
  <si>
    <t>This paper is a product of the CLIVAR Pacific Region Panel working group on 'Tropical Pacific Decadal Variability'. The authors thank CLIVAR for their sponsorship and J. Li at the CLIVAR Program Office for her help. The paper was finalized during a workshop held at Monash University, Australia. The authors acknowledge workshop funding support from the Faculty of Science and the School of Earth Atmosphere and Environment at Monash University, as well as CLIVAR and US CLIVAR. The authors also thank N. Renier from the Woods Hole Oceanographic Institution graphics team for her help in the preparation of the figure in Box 1. A.C. was supported by the NOAA Climate Program Office's Climate Variability and Predictability (CVP) and Modeling, Analysis, Predictions and Projections (MAPP) programmes and by DOE Award No. DE-SC0023228. S.M. was supported by the Australian Research Council (grant numbers FT160100162 and DP200102329) and the Australian Government's National Environmental Science Program (NESP2) Climate Systems Hub. S.C. was supported by IRD (French National Research Institute for Sustainable Development). M.F.S. was supported by NSF grant AGS-2141728 and NOAA's Climate Program Office's MAPP programme grant NA20OAR4310445. This is IPRC publication 1611 and SOEST contribution 11719. J.S. was supported by NOAA's Global Ocean Monitoring and Observing Program (Award NA20OAR4320278). Y.I. and Y.K. were supported by the Program for Advanced Studies of Climate Change Projection (SENTAN, JPMXD0722680395) from the Ministry of Education, Culture, Sports, Science and Technology, Japan. A.S is supported by Australian Government's NESP and was supported by the Centre for Southern Hemisphere Oceans Research. K.B.K. was supported by the NASA Sea Level Change Science Program, Award 80NSSC20K1123. N.J.H. and A.S.T. were supported by funding from the ARC Centre of Excellence for Climate Extremes (grant number CE170100023) and acknowledge support from the NESP2 Climate Systems Hub. M.M. was supported by the Austrian Science Fund project P33177. S.S. was supported by the US Department of Energy, DE-SC0019418 and the US National Science Foundation (NSF), OCE-2202794 and AGS-1805143. C.M.-V. was supported by Proyecto ANID Fondecyt 3200621. R.M.H. was supported by the Australian Research Council through grant number DE21010004. C.C.U. was supported by NSF award AGS-2002083 and the James E. and Barbara V. Moltz Fellowship for Climate-Related Research. G.A.M. was supported by the Regional and Global Model Analysis component of the Earth and Environmental System Modelling Program of the US Department of Energy's Office of Biological and Environmental Research under Award Number DE-SC0022070 and also by the National Center for Atmospheric Research, which is a major facility sponsored by the NSF under Cooperative Agreement No. 1852977. N.S. acknowledges support from the joint JAMSTEC-IPRC Collaborative Research project JICore and from the US Office of Naval Research through the Climate Resilience Collaborative at the University of Hawai'i at Manoa. M.J.M. was supported by NOAA. This is PMEL contribution no. 5499.</t>
  </si>
  <si>
    <t>10.1038/s43017-023-00486-x</t>
  </si>
  <si>
    <t>X5KU1</t>
  </si>
  <si>
    <t>Green Published, Green Accepted</t>
  </si>
  <si>
    <t>WOS:001086343800002</t>
  </si>
  <si>
    <t>Steger, J; Linse, K; Gan, YM; Griffiths, HJ</t>
  </si>
  <si>
    <t>Steger, Jan; Linse, Katrin; Gan, Yi-Ming; Griffiths, Huw J.</t>
  </si>
  <si>
    <t>Mollusca collected by Agassiz trawl from the 2016 SO-AntEco (JR15005) expedition to the South Orkney Islands, Antarctica- data</t>
  </si>
  <si>
    <t>benthic biodiversity; Southern Ocean; continental slope; continental shelf; Bivalvia; Gastropoda; Polyplacophora; Scaphopoda; Solenogastres</t>
  </si>
  <si>
    <t>BELLINGSHAUSEN SEA; SHETLAND ISLANDS; BIODIVERSITY; GASTROPODA; MARINE; GENUS</t>
  </si>
  <si>
    <t>This dataset contributes to the knowledge of macro-and megafaunal Mollusca associated with a range of benthic habitat types in the South Orkney Islands, Antarctica, an exceptionally diverse region of the Southern Ocean. The information presented is derived from Agassiz trawl samples collected on the archipelago's shelf plateau and slope, within and outside of the South Orkney Islands Southern Shelf Marine Protected Area (SOISS MPA). Sampling was conducted in the framework of the British Antarctic Survey/SCAR South Orkneys -State of the Antarctic Ecosystem (SO-AntEco) project aboard RRS James Clark Ross during expedition JR15005 in Austral summer 2016. This dataset is published by the British Antarctic Survey under the licence CC-BY 4.0. We would appreciate it if you could follow the guidelines from the SCAR Data Policy (SCAR 2023) when using the data. If you have any questions regarding this dataset, do not hesitate to contact us via the contact information provided in the metadata or via data-biodiversityaq@naturalsciences.be. Issues with the dataset can be reported at https://github.com/biodiversity-aq/data-publication/. This dataset is part of the Biodiversity, Evolution and Adaptation Project of the Environmental Change and Evolution Program of the British Antarctic Survey. The cruise report of the expedition is available at https://www.bodc.ac.uk/ resources/inventories/cruise_inventory/reports/jr15005.pdf.</t>
  </si>
  <si>
    <t>[Steger, Jan] Univ Vienna, Dept Palaeontol, Vienna, Austria; [Linse, Katrin; Griffiths, Huw J.] British Antarctic Survey, Cambridge, England; [Gan, Yi-Ming] Royal Belgian Inst Nat Sci, Brussels, Belgium</t>
  </si>
  <si>
    <t>University of Vienna; UK Research &amp; Innovation (UKRI); Natural Environment Research Council (NERC); NERC British Antarctic Survey; Royal Belgian Institute of Natural Sciences</t>
  </si>
  <si>
    <t>Steger, J (corresponding author), Univ Vienna, Dept Palaeontol, Vienna, Austria.</t>
  </si>
  <si>
    <t>jan.steger@univie.ac.at</t>
  </si>
  <si>
    <t>Griffiths, Huw J/D-4234-2009</t>
  </si>
  <si>
    <t>Griffiths, Huw J/0000-0003-1764-223X; Gan, Yi-Ming/0000-0001-7087-2646</t>
  </si>
  <si>
    <t>OCT 17</t>
  </si>
  <si>
    <t>e105888</t>
  </si>
  <si>
    <t>10.3897/BDJ.11.e105888</t>
  </si>
  <si>
    <t>X4CQ2</t>
  </si>
  <si>
    <t>WOS:001097952700003</t>
  </si>
  <si>
    <t>Cajiao, D; Larson, L; Leung, YF; Reas, J</t>
  </si>
  <si>
    <t>Cajiao, Daniela; Larson, Lincoln; Leung, Yu-Fai; Reas, Julianne</t>
  </si>
  <si>
    <t>Making memories that matter: how do different recollections of an Antarctic tourism experience impact future conservation behavior?</t>
  </si>
  <si>
    <t>JOURNAL OF SUSTAINABLE TOURISM</t>
  </si>
  <si>
    <t>Memorable experiences; transformation; reflective; snapshot; pro-environmental outcomes</t>
  </si>
  <si>
    <t>PLACE; SATISFACTION; ANTECEDENTS; AMBASSADORSHIP; ATTITUDES; RESPONSES; PATHWAYS; WILDLIFE; AWE</t>
  </si>
  <si>
    <t>Antarctic tourism is increasing and diversifying leading to different types of experiences and memories. While the journey is considered a once-in-a-lifetime experience, little empirical research exists to understand memories' formation and their influence on pro-environmental behavior intentions (PEBI). To explore these relationships, we used a mixed-method approach to analyze surveys collected from Antarctic tourists during 2019-2020. We identified two dimensions of memories that resulted in three distinct groups of tourists: the snapshot group likely to recall specific trip components, the reflective group likely to think and share about their experience, and the reflective &amp; transformative group likely to indicate that their experience impacted them personally. We examined the relationships of these groups with experiential outcomes and PEBI. We found significant positive relationships, with the strongest outcomes in the reflective &amp; transformative memory group. Our results suggest that tour operators have been effective at enhancing public awareness and conservation concerns by triggering reflective memories; however, there is still a need to effectively cultivate transformative memories. Through this exploratory research, we offer insights into specific actions that operators, guides, and travelers might consider for maximizing the memory-making experience and inspiring tangible outcomes regarding Antarctic conservation which might also translate into other tourism contexts.</t>
  </si>
  <si>
    <t>[Cajiao, Daniela; Larson, Lincoln; Leung, Yu-Fai; Reas, Julianne] North Carolina State Univ, Dept Pk Recreat &amp; Tourism Management, Biltmore Hall 4008, Raleigh, NC USA; [Cajiao, Daniela] Wageningen Univ, Dept Social Sci, Environm Policy Grp, Leeuwenborch Hollandseweg 1, Wageningen, Netherlands; [Cajiao, Daniela] Wageningen Univ, Dept Social Sci, Environm Policy Grp, leeuwenborch Hollandseweg 1, NL-6706 KN Wageningen, Netherlands</t>
  </si>
  <si>
    <t>North Carolina State University; Wageningen University &amp; Research; Wageningen University &amp; Research</t>
  </si>
  <si>
    <t>Cajiao, D (corresponding author), Wageningen Univ, Dept Social Sci, Environm Policy Grp, leeuwenborch Hollandseweg 1, NL-6706 KN Wageningen, Netherlands.</t>
  </si>
  <si>
    <t>danicajiao@gmail.com</t>
  </si>
  <si>
    <t>Larson, Lincoln/0000-0001-9591-1269; Leung, Yu-Fai/0000-0002-0928-798X</t>
  </si>
  <si>
    <t>International Association of Antarctica Tour Operators (IAATO)</t>
  </si>
  <si>
    <t>This research was funded by the International Association of Antarctica Tour Operators (IAATO) as part of the Fellowship Program for early-career researchers awarded for the period 2019-2020</t>
  </si>
  <si>
    <t>0966-9582</t>
  </si>
  <si>
    <t>1747-7646</t>
  </si>
  <si>
    <t>J SUSTAIN TOUR</t>
  </si>
  <si>
    <t>J. Sustain. Tour.</t>
  </si>
  <si>
    <t>2023 OCT 17</t>
  </si>
  <si>
    <t>10.1080/09669582.2023.2272224</t>
  </si>
  <si>
    <t>Green &amp; Sustainable Science &amp; Technology; Hospitality, Leisure, Sport &amp; Tourism</t>
  </si>
  <si>
    <t>Science &amp; Technology - Other Topics; Social Sciences - Other Topics</t>
  </si>
  <si>
    <t>X0NB2</t>
  </si>
  <si>
    <t>WOS:001095494400001</t>
  </si>
  <si>
    <t>Slattery, O; Dahle, MK; Sundaram, AYM; Nowak, BF; Gjessing, MC; Solhaug, A</t>
  </si>
  <si>
    <t>Slattery, Orla; Dahle, Maria K.; Sundaram, Arvind Y. M.; Nowak, Barbara F.; Gjessing, Mona C.; Solhaug, Anita</t>
  </si>
  <si>
    <t>Functional and molecular characterization of the Atlantic salmon gill epithelium cell line ASG-10; a tool for in vitro gill research</t>
  </si>
  <si>
    <t>FRONTIERS IN MOLECULAR BIOSCIENCES</t>
  </si>
  <si>
    <t>gill epithelium; ASG-10; Atlantic salmon; cytochromeP450; tight junctions; ABC transporters; transcriptome; proteome</t>
  </si>
  <si>
    <t>MULTIDRUG-RESISTANCE; RAINBOW-TROUT; PHASE-I; FISH GILL; IDENTIFICATION; EXPRESSION; RESPONSES; NANOPARTICLES; NORMALIZATION; LOCALIZATION</t>
  </si>
  <si>
    <t>Fish gills are not only the respiratory organ, but also essential for ion-regulation, acid-base control, detoxification, waste excretion and host defense. Multifactorial gill diseases are common in farmed Atlantic salmon, and still poorly understood. Understanding gill pathophysiology is of paramount importance, but the sacrifice of large numbers of experimental animals for this purpose should be avoided. Therefore, in vitro models, such as cell lines, are urgently required to replace fish trials. An Atlantic salmon gill epithelial cell line, ASG-10, was established at the Norwegian Veterinary institute in 2018. This cell line forms a monolayer expressing cytokeratin, e-cadherin and desmosomes, hallmarks of a functional epithelial barrier. To determine the value of ASG-10 for comparative studies of gill functions, the characterization of ASG-10 was taken one step further by performing functional assays and comparing the cell proteome and transcriptome with those of gills from juvenile freshwater Atlantic salmon. The ASG-10 cell line appear to be a homogenous cell line consisting of epithelial cells, which express tight junction proteins. We demonstrated that ASG-10 forms a barrier, both alone and in co-culture with the Atlantic salmon gill fibroblast cell line ASG-13. ASG-10 cells can phagocytose and express several ATP-binding cassette transport proteins. Additionally, ASG-10 expresses genes involved in biotransformation of xenobiotics and immune responses. Taken together, this study provides an overview of functions that can be studied using ASG-10, which will be an important contribution to in vitro gill epithelial research of Atlantic salmon.</t>
  </si>
  <si>
    <t>[Slattery, Orla] Atlantic Technol Univ, Marine &amp; Freshwater Res Ctr, Galway, Ireland; [Dahle, Maria K.; Sundaram, Arvind Y. M.; Gjessing, Mona C.; Solhaug, Anita] Norwegian Vet Inst, Oslo, Norway; [Sundaram, Arvind Y. M.] Oslo Univ Hosp, Dept Med Genet, Oslo, Norway; [Nowak, Barbara F.] Univ Tasmania, Inst Marine &amp; Antarctic Studies, Hobart, Tas, Australia</t>
  </si>
  <si>
    <t>Atlantic Technological University (ATU); Norwegian Veterinary Institute; University of Oslo; University of Tasmania</t>
  </si>
  <si>
    <t>Solhaug, A (corresponding author), Norwegian Vet Inst, Oslo, Norway.</t>
  </si>
  <si>
    <t>Anita.Solhaug@vetinst.no</t>
  </si>
  <si>
    <t>Dahle, Maria K/0000-0003-0380-084X</t>
  </si>
  <si>
    <t>The work was funded by the Norwegian Research Council grant nr. 294876 (GILLMODEL). The article processing charge (APC) was funded by the Norwegian Veterinary Institute. [294876]; Norwegian Research Council; Norwegian Veterinary Institute</t>
  </si>
  <si>
    <t>The work was funded by the Norwegian Research Council grant nr. 294876 (GILLMODEL). The article processing charge (APC) was funded by the Norwegian Veterinary Institute.; Norwegian Research Council(Research Council of Norway); Norwegian Veterinary Institute</t>
  </si>
  <si>
    <t>The authors wish to thank Dr. Lucy Lee (Fraser Valley University, Canada) for valuable discussions and Daylan Pritchard (Fraser Valley University, Canada) for skilled help with the phagocytosis assay. Additionally, we want to thank Karen Bakken Soleim (Norwegian Veterinary Institute) for isolating RNA from gills and the ASG-10 cell line, Dr. Eugene Dillon (UCD Conway Institute of Biomolecular and Biomedical Research, Ireland) for carrying out the mass spectrometry analysis of peptides extracted from gills and ASG-10 cells, as well as the Norwegian Sequencing Centre at Oslo University Hospital for RNA sequencing runs.r The work was funded by the Norwegian Research Council grant nr. 294876 (GILLMODEL). The article processing charge (APC) was funded by the Norwegian Veterinary Institute.</t>
  </si>
  <si>
    <t>2296-889X</t>
  </si>
  <si>
    <t>FRONT MOL BIOSCI</t>
  </si>
  <si>
    <t>Front. Mol. Biosci.</t>
  </si>
  <si>
    <t>10.3389/fmolb.2023.1242879</t>
  </si>
  <si>
    <t>W5YB8</t>
  </si>
  <si>
    <t>WOS:001092369700001</t>
  </si>
  <si>
    <t>Herman, J; Ziemke, J; Mcpeters, R</t>
  </si>
  <si>
    <t>Herman, Jay; Ziemke, Jerald; Mcpeters, Richard</t>
  </si>
  <si>
    <t>Total column ozone trends from the NASA Merged Ozone time series 1979 to 2021 showing latitude-dependent ozone recovery dates (1994 to 1998)</t>
  </si>
  <si>
    <t>LOCALLY WEIGHTED REGRESSION; STRATOSPHERIC OZONE; CLOUD FORMATION; RETURN DATES; DEPLETION; VARIABILITY; CIRCULATION; AIR; AGE</t>
  </si>
  <si>
    <t>Monthly averaged total column ozone data (omega MOD(t,theta)) from the NASA Merged Ozone Data Set (MOD) were examined to show that the latitude-dependent (theta) ozone depletion turnaround dates (TA(theta)) range from 1994 to 1998. TA(theta) is defined as the approximate date when the zonally averaged ozone ceased decreasing. omega MOD data used in this study were created by combining data from Solar Backscattered Ultraviolet instruments (SBUV/SBUV-2) and the Ozone Mapping and Profiler Suite (OMPS-NP) from 1979 to 2021. The newly calculated systematic latitude-dependent hemispherically asymmetric TA(theta) shape currently does not appear in the suite of chemistry-climate models that are part of the Chemistry-Climate Model Validation Activity (CCMVal), which combines the effects of photochemistry, volcanic eruptions, and dynamics in their estimate of ozone recovery. Trends of zonally averaged total column ozone in percent per decade were computed before and after TA(theta) using two different trend estimate methods that closely agree, Fourier series multivariate linear regression and linear regression on annual averages. During the period 1979 to TA(theta), the most dramatic rates of Southern Hemisphere (SH) ozone loss were PD=-10.9 +/- 3 % per decade at 77.5 circle S and -8.0 +/- 1.1 % per decade at 65 circle S, which is about double the Northern Hemisphere (NH) rate of loss of PD=-5.6 +/- 4 % per decade at 77.5 circle N and 4.4 +/- 1 % per decade at 65 circle N for the period 1979 to TA(theta). After TA(theta), there was an increase at 65 circle S of PD=1.6 +/- 1.4 % per decade with smaller increases from 55 to 25 circle S and a small decrease at 35 circle N of -0.4 +/- 0.3 % per decade. Except for the Antarctic region, there only has been a small recovery in the SH toward 1979 ozone values and almost none in the NH.</t>
  </si>
  <si>
    <t>[Herman, Jay] Univ Maryland Baltimore Cty, GESTAR 2, Baltimore, MD 21250 USA; [Ziemke, Jerald] Morgan State Univ, GESTAR 2, Baltimore, MD USA; [Mcpeters, Richard] NASA, Goddard Space Flight Ctr, Code 614, Greenbelt, MD USA</t>
  </si>
  <si>
    <t>University System of Maryland; University of Maryland Baltimore County; Morgan State University; National Aeronautics &amp; Space Administration (NASA); NASA Goddard Space Flight Center</t>
  </si>
  <si>
    <t>Herman, J (corresponding author), Univ Maryland Baltimore Cty, GESTAR 2, Baltimore, MD 21250 USA.</t>
  </si>
  <si>
    <t>herman@umbc.edu</t>
  </si>
  <si>
    <t>OCT 16</t>
  </si>
  <si>
    <t>10.5194/amt-16-4693-2023</t>
  </si>
  <si>
    <t>HT6X8</t>
  </si>
  <si>
    <t>WOS:001161809300001</t>
  </si>
  <si>
    <t>Li, YJ; Dhomse, SS; Chipperfield, MP; Feng, WH; Bian, JC; Xia, Y; Guo, D</t>
  </si>
  <si>
    <t>Li, Yajuan; Dhomse, Sandip S.; Chipperfield, Martyn P.; Feng, Wuhu; Bian, Jianchun; Xia, Yuan; Guo, Dong</t>
  </si>
  <si>
    <t>Quantifying stratospheric ozone trends over 1984-2020: a comparison of ordinary and regularized multivariate regression models</t>
  </si>
  <si>
    <t>SOLAR-CYCLE SIGNAL; SATELLITE MEASUREMENTS; HEMISPHERIC-ASYMMETRY; VERTICAL-DISTRIBUTION; ATMOSPHERIC DYNAMICS; SAGE II; PART 2; TRANSPORT; CHEMISTRY; CIRCULATION</t>
  </si>
  <si>
    <t>Accurate quantification of long-term trends in stratospheric ozone can be challenging due to their sensitivity to natural variability, the quality of the observational datasets, and non-linear changes in forcing processes as well as the statistical methodologies. Multivariate linear regression (MLR) is the most commonly used tool for ozone trend analysis; however, the complex coupling in many atmospheric processes can make it prone to the issue of over-fitting when using the conventional ordinary-least-squares (OLS) approach. To overcome this issue, here we adopt a regularized (ridge) regression method to estimate ozone trends and quantify the influence of individual processes. We use the Stratospheric Water and OzOne Satellite Homogenized (SWOOSH) merged dataset (v2.7) to derive stratospheric ozone profile trends for the period 1984-2020. Besides SWOOSH, we also analyse a machine-learning-based satellite-corrected gap-free global stratospheric ozone profile dataset from a chemical transport model (ML-TOMCAT) and output from a chemical transport model (TOMCAT) simulation forced with European Centre for Medium-Range Weather Forecasts (ECMWF) ERA5 reanalysis. For 1984-1997, we observe smaller negative trends in the SWOOSH stratospheric ozone profile using ridge regression compared to OLS. Except for the tropical lower stratosphere, the largest differences arise in the mid-latitude lowermost stratosphere ( &gt; 4 % per decade difference at 100 hPa). From 1998 and the onset of ozone recovery in the upper stratosphere, the positive trends estimated using the ridge regression model ( similar to 1 % per decade near 2 hPa) are smaller than those using OLS ( similar to 2 % per decade). In the lower stratosphere, post-1998 negative trends with large uncertainties are observed and ridge-based trend estimates are somewhat smaller and less variable in magnitude compared to the OLS regression. Aside from the tropical lower stratosphere, the largest difference is around 2 % per decade at 100 hPa (with similar to 3 % per decade uncertainties for individual trends) in northern mid-latitudes. For both time periods the SWOOSH data produce large negative trends in the tropical lower stratosphere with a correspondingly large difference between the two trend methods. In both cases the ridge method produces a smaller trend. The regression coefficients from both OLS and ridge models, which represent ozone variations associated with natural processes (e.g. the quasi-biennial oscillation, solar variability, El Nino-Southern Oscillation, Arctic Oscillation, Antarctic Oscillation, and Eliassen-Palm flux), highlight the dominance of dynamical processes in controlling lower-stratospheric ozone concentrations. Ridge regression generally yields smaller regression coefficients due to correlated explanatory variables, and care must be exercised when comparing fit coefficients and their statistical significance across different regression methods. Comparing the ML-TOMCAT-based trend estimates with the ERA5-forced model simulation, we find ML-TOMCAT shows significant improvements with much better consistency with the SWOOSH dataset, despite the ML-TOMCAT training period overlapping with SWOOSH only for the Microwave Limb Sounder (MLS) measurement period. The largest inconsistencies with respect to SWOOSH-based trends post-1998 appear in the lower stratosphere where the ERA5-forced model simulation shows positive trends for both the tropics and the mid-latitudes. The large differences between satellite-based data and the ERA5-forced model simulation confirm significant uncertainties in ozone trend estimates, especially in the lower stratosphere, underscoring the need for caution when interpreting results obtained with different regression methods and datasets.</t>
  </si>
  <si>
    <t>[Li, Yajuan; Xia, Yuan] Nanjing Xiaozhuang Univ, Sch Elect Engn, Nanjing, Peoples R China; [Li, Yajuan; Bian, Jianchun] Chinese Acad Sci, Inst Atmospher Phys, Key Lab Middle Atmosphere &amp; Global Environm Observ, Beijing, Peoples R China; [Dhomse, Sandip S.; Chipperfield, Martyn P.; Feng, Wuhu] Univ Leeds, Sch Earth &amp; Environm, Leeds, England; [Dhomse, Sandip S.; Chipperfield, Martyn P.] Univ Leeds, Natl Ctr Earth Observat NCEO, Leeds, England; [Feng, Wuhu] Univ Leeds, Natl Ctr Atmospher Sci NCAS, Leeds, England; [Bian, Jianchun] Univ Chinese Acad Sci, Coll Earth &amp; Planetary Sci, Beijing, Peoples R China; [Bian, Jianchun] Lanzhou Univ, Coll Atmospher Sci, Lanzhou, Peoples R China; [Guo, Dong] Nanjing Univ Informat Sci &amp; Technol, Collaborat Innovat Ctr Forecast &amp; Evaluat Meteorol, Key Lab Meteorol Disasters Minist Educ, Key Lab Meteorol Disasters,Minist Educ, Nanjing 210044, Peoples R China</t>
  </si>
  <si>
    <t>Nanjing Xiaozhuang University; Chinese Academy of Sciences; Institute of Atmospheric Physics, CAS; University of Leeds; University of Leeds; University of Leeds; Chinese Academy of Sciences; University of Chinese Academy of Sciences, CAS; Lanzhou University; Nanjing University of Information Science &amp; Technology</t>
  </si>
  <si>
    <t>Li, YJ (corresponding author), Nanjing Xiaozhuang Univ, Sch Elect Engn, Nanjing, Peoples R China.;Li, YJ (corresponding author), Chinese Acad Sci, Inst Atmospher Phys, Key Lab Middle Atmosphere &amp; Global Environm Observ, Beijing, Peoples R China.;Dhomse, SS (corresponding author), Univ Leeds, Sch Earth &amp; Environm, Leeds, England.;Dhomse, SS (corresponding author), Univ Leeds, Natl Ctr Earth Observat NCEO, Leeds, England.</t>
  </si>
  <si>
    <t>yajuanli@njxzc.edu.cn; s.s.dhomse@leeds.ac.uk</t>
  </si>
  <si>
    <t>Dhomse, Sandip/C-8198-2011</t>
  </si>
  <si>
    <t>Dhomse, Sandip/0000-0003-3854-5383</t>
  </si>
  <si>
    <t>Natural Environment Research Council; National Centre for Atmospheric Science (NCAS)</t>
  </si>
  <si>
    <t>Natural Environment Research Council(UK Research &amp; Innovation (UKRI)Natural Environment Research Council (NERC)); National Centre for Atmospheric Science (NCAS)</t>
  </si>
  <si>
    <t>The modelling work is supported by the National Centre for Atmospheric Science (NCAS). We thank all providers of the climate data used in this study. The model runs were performed on the Leeds ARC and UK ARCHER2 HPC facilities.</t>
  </si>
  <si>
    <t>10.5194/acp-23-13029-2023</t>
  </si>
  <si>
    <t>HV9K2</t>
  </si>
  <si>
    <t>WOS:001162399000001</t>
  </si>
  <si>
    <t>Functional activity of E. coli RNase R in the Antarctic Pseudomonas syringae Lz4W</t>
  </si>
  <si>
    <t>JOURNAL OF GENETIC ENGINEERING AND BIOTECHNOLOGY</t>
  </si>
  <si>
    <t>Psychrophiles; Exoribonuclease R; Cold-adapted enzymes; Degradosome; Functional complementation; RNA processing; Catalytic domain</t>
  </si>
  <si>
    <t>ESCHERICHIA-COLI; EXORIBONUCLEASE-R; ADAPTED ENZYMES; LOW-TEMPERATURE; RIBOSOMAL-RNA; QUALITY-CONTROL; EXPRESSION; STABILITY; GROWTH; GENE</t>
  </si>
  <si>
    <t>Background In Antarctic P. syringae RNase R play an essential role in the processing of 16S and 5S rRNA, thereby playing an important role in cold-adapted growth of the bacterium. This study is focused on deciphering the in vivo functional activity of mesophilic exoribonuclease R and its catalytic domain (RNB) in an evolutionary distant psychrophilic bacterium Pseudomonas syringae Lz4W.Results Our results confirm that E. coli RNase R complemented the physiological functions of the psychrophilic bacterium P. syringae RNase R and rescued the cold-sensitive phenotype of Pseudomonas syringae triangle rnr mutant. More importantly, the catalytic domain (RNB) of the E. coli RNase R is also capable of alleviating the cold-sensitive growth defects of triangle rnr mutant as seen with the catalytic domain (RNB) of the P. syringae enzyme. The Catalytic domain of E. coli RNase R was less efficient than the Catalytic domain of P. syringae RNase R in rescuing the cold-sensitive growth of triangle rnr mutant at 4 degrees C, as the triangle rnr expressing the RNBEc (catalytic domain of E. coli RNase R) displayed longer lag phase than the RNBPs (Catalytic domain of P. syringae RNase R) complemented triangle rnr mutant at 4 degrees C. Altogether it appears that the E. coli RNase R and P. syringae RNase R are functionally exchangeable for the growth requirements of P. syringae at low temperature (4 degrees C). Our results also confirm that in P. syringae the requirement of RNase R for supporting the growth at 4 degrees C is independent of the degradosomal complex.Conclusion E. coli RNase R (RNase R-Ec) rescues the cold-sensitive phenotype of the P. syringae Delta rnr mutant. Similarly, the catalytic domain of E. coli RNase R (RNBEc) is also capable of supporting the growth of Delta rnr mutant at low temperatures. These findings have a vast scope in the design and development of low-temperature-based expression systems.</t>
  </si>
  <si>
    <t>[Hussain, Ashaq; Ray, Malay Kumar] Ctr Cellular &amp; Mol Biol, Hyderabad, India</t>
  </si>
  <si>
    <t>Hussain, A (corresponding author), Ctr Cellular &amp; Mol Biol, Hyderabad, India.</t>
  </si>
  <si>
    <t>ashaqccmb@gmail.com</t>
  </si>
  <si>
    <t>The authors acknowledge the Council of Scientific amp; Industrial Research, India and Indian Council of Medical Research (ICMR), India for financial support in the form of a fellowship to AH during this study.; Council of Scientific amp; Industrial Research, India; Indian Council of Medical Research (ICMR), India</t>
  </si>
  <si>
    <t>The authors acknowledge the Council of Scientific amp; Industrial Research, India and Indian Council of Medical Research (ICMR), India for financial support in the form of a fellowship to AH during this study.; Council of Scientific amp; Industrial Research, India; Indian Council of Medical Research (ICMR), India(Indian Council of Medical Research (ICMR))</t>
  </si>
  <si>
    <t>The authors acknowledge the Council of Scientific &amp; Industrial Research, India and Indian Council of Medical Research (ICMR), India for financial support in the form of a fellowship to AH during this study.</t>
  </si>
  <si>
    <t>2090-5920</t>
  </si>
  <si>
    <t>J GENET ENG BIOTECHN</t>
  </si>
  <si>
    <t>J Genet. Eng. Biotechnol.</t>
  </si>
  <si>
    <t>10.1186/s43141-023-00553-2</t>
  </si>
  <si>
    <t>Biotechnology &amp; Applied Microbiology; Environmental Sciences; Toxicology</t>
  </si>
  <si>
    <t>Biotechnology &amp; Applied Microbiology; Environmental Sciences &amp; Ecology; Toxicology</t>
  </si>
  <si>
    <t>X6MH2</t>
  </si>
  <si>
    <t>WOS:001099565700001</t>
  </si>
  <si>
    <t>Hu, LM; Zhang, Y; Wang, YZ; Ma, PY; Wu, WD; Ge, Q; Bian, YP; Han, XB</t>
  </si>
  <si>
    <t>Hu, Liangming; Zhang, Yi; Wang, Yizhuo; Ma, Pengyun; Wu, Wendong; Ge, Qian; Bian, Yeping; Han, Xibin</t>
  </si>
  <si>
    <t>Paleoproductivity and deep-sea oxygenation in Cosmonaut Sea since the last glacial maximum: impact on atmospheric CO2</t>
  </si>
  <si>
    <t>paleoproductivity; oxygenation; last glacial maximum; carbon cycling; Cosmonaut Sea</t>
  </si>
  <si>
    <t>COASTAL MARINE-SEDIMENTS; SOUTHERN-OCEAN SEDIMENTS; REDOX-SENSITIVE METALS; MAJOR DIATOM TAXA; LUTZOW-HOLM BAY; ORGANIC-MATTER; INDIAN-OCEAN; EAST ANTARCTICA; BIOGENIC SILICA; STABLE-ISOTOPE</t>
  </si>
  <si>
    <t>The paleoproductivity in the Southern Ocean plays a crucial role in controlling the atmospheric CO2 concentration. Here, we present the sediment record of gravity core ANT37-C5/6-07, which was retrieved from the Cosmonaut Sea (CS), Indian Ocean sector of the Southern Ocean. We found that the change in the oxygen concentration in the CS bottom water is strongly correlated with the atmospheric CO2 fluctuations since the Last Glacial Maximum (LGM). Based on the change in the export production, we reconstructed the evolution history of the deep-water ventilation/upwelling in the study area. During the LGM, a large amount of respiratory carbon was stored in the deep Southern Ocean due to the effect of the low export productivity and restricted ventilation. The oxygen concentration was also low at this time. Despite the increase in paleoproductivity, the biological pump efficiency remained at a low level during the Last Deglaciation. Vast quantities of CO2 were released into the atmosphere through enhanced upwelling. The recovery of ventilation during this period facilitated the supply of oxygen-rich surface water to the deep ocean. Moreover, signals were identified during the transitions between the Heinrich Stage 1 (HS1), Antarctic Cold Reverse (ACR), and Younger Drays (YD) periods. During the Holocene, the productivity increased overall, and the oxygen in the bottom water was consumed but still remained at a high level. This may have been caused by the enhanced ventilation and/or the prevalence of East Cosmonaut Polynya (ECP) near Cape Ann.</t>
  </si>
  <si>
    <t>[Hu, Liangming; Zhang, Yi; Ge, Qian; Bian, Yeping; Han, Xibin] Minist Nat Resources, Key Lab Submarine Geosci, Hangzhou, Peoples R China; [Hu, Liangming; Zhang, Yi; Ge, Qian; Bian, Yeping; Han, Xibin] Minist Nat Resources, Inst Oceanog 2, Hangzhou, Peoples R China; [Wang, Yizhuo] Chengdu Univ Technol, Inst Sedimentary Geol, Chengdu, Peoples R China; [Ma, Pengyun] Shandong Univ Sci &amp; Technol, Coll Geodesy &amp; Geomat, Qingdao, Peoples R China; [Wu, Wendong] Shanghai Jiao Tong Univ, Sch Mech Engn, Shanghai, Peoples R China</t>
  </si>
  <si>
    <t>Ministry of Natural Resources of the People's Republic of China; Ministry of Natural Resources of the People's Republic of China; Chengdu University of Technology; Shandong University of Science &amp; Technology; Shanghai Jiao Tong University</t>
  </si>
  <si>
    <t>Han, XB (corresponding author), Minist Nat Resources, Key Lab Submarine Geosci, Hangzhou, Peoples R China.;Han, XB (corresponding author), Minist Nat Resources, Inst Oceanog 2, Hangzhou, Peoples R China.</t>
  </si>
  <si>
    <t>hanxibin@sio.org.cn</t>
  </si>
  <si>
    <t>This research is funded by National Key Ramp;D Program of China (2022YFC2905500), Impact and Response of Antarctic Seas to Climate Change (IRASCC2020-2022). [2022YFC2905500, IRASCC2020-2022]; National Key Ramp;D Program of China</t>
  </si>
  <si>
    <t>This research is funded by National Key Ramp;D Program of China (2022YFC2905500), Impact and Response of Antarctic Seas to Climate Change (IRASCC2020-2022).; National Key Ramp;D Program of China</t>
  </si>
  <si>
    <t>We are very grateful to all of the scientific expedition staff, especially the teachers and students of the Marine Geology and the Geophysics Working Group, and all of the crew of the R/V XUELONG2 icebreaker for their hard work in sampling during the 37th Chinese Antarctic Research Expedition. We sincerely thank the Chinese Arctic and Antarctic Administration and Polar Research Institute of China for their great help in this research.r This research is funded by National Key R &amp; D Program of China (2022YFC2905500), Impact and Response of Antarctic Seas to Climate Change (IRASCC2020-2022).</t>
  </si>
  <si>
    <t>10.3389/fmars.2023.1215048</t>
  </si>
  <si>
    <t>X4OV3</t>
  </si>
  <si>
    <t>WOS:001098270200001</t>
  </si>
  <si>
    <t>Chong, SY; Azmi, AA; Cheah, YK</t>
  </si>
  <si>
    <t>Chong, Sin Yee; Azmi, Aida Azrina; Cheah, Yoke Kqueen</t>
  </si>
  <si>
    <t>Whole genome sequence and annotation dataset of rare actinobacteria, Barrientosiimonas humi gen. nov., sp. nov. 39 T from Antarctica</t>
  </si>
  <si>
    <t>Antibacterial; Antifungal; Antarctica; Barrientosiimonas humi; Biosynthetic gene clusters; Cytotoxic; Genome; Inhibitor</t>
  </si>
  <si>
    <t>Barrientosiimonas humi gen. nov., sp. nov. 39 T is a rare actinobacteria strain isolated from the less explored ex-treme environment of the Antarctic soil. Here, we present the whole genome sequencing and annotation data from the high-quality draft genome of B. humi from Antarctica. The extracted genomic deoxyribonucleic acid (DNA) was sequenced using the PacBio Sequel sequencing platform, followed by the Illumina HiSeq sequencing system. Subse-quently, the assembly data from Canu 1.7 and Pilon were subjected to bioinformatics analysis for genome annotation to analyze the entire genomic information of the sequences. Different bioinformatics analysis approaches were used to disclose a high-quality draft genome basis for B. humi and provided a better understanding of its biological and molecular functions. Note that 83,639 reads were predicted from its 3.6Mb genome size, with a guanine-cytosine content (GC) content of 72.39%. The genome was assembled into two contigs, where the larger contig represents the chromosome and the smaller contig represents the plasmid. It is composed of 3,381 coding genes, with about 95% of them being functionally annotated. It consists of 3,318 coding sequences, one tmRNA gene, 57 tRNA genes, and five repeated regions. B. humi was evident, sharing a close sequence similarity with the species Demetria terragena and the family Der-macoccaceae. Gene Ontology (GO) functional classification indicated cell and cell parts were highly represented among the cellular component category; catalytic activity and bind-ing were the most enriched processes within the molecular function category; metabolic and cellular processes were the most represented in the biological process category. Clusters of Orthologous Group (COG) functional classification revealed metabolism-related genes were highly enriched and mostly mapped to amino acid transport metabolism, transcription, energy production, and conversion. Moreover, the Kyoto Encyclopedia of Genes and Genomes (KEGG) functional classification reported that the metabolism process was the most represented KEGG pathway. There were 52 biosynthetic gene clusters involved in secondary metabolites biosynthesis, indicating B. humi has antibacterial, antifungal, cytotoxic, and inhibitor bioactivities. The dataset of the whole-genome sequence of B. humi has been deposited in the European Nucleotide Archive (ENA) repository under the accession number PRJEB44986 / ERP129097. The dataset of the genome annotation of B. humi had been deposited in Zenodo. The reported genomic sequence data for B. humi contributes comprehensive data to the current molecular information of the species, serving as a significant approach that facilitates the advancement of medicine.</t>
  </si>
  <si>
    <t>[Chong, Sin Yee; Cheah, Yoke Kqueen] Univ Putra Malaysia, Fac Med &amp; Hlth Sci, Dept Biomed Sci, Unit Mol Biol &amp; Bioinformat, UPM Serdang 43400, Selangor Darul, Malaysia; [Azmi, Aida Azrina; Cheah, Yoke Kqueen] Univ Putra Malaysia, Halal Prod Res Inst, Halal Sci Res Lab, Upm Serdang 43400, Selangor, Malaysia; [Cheah, Yoke Kqueen] Univ Putra Malaysia, Inst Biosci, UPM MAKNA Canc Res Lab, Serdang 43400, Selangor, Malaysia</t>
  </si>
  <si>
    <t>Universiti Putra Malaysia; Universiti Putra Malaysia; Universiti Putra Malaysia</t>
  </si>
  <si>
    <t>Cheah, YK (corresponding author), Univ Putra Malaysia, Fac Med &amp; Hlth Sci, Dept Biomed Sci, Unit Mol Biol &amp; Bioinformat, UPM Serdang 43400, Selangor Darul, Malaysia.;Cheah, YK (corresponding author), Univ Putra Malaysia, Halal Prod Res Inst, Halal Sci Res Lab, Upm Serdang 43400, Selangor, Malaysia.;Cheah, YK (corresponding author), Univ Putra Malaysia, Inst Biosci, UPM MAKNA Canc Res Lab, Serdang 43400, Selangor, Malaysia.</t>
  </si>
  <si>
    <t>ykcheah@upm.edu.my</t>
  </si>
  <si>
    <t>Cheah, Yoke Kqueen/0000-0001-9258-3749</t>
  </si>
  <si>
    <t>Laboratory of Molecular Biology and Bioinformatics, Department of Biomedical Sci-ence, Faculty of Medicine and Health Sciences, University Putra Malaysia</t>
  </si>
  <si>
    <t>The authors gratefully acknowledged Instituto Antartico Ecuatoriano (INAE) for the support during the XI Ecuadorian Antarctic Expedition to 'Pedro Vicente Maldonado' Research Station, Greenwich Island, South Shetland Islands. This study was supported by the Malaysia Antarctic Research Program, Academy of Sciences Malaysia, Sultan Mizan Antarctic Research Foundation (YPASM), and the facilities in the Laboratory of Molecular Biology and Bioinformatics, Department of Biomedical Science, Faculty of Medicine and Health Sciences, University Putra Malaysia. The authors express their deepest appreciation to Codon Genomics Sdn. Bhd. for laboratory advice and assistance. The authors also thank Mr. Mohamed Ikhtifar bin Mohamed Rafi, who is from the Laboratory of Molecular Biology and Bioinformatics, Department of Biomedical Science, Faculty of Medicine and Health Sciences, University Putra Malaysia, for the kind help in purifying the nucleic acid before sequencing.r from the Laboratory of Molecular Biology and Bioinformatics, Department of Biomedical Sci-ence, Faculty of Medicine and Health Sciences, University Putra Malaysia, for the kind help in purifying the nucleic acid before sequencing.</t>
  </si>
  <si>
    <t>10.1016/j.dib.2023.109657</t>
  </si>
  <si>
    <t>X2KR1</t>
  </si>
  <si>
    <t>WOS:001096800500001</t>
  </si>
  <si>
    <t>Gobry, JJ; Bachwenkizi, HS; Kimambo, ON; Ngassapa, FN; Kilulya, KF</t>
  </si>
  <si>
    <t>Gobry, Josephine J.; Bachwenkizi, Hilda S.; Kimambo, Offoro N.; Ngassapa, Faustin N.; Kilulya, Kessy F.</t>
  </si>
  <si>
    <t>Occurrence of Harmful Algal Blooms in Freshwater Sources of Mindu and Nyumba ya Mungu Dams, Tanzania</t>
  </si>
  <si>
    <t>JOURNAL OF TOXICOLOGY</t>
  </si>
  <si>
    <t>REAL-TIME PCR; CYANOBACTERIAL TOXINS; GENUS MICROCYSTIS; DNA; IDENTIFICATION; GENES; PHYTOPLANKTON; PHYLOGENY; NODULARIN; BIOMASS</t>
  </si>
  <si>
    <t>Harmful algal blooms (HABs) pose a significant threat to aquatic ecosystems and human health due to the production of toxins. The identification and quantification of these toxins are crucial for water quality management decisions. This study used DNA analysis (PCR techniques) to identify toxin-producing strains and liquid-chromatography-tandem mass spectrometry (LC-MS/MS) to quantify microcystins in samples from Mindu and Nyumba ya Mungu Dams in Tanzania. The results showed that HABs were detected in both dams. The BLAST results revealed that the 16S gene sequences of uncultured samples were very similar to an Antarctic cyanobacterium, Leptolyngbya sp, Anabaena sp, and Microcystis aeruginosa. Sequences of the cultured samples were most similar to Nodularia spumigena, Amazoninema brasiliense, Anabaena sp, and Microcystis aeruginosa. Further analyses showed that the nucleotide sequence similarity of uncultured isolates from this study and those from the GenBank ranged from 85 to 100%. For cultured isolates from this study and others from the GenBank, nucleotide identity ranged from 81 to 100%. The molecular identification of Microcystis aeruginosa confirmed the presence of HABs in both Mindu and Nyumba ya Mungu Dams in Tanzania. At Mindu Dam, the mean concentrations (+/- standard deviation) of microcystin-LR, -RR, and -YR were 1.08 +/- 0.749 ppm, 0.120 +/- 0.0211 ppm, and 1.37 +/- 0.862 ppm, respectively. Similarly, at Nyumba ya Mungu Dam, the concentrations of microcystin-LR, -RR, and -YR were 1.07 +/- 0.499 ppm, 0.124 +/- 0.0224 ppm, and 0.961 +/- 0.408 ppm, respectively. This paper represents the first application of PCR and LC-MS/MS to study microcystins in small freshwater reservoirs in Tanzania. This study confirms the presence of toxin-producing strains of Microcystis aeruginosa in both dams and also provides evidence of the occurrence of microcystins from these strains. These findings contribute in improving the monitoring of HABs contamination and their potential impact on water quality in Tanzanian reservoirs.</t>
  </si>
  <si>
    <t>[Gobry, Josephine J.; Ngassapa, Faustin N.; Kilulya, Kessy F.] Univ Dar Es Salaam, Coll Nat &amp; Appl Sci, Dept Chem, POB 35061, Dar Es Salaam, Tanzania; [Gobry, Josephine J.] Water Inst, Dept Water Resources, POB 35059, Dar Es Salaam, Tanzania; [Bachwenkizi, Hilda S.] Tanzania Agr Res Inst, POB 6226, Dar Es Salaam, Tanzania; [Kimambo, Offoro N.] Sokoine Univ Agr, Dept Geog &amp; Environm Studies, Morogoro, Tanzania</t>
  </si>
  <si>
    <t>University of Dar es Salaam; Sokoine University of Agriculture</t>
  </si>
  <si>
    <t>Gobry, JJ (corresponding author), Univ Dar Es Salaam, Coll Nat &amp; Appl Sci, Dept Chem, POB 35061, Dar Es Salaam, Tanzania.</t>
  </si>
  <si>
    <t>jgobry@yahoo.co.uk; hbachwenkizi@yahoo.com; offoro@sua.ac.tz; fnngassapa@gmail.com; kefidel@gmail.com</t>
  </si>
  <si>
    <t>; Kimambo, Offoro/E-9971-2015</t>
  </si>
  <si>
    <t>Gobry, Josephine/0009-0001-7670-5475; Kimambo, Offoro/0000-0003-1194-7139</t>
  </si>
  <si>
    <t>The authors acknowledged the Water Institute for allowing the use of the Institute's Laboratory to perform the lab analysis. They would like to specially thank Government Chemist Laboratory Authority for allowing the use of their state-of-the-art equipment</t>
  </si>
  <si>
    <t>The authors acknowledged the Water Institute for allowing the use of the Institute's Laboratory to perform the lab analysis. They would like to specially thank Government Chemist Laboratory Authority for allowing the use of their state-of-the-art equipment during lab work. The authors also extend their sincere gratitude to Tanzania Agricultural Research Institute for accepting the use of their molecular laboratory. Lastly, they would like to extend their sincere gratitude to Wami Ruvu Basin Office (WRBO) and Pangani River Basin Office for administrative support and assistance during the field campaigns.</t>
  </si>
  <si>
    <t>HINDAWI LTD</t>
  </si>
  <si>
    <t>ADAM HOUSE, 3RD FLR, 1 FITZROY SQ, LONDON, W1T 5HF, ENGLAND</t>
  </si>
  <si>
    <t>1687-8191</t>
  </si>
  <si>
    <t>1687-8205</t>
  </si>
  <si>
    <t>J TOXICOL-US</t>
  </si>
  <si>
    <t>J. Toxicol.</t>
  </si>
  <si>
    <t>10.1155/2023/5532962</t>
  </si>
  <si>
    <t>Toxicology</t>
  </si>
  <si>
    <t>W7OT1</t>
  </si>
  <si>
    <t>WOS:001093489400001</t>
  </si>
  <si>
    <t>Reichow, RA; Schwartz, PK; Smith, KE; Callahan, MP</t>
  </si>
  <si>
    <t>Reichow, Rachel A.; Schwartz, Patrick K.; Smith, Karen E.; Callahan, Michael P.</t>
  </si>
  <si>
    <t>Cyanide Abundance and Soluble Organic Composition in Highly Aqueously Altered CM Chondrites</t>
  </si>
  <si>
    <t>ACS EARTH AND SPACE CHEMISTRY</t>
  </si>
  <si>
    <t>meteorites; cyanide; OSIRIS-REx; liquidchromatography; mass spectrometry; planetary science; orbitrap; Kendrick mass</t>
  </si>
  <si>
    <t>CARBONACEOUS METEORITES; AMINO-ACIDS; PARENT BODY</t>
  </si>
  <si>
    <t>Spectroscopic measurements of regolith collected from asteroid Bennu identified magnesium-rich phyllosilicates indicative of high degrees of aqueous alteration, which resemble the most aqueously altered carbonaceous chondrites. Here we report on the complex distribution of soluble organic compounds of four highly aqueously altered CM chondrites of petrologic types 1 and 1/2 using electrospray ionization ultrahigh-resolution orbitrap mass spectrometry and Kendrick mass analysis. A significant portion of the assigned molecular formulas belonged to the CHN1 and CHN2 classes, which exhibited extensive alkylation and a wide range of double bond equivalent values and may be products from formose-like reactions involving formaldehyde and ammonia. We also report cyanide abundances in acid digestion distillates ranging from 15-55 nmolg(-1) using capillary flow liquid chromatography-orbitrap mass spectrometry. We suggest that cyanide-containing species in these meteorites were most likely transition metal-cyanide complexes because we determined that only a very small fraction of acid-releasable cyanide was due to simple metal-cyanide solids. This study indicates that regolith collected from asteroid Bennu will likely contain a low abundance of (acid-releasable) cyanide species among a complex distribution of soluble organic compounds.</t>
  </si>
  <si>
    <t>[Reichow, Rachel A.; Schwartz, Patrick K.; Smith, Karen E.; Callahan, Michael P.] Boise State Univ, Dept Chem &amp; Biochem, Boise, ID 83725 USA</t>
  </si>
  <si>
    <t>Idaho; Boise State University</t>
  </si>
  <si>
    <t>Callahan, MP (corresponding author), Boise State Univ, Dept Chem &amp; Biochem, Boise, ID 83725 USA.</t>
  </si>
  <si>
    <t>michaelcallahan914@boisestate.edu</t>
  </si>
  <si>
    <t>Reichow, Rachel/JXN-1344-2024</t>
  </si>
  <si>
    <t>This research was supported by the NASA Emerging Worlds Program (80NSSC20K0339). The mass spectrometer used in this research was acquired via a prior grant (NNX17AE51G) from the NASA Laboratory Analysis of Returned Samples/Planetary Major Equipment amp; F [80NSSC20K0339, NNX17AE51G]; NASA Emerging Worlds Program; NASA Laboratory Analysis of Returned Samples/Planetary Major Equipment amp; Facilities (LARS/PMEF) programs - NSF; NASA</t>
  </si>
  <si>
    <t>This research was supported by the NASA Emerging Worlds Program (80NSSC20K0339). The mass spectrometer used in this research was acquired via a prior grant (NNX17AE51G) from the NASA Laboratory Analysis of Returned Samples/Planetary Major Equipment amp; F; NASA Emerging Worlds Program; NASA Laboratory Analysis of Returned Samples/Planetary Major Equipment amp; Facilities (LARS/PMEF) programs - NSF; NASA(National Aeronautics &amp; Space Administration (NASA))</t>
  </si>
  <si>
    <t>This researchwas supported by the NASA Emerging Worlds Program(80NSSC20K0339). The mass spectrometer used in this research was acquiredvia a prior grant (NNX17AE51G) from the NASA Laboratory Analysis ofReturned Samples/Planetary Major Equipment &amp; Facilities (LARS/PMEF)programs. U.S. Antarctic meteorite samples are recovered by the AntarcticSearch for Meteorites (ANSMET) program, which has been funded by NSFand NASA, and characterized and curated by the Department of MineralSciences of the Smithsonian Institution and Astromaterials Acquisitionand Curation Office at NASA Johnson Space Center. We thank Dr. DavidStranz (Sierra Analytics, Inc.) for helpful discussions regardingthe Composer data analysis software and also appreciate helpful commentsfrom two anonymous reviewers.</t>
  </si>
  <si>
    <t>2472-3452</t>
  </si>
  <si>
    <t>ACS EARTH SPACE CHEM</t>
  </si>
  <si>
    <t>ACS Earth Space Chem.</t>
  </si>
  <si>
    <t>2023 OCT 16</t>
  </si>
  <si>
    <t>10.1021/acsearthspacechem.3c00229</t>
  </si>
  <si>
    <t>Chemistry, Multidisciplinary; Geochemistry &amp; Geophysics</t>
  </si>
  <si>
    <t>Chemistry; Geochemistry &amp; Geophysics</t>
  </si>
  <si>
    <t>W6NL2</t>
  </si>
  <si>
    <t>WOS:001092773100001</t>
  </si>
  <si>
    <t>De Mandal, S; Srinivasan, S; Jeon, J</t>
  </si>
  <si>
    <t>De Mandal, Surajit; Srinivasan, Sathiyaraj; Jeon, Junhyun</t>
  </si>
  <si>
    <t>Complete genome sequence of Deinococcus rubellus Ant6 isolated from the fish muscle in the Antarctic Ocean</t>
  </si>
  <si>
    <t>FRONTIERS IN BIOENGINEERING AND BIOTECHNOLOGY</t>
  </si>
  <si>
    <t>Deinococcus; Antarctic Ocean; radioresistance; cell factory; complete genome</t>
  </si>
  <si>
    <t>RADIATION-RESISTANCE; HRDC DOMAINS; DNA-REPAIR; RADIODURANS; PROTEIN; RECA; RADIORESISTANCE; PERSPECTIVE; WIDE; TEMPERATURE</t>
  </si>
  <si>
    <t>[De Mandal, Surajit; Jeon, Junhyun] Yeungnam Univ, Dept Biotechnol, Gyongsan, South Korea; [Srinivasan, Sathiyaraj] Seoul Womens Univ, Coll Nat Sci, Dept Bio &amp; Environm Technol, Seoul, South Korea; [Jeon, Junhyun] Seoul Natl Univ, Plant Immun Res Ctr, Seoul, South Korea</t>
  </si>
  <si>
    <t>Yeungnam University; Seoul Women's University; Seoul National University (SNU)</t>
  </si>
  <si>
    <t>Jeon, J (corresponding author), Yeungnam Univ, Dept Biotechnol, Gyongsan, South Korea.;Srinivasan, S (corresponding author), Seoul Womens Univ, Coll Nat Sci, Dept Bio &amp; Environm Technol, Seoul, South Korea.;Jeon, J (corresponding author), Seoul Natl Univ, Plant Immun Res Ctr, Seoul, South Korea.</t>
  </si>
  <si>
    <t>jjeon@yu.ac.kr; drsrini@swu.ac.kr</t>
  </si>
  <si>
    <t>The author(s) declare financial support was received for the research, authorship, and/or publication of this article. This work was supported by a grant from National Research Foundation of Korea (NRF-2021R1A2C2012002) and by a research grant from Seoul W [NRF-2021R1A2C2012002]; National Research Foundation of Korea [2023]; Seoul Women's University</t>
  </si>
  <si>
    <t>The author(s) declare financial support was received for the research, authorship, and/or publication of this article. This work was supported by a grant from National Research Foundation of Korea (NRF-2021R1A2C2012002) and by a research grant from Seoul W; National Research Foundation of Korea(National Research Foundation of Korea); Seoul Women's University</t>
  </si>
  <si>
    <t>The author(s) declare financial support was received for the research, authorship, and/or publication of this article. This work was supported by a grant from National Research Foundation of Korea (NRF-2021R1A2C2012002) and by a research grant from Seoul Women's University (2023).</t>
  </si>
  <si>
    <t>2296-4185</t>
  </si>
  <si>
    <t>FRONT BIOENG BIOTECH</t>
  </si>
  <si>
    <t>Front. Bioeng. Biotechnol.</t>
  </si>
  <si>
    <t>10.3389/fbioe.2023.1257705</t>
  </si>
  <si>
    <t>Biotechnology &amp; Applied Microbiology; Engineering, Biomedical</t>
  </si>
  <si>
    <t>Biotechnology &amp; Applied Microbiology; Engineering</t>
  </si>
  <si>
    <t>W5YK7</t>
  </si>
  <si>
    <t>WOS:001092378600001</t>
  </si>
  <si>
    <t>Wang, HY; Liu, WG; Lu, HX; Zhang, YC; Liang, Y; He, YX; Bohaty, SM; Wilson, PA; Liu, ZH</t>
  </si>
  <si>
    <t>Wang, Huanye; Liu, Weiguo; Lu, Hongxuan; Zhang, Yancheng; Liang, Yu; He, Yuxin; Bohaty, Steven M.; Wilson, Paul A.; Liu, Zhonghui</t>
  </si>
  <si>
    <t>Oxygenated deep waters fed early Atlantic overturning circulation upon Antarctic glaciation</t>
  </si>
  <si>
    <t>EOCENE-OLIGOCENE TRANSITION; ANAEROBIC METHANE OXIDATION; GLYCEROL TETRAETHER LIPIDS; SOUTHERN-OCEAN; MEMBRANE-LIPIDS; MINIMUM ZONE; BLACK-SEA; ONSET; MARINE; SEDIMENTS</t>
  </si>
  <si>
    <t>The Atlantic meridional overturning circulation (AMOC) exerts a major control on the global distribution of heat, dissolved oxygen and carbon in the ocean. Yet the timing and cause of the inception of this system and its evolution since the start of the Cenozoic Era 65 million years ago (Ma) remain highly uncertain. Here we present records of microbial source indicators based on glycerol dialkyl glycerol tetraether distributions from the Cenozoic Northwest Atlantic Ocean (similar to 43.18 Ma) and use them to infer changes in AMOC-driven deep- ocean oxygenation. At this location, oxygenation is strongly controlled by southwestward Deep Western Boundary Current transport of newly formed deep waters that feed AMOC. Our Eocene data show short-term high-amplitude variability and an overall decrease in oxygenation of AMOC-feed waters culminating in especially poor ventilation between similar to 36.5 and similar to 34 Ma. AMOC-feed waters became better oxygenated upon initiation of Antarctic glaciation at the Eocene/ Oligocene transition, similar to 34 Ma, and were consistently well ventilated from similar to 30 Ma. Our findings indicate a close association between the inception of Antarctic glaciation and AMOC and suggest that both vertical mixing and wind-driven upwelling in the Southern Ocean were key to fully establishing AMOC as an agent of deep-ocean ventilation.</t>
  </si>
  <si>
    <t>[Wang, Huanye; Liu, Weiguo; Lu, Hongxuan; Liu, Zhonghui] Chinese Acad Sci, Inst Earth Environm, Ctr Excellence Quaternary Sci &amp; Global Change, State Key Lab Loess &amp; Quaternary Geol, Xian, Peoples R China; [Zhang, Yancheng; Liang, Yu; Liu, Zhonghui] Univ Hong Kong, Dept Earth Sci, Hong Kong, Peoples R China; [Zhang, Yancheng] Sun Yat Sen Univ, Sch Marine Sci, Zhuhai, Peoples R China; [Liang, Yu] China Univ Geosci, Sch Earth Resources, Wuhan, Peoples R China; [He, Yuxin] Zhejiang Univ, Sch Earth Sci, Key Lab Geosci Big Data &amp; Deep Resource Zhejiang P, Hangzhou, Peoples R China; [Bohaty, Steven M.; Wilson, Paul A.] Univ Southampton, Natl Oceanog Ctr Southampton, Waterfront Campus, Southampton, Hampshire, England; [Liu, Zhonghui] Univ Hong Kong, Inst Climate &amp; Carbon Neutral, Hong Kong, Peoples R China</t>
  </si>
  <si>
    <t>Chinese Academy of Sciences; Institute of Earth Environment, CAS; University of Hong Kong; Sun Yat Sen University; China University of Geosciences; Zhejiang University; NERC National Oceanography Centre; University of Southampton; University of Hong Kong</t>
  </si>
  <si>
    <t>Liu, ZH (corresponding author), Chinese Acad Sci, Inst Earth Environm, Ctr Excellence Quaternary Sci &amp; Global Change, State Key Lab Loess &amp; Quaternary Geol, Xian, Peoples R China.;Liu, ZH (corresponding author), Univ Hong Kong, Dept Earth Sci, Hong Kong, Peoples R China.;Wilson, PA (corresponding author), Univ Southampton, Natl Oceanog Ctr Southampton, Waterfront Campus, Southampton, Hampshire, England.;Liu, ZH (corresponding author), Univ Hong Kong, Inst Climate &amp; Carbon Neutral, Hong Kong, Peoples R China.</t>
  </si>
  <si>
    <t>paul.wilson@noc.soton.ac.uk; zhliu@hku.hk</t>
  </si>
  <si>
    <t>Liu, Zhonghui/D-3163-2009; Liu, Weiguo/R-9431-2017; wang, huan ye/I-4001-2015</t>
  </si>
  <si>
    <t>Liu, Zhonghui/0000-0002-2168-8305; wang, huan ye/0000-0003-2149-3097; Zhang, Yancheng/0000-0002-4001-2634</t>
  </si>
  <si>
    <t>This research used samples provided by the Integrated Ocean Drilling Program (IODP), which is sponsored by the US National Science Foundation and participating countries under management of Joint Oceanographic Institutions, Inc. We thank the scientists and; US National Science Foundation; IODP China office [XDB40000000]; Chinese Academy of Sciences [17305019, 17303614]; Hong Kong Research Grant Council [NE/L007452/1]; UK Natural Environment Research Council (NERC) [NE/K014137/1]; NERC; Royal Society Wolfson award [42122021, 42273059]; National Natural Science Foundation of China [2019403]; Youth Innovation Promotion Association CAS</t>
  </si>
  <si>
    <t>This research used samples provided by the Integrated Ocean Drilling Program (IODP), which is sponsored by the US National Science Foundation and participating countries under management of Joint Oceanographic Institutions, Inc. We thank the scientists and; US National Science Foundation(National Science Foundation (NSF)); IODP China office; Chinese Academy of Sciences(Chinese Academy of Sciences); Hong Kong Research Grant Council(Hong Kong Research Grants Council); UK Natural Environment Research Council (NERC)(UK Research &amp; Innovation (UKRI)Natural Environment Research Council (NERC)); NERC(UK Research &amp; Innovation (UKRI)Natural Environment Research Council (NERC)); Royal Society Wolfson award(Royal Society); National Natural Science Foundation of China(National Natural Science Foundation of China (NSFC)); Youth Innovation Promotion Association CAS</t>
  </si>
  <si>
    <t>This research used samples provided by the Integrated Ocean Drilling Program (IODP), which is sponsored by the US National Science Foundation and participating countries under management of Joint Oceanographic Institutions, Inc. We thank the scientists and supporting staff of IODP Expedition 342, IODP for providing samples for this study, IODP China office for additional support and Y. Cao and J. Hu for technical support. This research was supported by Chinese Academy of Sciences (XDB40000000) (to W.L. and Z.L.), Hong Kong Research Grant Council grant 17305019 and 17303614 (to Z.L.), UK Natural Environment Research Council (NERC) grant NE/L007452/1 (to S.M.B), NERC grant NE/K014137/1 (to P.A.W.), a Royal Society Wolfson award (to P.A.W.), the National Natural Science Foundation of China 42122021 (to H.W.) and 42273059 (to Y.Z.) and the Youth Innovation Promotion Association CAS 2019403 (to H.W.).</t>
  </si>
  <si>
    <t>10.1038/s41561-023-01292-2</t>
  </si>
  <si>
    <t>X8YA5</t>
  </si>
  <si>
    <t>WOS:001086641700001</t>
  </si>
  <si>
    <t>Pizarro, EJ; Julio-Kalajzic, B; Sallaberry-Pincheira, N; Muñoz, V; González-Acuña, D; Cabello, J; Acosta-Jamett, G; Bonacic, C; Iriarte, A; Rodríguez, A; Travaini, A; Cevidanes, A; Brito, JL; Millán, J; Marín, JC; Vianna, JA</t>
  </si>
  <si>
    <t>Pizarro, Eduardo J.; Julio-Kalajzic, Bernardita; Sallaberry-Pincheira, Nicole; Munoz, Valentina; Gonzalez-Acuna, Daniel; Cabello, Javier; Acosta-Jamett, Gerardo; Bonacic, Cristian; Iriarte, Agustin; Rodriguez, Alejandro; Travaini, Alejandro; Cevidanes, Aitor; Brito, Jose Luis; Millan, Javier; Marin, Juan Carlos; Vianna, Juliana A.</t>
  </si>
  <si>
    <t>Species delimitation and intraspecific diversification in recently diverged South American foxes</t>
  </si>
  <si>
    <t>MAMMAL RESEARCH</t>
  </si>
  <si>
    <t>Andean fox; South American gray fox; Genetic structure; Hybridization; Genetic diversity; Phylogeographic structure</t>
  </si>
  <si>
    <t>LYCALOPEX-CULPAEUS MAMMALIA; DARWINS FOX; POPULATION-STRUCTURE; DEMOGRAPHIC HISTORY; ATACAMA DESERT; CHILEAN FOXES; GRISEUS GRAY; CANIDAE; PHYLOGEOGRAPHY; DIET</t>
  </si>
  <si>
    <t>The divergence between the Andean fox (Lycalopex culpaeus) and the South American gray fox (L. griseus) represents a recent speciation event in South America. These taxa are partially sympatric and share biological, morphological, and ecological traits. Previous studies failed to recover reciprocal monophyly, suggesting the occurrence of introgression or incomplete lineage sorting (ILS). Here, we obtained mitochondrial and nuclear markers for 140 L. culpaeus and 134 L. griseus from the Southern Cone of South America to assess their inter and intraspecific divergence. We recovered reciprocal monophyly of L. culpaeus and L. griseus, with mild signatures of introgression or ILS. Therefore, taxonomic misidentification and the use of a limited number of markers may be the main reason behind the past debate about the delimitation of both species. Two main divergent clades were found in L. culpaeus with a phylogeographical boundary in the High Plateau of northeastern Chile. The southern clade along with three northern sub-clades corresponded to four morphological subspecies. Less genetic differentiation was found in L. griseus with a spatial population structure that does not support the occurrence of distinct subspecies. The results found in this study suggest the extant evolutionary significant units that need to be considered for biological conservation management of these species.</t>
  </si>
  <si>
    <t>[Pizarro, Eduardo J.; Julio-Kalajzic, Bernardita; Munoz, Valentina; Vianna, Juliana A.] Pontificia Univ Catolica Chile, Fac Ciencias Biol, Lab Biodivers Mol, Inst Desarrollo Sustentable, Santiago, Chile; [Pizarro, Eduardo J.; Vianna, Juliana A.] Millennium Inst Ctr Genome Regulat CGR, Santiago, Chile; [Pizarro, Eduardo J.; Vianna, Juliana A.] Millennium Inst Biodivers Antarctic &amp; Subantarctic, Santiago, Chile; [Pizarro, Eduardo J.; Vianna, Juliana A.] Millennium Nucleus Patagonian Limit Life LiLi, Santiago, Chile; [Sallaberry-Pincheira, Nicole] Univ Andres Bello, Escuela Med Vet, Fac Ciencias Vida, Unidad Rehabilde Fauna Silvestre, Santiago, Chile; [Gonzalez-Acuna, Daniel] Univ Concepcion, Fac Ciencias Vet, Chillan, Chile; [Cabello, Javier] Univ San Sebastian, Fac Med Vet, Campus Pichi Pelluco, Puerto Montt, Chile; [Acosta-Jamett, Gerardo] Univ Austral Chile, Fac Ciencias Vet, Inst Med Prevent Vet, Valdivia, Chile; [Acosta-Jamett, Gerardo] Univ Austral Chile, Fac Ciencias Vet, Ctr Surveillance &amp; Evolut Infect Dis CSEID, Valdivia, Chile; [Bonacic, Cristian] Pontificia Univ Catolica Chile, Fauna Australis &amp; Biodivers &amp; Sustainabil Chair CM, Sch Agr &amp; Nat Syst, Santiago, Chile; [Iriarte, Agustin] Ctr Appl Ecol &amp; Sustainabil CAPES, Santiago, Chile; [Rodriguez, Alejandro] CSIC, Dept Conservat Biol, Estn Biol Donana, Seville, Spain; [Travaini, Alejandro] Univ Nacl Patagonia Austral, Ctr Invest Puerto Deseado, Puerto Deseado, Argentina; [Cevidanes, Aitor; Millan, Javier] Univ Andres Bello, Fac Ciencias Vida, Santiago, Chile; [Cevidanes, Aitor] Basque Res &amp; Technol Alliance BRTA, Dept Anim Hlth, NEIKER Basque Inst Agr Res &amp; Dev, Parque Cient &amp; Tecnol Bizkaia, Zamudio, Bizkaia, Spain; [Brito, Jose Luis] Museo Hist Nat &amp; Hist San Antonio, San Antonio, Chile; [Millan, Javier] Univ Zaragoza, Inst Agroalimentario Aragon IA2, CITA, Zaragoza, Spain; [Millan, Javier] Fdn ARAID, Zaragoza, Spain; [Marin, Juan Carlos] Univ Bio Bio, Dept Ciencias Basicas, Lab Genom &amp; Biodiversidad, Chillan, Chile</t>
  </si>
  <si>
    <t>Pontificia Universidad Catolica de Chile; Universidad Andres Bello; Universidad de Concepcion; Universidad San Sebastian; Universidad Austral de Chile; Universidad Austral de Chile; Pontificia Universidad Catolica de Chile; Consejo Superior de Investigaciones Cientificas (CSIC); CSIC - Estacion Biologica de Donana (EBD); Universidad Nacional de la Patagonia San Juan Bosco; Universidad Andres Bello; University of Zaragoza; Universidad del Bio-Bio</t>
  </si>
  <si>
    <t>Vianna, JA (corresponding author), Pontificia Univ Catolica Chile, Fac Ciencias Biol, Lab Biodivers Mol, Inst Desarrollo Sustentable, Santiago, Chile.;Vianna, JA (corresponding author), Millennium Inst Ctr Genome Regulat CGR, Santiago, Chile.;Vianna, JA (corresponding author), Millennium Inst Biodivers Antarctic &amp; Subantarctic, Santiago, Chile.;Vianna, JA (corresponding author), Millennium Nucleus Patagonian Limit Life LiLi, Santiago, Chile.</t>
  </si>
  <si>
    <t>jvianna@uc.cl</t>
  </si>
  <si>
    <t>Millan, Javier/B-5399-2008; Rodriguez, Alejandro/E-7709-2011</t>
  </si>
  <si>
    <t>Millan, Javier/0000-0001-5608-781X; Rodriguez, Alejandro/0000-0001-9367-3420; Pizarro Gonzalez, Eduardo/0000-0003-3427-1194</t>
  </si>
  <si>
    <t>Millennium Institute Center for Genome Regulation-CRG [ANID-MILENIO-ICN2021_044]; Millennium Institute Biodiversity of Antarctic and Subantarctic Ecosystems [ICN2021_002, NCN2021-050]; DID-UBB [2020416 IF/R]; Fondo Nacional de Desarrollo Cientifico y Tecnologico [Fondecyt 1181677, 1161593]; Spanish Ministry of Science and Innovation [CGL2011-27469]; European Regional Development Fund</t>
  </si>
  <si>
    <t>Millennium Institute Center for Genome Regulation-CRG; Millennium Institute Biodiversity of Antarctic and Subantarctic Ecosystems; DID-UBB; Fondo Nacional de Desarrollo Cientifico y Tecnologico(Comision Nacional de Investigacion Cientifica y Tecnologica (CONICYT)CONICYT FONDECYT); Spanish Ministry of Science and Innovation(Spanish Government); European Regional Development Fund(European Union (EU))</t>
  </si>
  <si>
    <t>This work has been supported by the Millennium Institute Center for Genome Regulation-CRG (ANID-MILENIO-ICN2021_044), the Millennium Institute Biodiversity of Antarctic and Subantarctic Ecosystems ICN2021_002 (BASE), NCN2021-050 (LiLi), DID-UBB (grant No 2020416 IF/R), and Fondo Nacional de Desarrollo Cientifico y Tecnologico (Fondecyt 1181677 and 1161593). During the collection of samples in Santa Cruz (Argentina), A.R. and A.T. were supported by the Spanish Ministry of Science and Innovation (grant CGL2011-27469) and the European Regional Development Fund.</t>
  </si>
  <si>
    <t>2199-2401</t>
  </si>
  <si>
    <t>2199-241X</t>
  </si>
  <si>
    <t>MAMMAL RES</t>
  </si>
  <si>
    <t>Mammal Res.</t>
  </si>
  <si>
    <t>10.1007/s13364-023-00717-y</t>
  </si>
  <si>
    <t>EB1Y3</t>
  </si>
  <si>
    <t>WOS:001086700000001</t>
  </si>
  <si>
    <t>Lu, H; Orr, A; King, J; Phillips, T; Gilbert, E; Colwell, S; Bracegirdle, TJ</t>
  </si>
  <si>
    <t>Lu, Hua; Orr, Andrew; King, John; Phillips, Tony; Gilbert, Ella; Colwell, Steve; Bracegirdle, Thomas J.</t>
  </si>
  <si>
    <t>Extreme warm events in the South Orkney Islands, Southern Ocean: Compounding influence of atmospheric rivers and föhn conditions</t>
  </si>
  <si>
    <t>QUARTERLY JOURNAL OF THE ROYAL METEOROLOGICAL SOCIETY</t>
  </si>
  <si>
    <t>atmospheric rivers; circulation-orography interactions; extreme temperature events; fohn warming; sub-Antarctic islands</t>
  </si>
  <si>
    <t>ANTARCTIC PENINSULA; SIGNY ISLAND; TEMPERATURE; WEATHER; CIRCULATION; TRENDS</t>
  </si>
  <si>
    <t>Extreme warm events in the South Orkney Islands (SOIs) are investigated using synoptic observations from Signy and Orcadas stations for 1947-1994 and 1956-2019 respectively. Defining the extremes as temperatures exceeding the 95th percentile of the temperature distribution, we reveal the characteristics and associated drivers of the warm events, especially the top 10 events in both summer and winter. At both stations, extreme warm events often involve a combined effect of atmospheric rivers (ARs) and localised fohn warming, with distinct characteristics due to the station locations relative to Coronation Island, the largest and highest island of the SOIs. For example, warm events at Signy are warmer (by an average of around 3 degrees C) than the corresponding concurrent temperatures at Orcadas. The number of warm events per year has significantly increased over the record periods at both stations, which could potentially impact ecosystems by increasing melting of snow and ice. Extreme warm events at Signy are dominated by fohn warming in combination with ARs originating from the Southern Atlantic Ocean, where warm, moisture-rich air is rapidly advected towards the islands by enhanced northerly winds. By contrast, the Orcadas warm extremes involve both warm-air advection and fohn warming associated with enhanced northwesterlies/westerlies with ARs originating in the Pacific Ocean that travel across the Drake Passage. Simulation of one of the top 10 warm events for Signy station using a 1-km grid spacing configuration of the atmosphere-only UK Met Office Unified Model is used to disentangle the role of local versus large-scale forcing. We find that the majority of the warming can be attributed to fohn effects for the case study. These results demonstrate the complexity of Antarctic temperature extremes.</t>
  </si>
  <si>
    <t>[Lu, Hua; Orr, Andrew; King, John; Phillips, Tony; Gilbert, Ella; Colwell, Steve; Bracegirdle, Thomas J.] British Antarctic Survey, Cambridge, England</t>
  </si>
  <si>
    <t>UK Research &amp; Innovation (UKRI); Natural Environment Research Council (NERC); NERC British Antarctic Survey</t>
  </si>
  <si>
    <t>Lu, H (corresponding author), British Antarctic Survey, Cambridge, England.</t>
  </si>
  <si>
    <t>Lu, Hua/0000-0001-9485-5082</t>
  </si>
  <si>
    <t>Natural Environment Research Council (NERC); Ice and Climate Programme of British Antarctic Survey (BAS) [NE/X009319/1]; NERC National Capability International [101003590]; European Union's Horizon 2020 research and innovation framework programme; NERC Diversity, Equity and Inclusion (DEI) Engagement Programme; NERC [NE/X009319/1] Funding Source: UKRI</t>
  </si>
  <si>
    <t>Natural Environment Research Council (NERC)(UK Research &amp; Innovation (UKRI)Natural Environment Research Council (NERC)); Ice and Climate Programme of British Antarctic Survey (BAS); NERC National Capability International; European Union's Horizon 2020 research and innovation framework programme(Horizon 2020); NERC Diversity, Equity and Inclusion (DEI) Engagement Programme; NERC(UK Research &amp; Innovation (UKRI)Natural Environment Research Council (NERC))</t>
  </si>
  <si>
    <t>This work is supported by core funding from the Natural Environment Research Council (NERC) to the Atmosphere, Ice and Climate Programme of British Antarctic Survey (BAS). Hua Lu, Andrew Orr, and Thomas J. Bracegirdle have received support from the NERC National Capability International grant SURface FluxEs In AnTarctica (NE/X009319/1). Andrew Orr and Ella Gilbert are supported by the European Union's Horizon 2020 research and innovation framework programme under grant agreement no. 101003590 (PolarRES). We are grateful for the expert comments by two anonymous referees that improved the original manuscript. Laura Gerrish is thanked for helping plotting Figure 1. We also thank Emilia Dobb, Jonathan Xue, Sabina Kucieba, Guy Phillips, and the BAS archive team for their efforts in digitizing and quality control of the Signy records, and funding from NERC Diversity, Equity and Inclusion (DEI) Engagement Programme. Kyle Clem and Peter Convey are thanked for helpful discussions in examining the trends and the impact on the ecosystem.</t>
  </si>
  <si>
    <t>0035-9009</t>
  </si>
  <si>
    <t>1477-870X</t>
  </si>
  <si>
    <t>Q J ROY METEOR SOC</t>
  </si>
  <si>
    <t>Q. J. R. Meteorol. Soc.</t>
  </si>
  <si>
    <t>10.1002/qj.4578</t>
  </si>
  <si>
    <t>GJ6J7</t>
  </si>
  <si>
    <t>WOS:001084918700001</t>
  </si>
  <si>
    <t>Jiang, S; Shi, G; Cole-Dai, J; Wang, M; Li, Y; Wu, G; An, C; Sun, B</t>
  </si>
  <si>
    <t>Jiang, S.; Shi, G.; Cole-Dai, J.; Wang, M.; Li, Y.; Wu, G.; An, C.; Sun, B.</t>
  </si>
  <si>
    <t>Perchlorate in Year-Round Antarctic Precipitation</t>
  </si>
  <si>
    <t>perchlorate; stratospheric input; tropospheric formation; Antarctica; precipitation</t>
  </si>
  <si>
    <t>ISOTOPIC COMPOSITION; NATURAL PERCHLORATE; SOUTH-POLE; TEMPORAL VARIATIONS; OZONE OXIDATION; DUMONT DURVILLE; SURFACE OZONE; ICE-CORE; NITRATE; SNOW</t>
  </si>
  <si>
    <t>Year-round precipitation in coastal East Antarctica and Antarctic Peninsula was used to investigate the seasonal patterns in sources of atmospheric perchlorate (ClO4 (-)). Although featuring distinct climates, the two locations exhibit similar annual mean and seasonal cycles of ClO4 (-) concentration, with higher values in autumn and lower concentrations in winter and spring. Tropospheric formation dominates atmospheric ClO4- in spring and summer, which is influenced by both oxidants levels and environmental conditions (e.g., air humidity). Troposp....heric ClO4 - production may also be promoted by elevated levels of oxidants brought by air mass from the interior Antarctic ice sheet in spring and summer. The autumn concentration maximum may originate from ClO4 (-) produced in the stratosphere through reactions between reactive chlorine and ozone during spring and summer. In winter, the stratospheric input may contribute to ClO4 (-) via polar stratospheric clouds sedimentation.</t>
  </si>
  <si>
    <t>[Jiang, S.; Wang, M.; An, C.; Sun, B.] Polar Res Inst China, Minist Nat Resources, Key Lab Polar Sci, Shanghai, Peoples R China; [Jiang, S.] Shanghai Jiao Tong Univ, Sch Oceanog SOO, Shanghai, Peoples R China; [Shi, G.; Li, Y.] East China Normal Univ, Sch Geog Sci, Key Lab Geog Informat Sci, State Key Lab Estuarine &amp; Coastal Res, Shanghai, Peoples R China; [Cole-Dai, J.] South Dakota State Univ, Dept Chem &amp; Biochem, Avera Hlth &amp; Sci Ctr, Brookings, SD USA</t>
  </si>
  <si>
    <t>Ministry of Natural Resources of the People's Republic of China; Polar Research Institute of China; Shanghai Jiao Tong University; East China Normal University; South Dakota State University</t>
  </si>
  <si>
    <t>Shi, G (corresponding author), East China Normal Univ, Sch Geog Sci, Key Lab Geog Informat Sci, State Key Lab Estuarine &amp; Coastal Res, Shanghai, Peoples R China.</t>
  </si>
  <si>
    <t>Shi, Guitao/0000-0003-1702-6322</t>
  </si>
  <si>
    <t>This work was supported by the National Key Research and Development Program of China (2019YFC1509103) and National Science Foundation of China (Grants 42276243 and 41922046). The authors are grateful to the Antarctic Zhongshan Ice and Space Environment Na [2019YFC1509103]; National Key Research and Development Program of China [42276243, 41922046]; National Science Foundation of China; Antarctic Zhongshan Ice and Space Environment National Observation and Research Station</t>
  </si>
  <si>
    <t>This work was supported by the National Key Research and Development Program of China (2019YFC1509103) and National Science Foundation of China (Grants 42276243 and 41922046). The authors are grateful to the Antarctic Zhongshan Ice and Space Environment Na; National Key Research and Development Program of China; National Science Foundation of China(National Natural Science Foundation of China (NSFC)); Antarctic Zhongshan Ice and Space Environment National Observation and Research Station</t>
  </si>
  <si>
    <t>This work was supported by the National Key Research and Development Program of China (2019YFC1509103) and National Science Foundation of China (Grants 42276243 and 41922046). The authors are grateful to the Antarctic Zhongshan Ice and Space Environment National Observation and Research Station, and the Antarctic Great Wall Ecology National Observation and Research Station for providing logistic support in field observations and sampling. The authors acknowledge the availability of the Hybrid Single-Particle Lagrangian Integrated Trajectory (HYSPLIT) model (Stein et al., 2015) (available at ).</t>
  </si>
  <si>
    <t>e2023GL104399</t>
  </si>
  <si>
    <t>10.1029/2023GL104399</t>
  </si>
  <si>
    <t>T2WV3</t>
  </si>
  <si>
    <t>WOS:001076647800001</t>
  </si>
  <si>
    <t>Na, JS; Davis, PED; Kim, BH; Jin, EK; Lee, WS</t>
  </si>
  <si>
    <t>Na, Ji Sung; Davis, Peter E. D.; Kim, Byeong-Hoon; Jin, Emilia Kyung; Lee, Won Sang</t>
  </si>
  <si>
    <t>Ice Shelf Water Structure Beneath the Larsen C Ice Shelf in Antarctica</t>
  </si>
  <si>
    <t>ice shelf water; meltwater; melt rate; interleaving layer; large eddy simulation; turbulence</t>
  </si>
  <si>
    <t>LARGE-EDDY SIMULATION; OCEAN BOUNDARY-LAYER; PINE ISLAND GLACIER; THERMOHALINE CIRCULATION; MELT RATE; MODEL; STABILITY; FRONT</t>
  </si>
  <si>
    <t>Understanding ice shelf water (ISW) structure is crucial for studying the basal melting of ice shelves. In this study, we performed large-eddy simulation experiments to assess ISW structure and basal melt patterns under different current velocity scenarios observed in the Larsen C ice shelf, Antarctica. The LES results revealed that the thickness of ISW is primarily determined by the meridional velocity (perpendicular to the grounding line), while the zonal velocity influences the potential temperature and salinity of ISW. We found that a key parameter determining the basal melt rate was northward meltwater advection which originates from variances in meltwater generation. This advection, in turn, leads to the tilted isopycnals and the potential for thermohaline interleaving in a diffusive convection regime. The different slopes of isopycnals induce distinct heat fluxes, resulting in different basal melt rates far from and near the grounding line (similar to 0.44 and 1.59 m yr-1, respectively). The loss of ice mass from the Antarctic ice sheet is accelerating, posing a threat to human lives through global sea level rise. Understanding ice shelf water (ISW), which refers to seawater below freezing temperature, is crucial as it directly or indirectly influences basal ice melting. However, direct observations are extremely challenging, leaving this understanding unclear. To tackle this issue, we utilized a numerical model to gain insight into the fundamental characteristics of ISW. We demonstrated that the direction and magnitude of ocean currents beneath the ice shelf play a significant role in determining the thickness and properties of ISW. Moreover, the key factor in basal melting was the northward movement of meltwater from intense ice melting regions near the grounding line. This movement determined the spatial distribution of ocean temperature and salinity. The horizontal gradient of ocean temperature and salinity induces mixing and horizontal intrusion. Interestingly, these mixing and intrusion phenomena occur in opposite directions, resulting in a wiggling pattern in the velocity profile. The main findings of our study will contribute to the formulation of a parameterization for basal melting, which can be incorporated into large-scale ocean models or ice sheet dynamics models. Direction and magnitude of ocean currents beneath an Larsen C ice shelf affect the ice shelf water thickness and propertiesNorthward meltwater advection causes 0.052 degrees C difference of thermal drivings with different melt rates far from and near the grounding lineOcean heat intrusion to ice shelf base is induced by Ekman dynamics and thermohaline interleaving by tilted isopycnals</t>
  </si>
  <si>
    <t>[Na, Ji Sung; Kim, Byeong-Hoon; Jin, Emilia Kyung; Lee, Won Sang] Korea Polar Res Inst, Div Glacial Environm Res, Incheon, South Korea; [Davis, Peter E. D.] British Antarctic Survey, Polar Oceans Grp, London, England</t>
  </si>
  <si>
    <t>Korea Polar Research Institute (KOPRI); UK Research &amp; Innovation (UKRI); Natural Environment Research Council (NERC); NERC British Antarctic Survey</t>
  </si>
  <si>
    <t>Jin, EK (corresponding author), Korea Polar Res Inst, Div Glacial Environm Res, Incheon, South Korea.</t>
  </si>
  <si>
    <t>jin@kopri.re.kr</t>
  </si>
  <si>
    <t>Davis, Peter/0000-0002-6471-6310; Lee, Won Sang/0000-0002-1074-7672; Na, Ji Sung/0000-0003-1355-4144; Kim, Byeong-Hoon/0000-0001-8128-6618</t>
  </si>
  <si>
    <t>The authors are grateful to two anonymous reviewers for their helpful comments on the manuscript. This research was supported by Korea Institute of Marine Science amp; Technology Promotion (KIMST) funded by the Ministry of Oceans and Fisheries (RS-2023-00 [RS-2023-00256677]; Korea Institute of Marine Science amp; Technology Promotion (KIMST) - Ministry of Oceans and Fisheries [PE23440]; Korea Polar Research Institute (KORPI)</t>
  </si>
  <si>
    <t>The authors are grateful to two anonymous reviewers for their helpful comments on the manuscript. This research was supported by Korea Institute of Marine Science amp; Technology Promotion (KIMST) funded by the Ministry of Oceans and Fisheries (RS-2023-00; Korea Institute of Marine Science amp; Technology Promotion (KIMST) - Ministry of Oceans and Fisheries; Korea Polar Research Institute (KORPI)</t>
  </si>
  <si>
    <t>The authors are grateful to two anonymous reviewers for their helpful comments on the manuscript. This research was supported by Korea Institute of Marine Science &amp; Technology Promotion (KIMST) funded by the Ministry of Oceans and Fisheries (RS-2023-00256677; PM23020) and Korea Polar Research Institute (KORPI) research grants (PE23440).</t>
  </si>
  <si>
    <t>e2023GL104088</t>
  </si>
  <si>
    <t>10.1029/2023GL104088</t>
  </si>
  <si>
    <t>T1CO9</t>
  </si>
  <si>
    <t>WOS:001075438600001</t>
  </si>
  <si>
    <t>Deepening of Southern Ocean Gateway Leads to Abrupt Onset of a Deep-Reaching Meridional Overturning Circulation</t>
  </si>
  <si>
    <t>ocean gateway deepening; meridional overturning circulation; heat transport; standing meanders</t>
  </si>
  <si>
    <t>ANTARCTIC CIRCUMPOLAR CURRENT; EOCENE-OLIGOCENE TRANSITION; WATER PRODUCTION; PACIFIC-OCEAN; DRAKE PASSAGE; ATLANTIC; CONVECTION; MODEL; MEANDERS; CLOSURE</t>
  </si>
  <si>
    <t>During the Eocene and the Eocene-Oligocene transition, the lower cell of the meridional overturning circulation (MOC), associated with bottom water formation, underwent changes associated with the geological evolution of Southern Ocean gateways. These are important for the Cenozoic climate transition from Greenhouse to Icehouse, but their dynamics still remain elusive. We demonstrate, using an idealized eddying ocean model, that the opening of a gateway leads to the abrupt onset of a vigorous, deep-reaching, MOC. This MOC has a maximum transport for a shallow gateway, and decreases with further deepening of the gateway. This abrupt change in the MOC can be explained through the ability with which standing meanders-turbulent features located downstream of the gateway-can induce deep vertical heat transport at high latitudes where bottom waters are produced. Our results demonstrate the crucial role of turbulent processes in setting the strength of the global ocean's deep-reaching MOC. Around 50-34 million years ago, the Southern Hemisphere witnessed a major reorganization of continents. This led to the opening and deepening of two Southern Ocean gateways (OGs)-the Tasmanian Gateway between Australia and Antarctica, and Drake Passage between Cape Horn and the Antarctica Peninsula. During this period Earth's climate went through a major climate transition, from a hot world (Greenhouse) to a cold world (Icehouse). One hypothesis to explain this dramatic climate transition is that the opening of these ocean gateways led to a major transition in the ocean's overturning circulation (i.e., its vertical circulation) with important consequences for the ocean's capability to store heat and carbon. In this study we use an ocean model to understand how the opening of an OG affects the ocean's overturning circulation. We show that it is small-scale processes, and their ability to transport heat southward and downward, which lead to a sudden increase of the ocean's overturning circulation as soon as the OG opens. Further deepening of the ocean gateways then leads to a decrease in the overturning circulation. This study therefore highlights the crucial role of small-scale processes in changing Earth's climate. The shallow opening of an ocean gateway leads to an abrupt onset of a deep-reaching overturning circulationThe deep-reaching overturning circulation is a consequence of standing meanders allowing for full-depth vertical heat transportFurther deepening of the gateway leads to a weaker overturning due to a decrease in heat transport toward southern convection regions</t>
  </si>
  <si>
    <t>[Xing, Qianjiang; Whittaker, Joanne] Univ Tasmania, Inst Marine &amp; Antarctic Studies, Hobart, Tas, Australia; [Klocker, Andreas] NORCE Norwegian Res Ctr, Bjerknes Ctr Climate Res, Bergen, Norway; [Munday, David] British Antarctic Survey, Cambridge, England</t>
  </si>
  <si>
    <t>Xing, QJ (corresponding author), Univ Tasmania, Inst Marine &amp; Antarctic Studies, Hobart, Tas, Australia.</t>
  </si>
  <si>
    <t>Munday, David R/R-1986-2016; Whittaker, Joanne/B-3695-2010; Klocker, Andreas/E-4632-2011</t>
  </si>
  <si>
    <t>Munday, David R/0000-0003-1920-708X; Xing, Qianjiang/0000-0001-8697-206X; Whittaker, Joanne/0000-0002-3170-3935; Klocker, Andreas/0000-0002-2038-7922</t>
  </si>
  <si>
    <t>This work was supported by the Australian Research Council Discovery Project (DP180102280). QX was supported by scholarships from the Australian Government Research Training Program (RTP) and CSIRO-UTAS PhD Program in Quantitative Marine Science (QMS). We [DP180102280]; Australian Research Council Discovery Project; Australian Government Research Training Program (RTP) [AAS4567]; Australian Antarctic Division grant; Wiley - University of Tasmania agreement via the Council of Australian University Librarians</t>
  </si>
  <si>
    <t>This work was supported by the Australian Research Council Discovery Project (DP180102280). QX was supported by scholarships from the Australian Government Research Training Program (RTP) and CSIRO-UTAS PhD Program in Quantitative Marine Science (QMS). We; Australian Research Council Discovery Project(Australian Research Council); Australian Government Research Training Program (RTP); Australian Antarctic Division grant; Wiley - University of Tasmania agreement via the Council of Australian University Librarians</t>
  </si>
  <si>
    <t>This work was supported by the Australian Research Council Discovery Project (DP180102280). QX was supported by scholarships from the Australian Government Research Training Program (RTP) and CSIRO-UTAS PhD Program in Quantitative Marine Science (QMS). We acknowledge the Australian National Computational Infrastructure Merit Allocation Scheme projects and Australian Antarctic Division grant AAS4567 for running the model simulations. We thank to Australian Centre for Antarctic Science for supporting our works. We are grateful to Agathe Toumoulin and an anonymous reviewer for their constructive comments that improved the manuscript. We also thank to the editor Kris Karnauskas for helpful guidance. Open access publishing facilitated by University of Tasmania, as part of the Wiley - University of Tasmania agreement via the Council of Australian University Librarians.</t>
  </si>
  <si>
    <t>e2023GL104382</t>
  </si>
  <si>
    <t>10.1029/2023GL104382</t>
  </si>
  <si>
    <t>T0TO8</t>
  </si>
  <si>
    <t>Green Accepted, hybrid, Green Submitted</t>
  </si>
  <si>
    <t>WOS:001075202100001</t>
  </si>
  <si>
    <t>Dong, C; Zhang, QH; Xiong, SY; Yang, RQ; Pei, ZG; Li, YM; Jiang, GB</t>
  </si>
  <si>
    <t>Dong, Cheng; Zhang, Qinghua; Xiong, Siyuan; Yang, Ruiqiang; Pei, Zhiguo; Li, Yingming; Jiang, Guibin</t>
  </si>
  <si>
    <t>Occurrence and Trophic Transfer of Polychlorinated Naphthalenes (PCNs) in the Arctic and Antarctic Benthic Marine Food Webs</t>
  </si>
  <si>
    <t>ENVIRONMENTAL SCIENCE &amp; TECHNOLOGY</t>
  </si>
  <si>
    <t>Polychlorinated naphthalenes; Arctic; Antarctica; benthic food web; trophic transfer</t>
  </si>
  <si>
    <t>DIOXIN-LIKE COMPOUNDS; LONG-RANGE TRANSPORT; PERSISTENT ORGANIC POLLUTANTS; CHAIN CHLORINATED PARAFFINS; DIBENZO-P-DIOXINS; SPATIAL-DISTRIBUTION; RELATIVE POTENCIES; ECOLOGICAL RISK; LONDON ISLAND; FISH</t>
  </si>
  <si>
    <t>Information about the occurrence and trophic transfer of polychlorinated naphthalenes (PCNs) in polar ecosystems is vital but scarce. In this study, PCNs were analyzed in benthic marine sediment and several biological species, collected around the Chinese polar scientific research stations in Svalbard in the Arctic and South Shetland Island in Antarctica. Total PCNs in biota ranged from 28 to 249 pg/g of lipid weight (lw) and from 11 to 284 pg/g lw in the Arctic and Antarctic regions, respectively. The concentrations and toxic equivalent (TEQ) of PCNs in polar marine matrices remained relatively low, and the compositions were dominated by lower chlorinated homologues (mono- to trichlorinated naphthalenes). Trophic magnification factors (TMFs) were calculated for congeners, homologues, and total PCNs in the polar benthic marine food webs. Opposite PCN transfer patterns were observed in the Arctic and Antarctic regions, i.e., trophic dilution and trophic magnification, respectively. This is the first comprehensive study of PCN trophic transfer behaviors in remote Arctic and Antarctic marine regions, providing support for further investigations of the biological trophodynamics and ecological risks of PCNs.</t>
  </si>
  <si>
    <t>[Dong, Cheng; Zhang, Qinghua; Yang, Ruiqiang; Pei, Zhiguo; Li, Yingming; Jiang, Guibin] Chinese Acad Sci, Res Ctr Ecoenvironm Sci, State Key Lab Environm Chem &amp; Ecotoxicol, Beijing 100085, Peoples R China; [Dong, Cheng; Zhang, Qinghua; Xiong, Siyuan; Yang, Ruiqiang; Pei, Zhiguo; Li, Yingming; Jiang, Guibin] Univ Chinese Acad Sci, Beijing 100049, Peoples R China; [Zhang, Qinghua; Xiong, Siyuan; Yang, Ruiqiang; Jiang, Guibin] Univ Chinese Acad Sci, Hangzhou Inst Adv Study, Sch Environm, Hangzhou 310024, Peoples R China; [Zhang, Qinghua; Jiang, Guibin] Jianghan Univ, Inst Environm &amp; Hlth, Wuhan 430056, Peoples R China</t>
  </si>
  <si>
    <t>Chinese Academy of Sciences; Research Center for Eco-Environmental Sciences (RCEES); Chinese Academy of Sciences; University of Chinese Academy of Sciences, CAS; Chinese Academy of Sciences; University of Chinese Academy of Sciences, CAS; Jianghan University</t>
  </si>
  <si>
    <t>Li, YM (corresponding author), Chinese Acad Sci, Res Ctr Ecoenvironm Sci, State Key Lab Environm Chem &amp; Ecotoxicol, Beijing 100085, Peoples R China.;Li, YM (corresponding author), Univ Chinese Acad Sci, Beijing 100049, Peoples R China.</t>
  </si>
  <si>
    <t>cheng, dong/KHD-3668-2024; tian, ye/KGL-6485-2024; yu, xiao/KFT-1725-2024; Zhang, Qinghua/L-7652-2019; Yao, Chen/JVD-6226-2023; ren, jing/JXN-8411-2024; WANG, YUHAO/KBB-0213-2024; wang, shuo/KCL-3379-2024</t>
  </si>
  <si>
    <t>National Key Research and Development Program of China [22193052, 22076215]; National Natural Science Foundation of China; Polar Research Institute of China</t>
  </si>
  <si>
    <t>National Key Research and Development Program of China; National Natural Science Foundation of China(National Natural Science Foundation of China (NSFC)); Polar Research Institute of China</t>
  </si>
  <si>
    <t>This study was supported by the National Key Researchand Development Program of China (2020YFA0608503), and the NationalNatural Science Foundation of China (22193052 and 22076215). We alsothank the Chinese Arctic and Antarctic Administration and Polar ResearchInstitute of China for their support in arranging the Chinese ScientificExpeditions to the Arctic and Antarctica.</t>
  </si>
  <si>
    <t>0013-936X</t>
  </si>
  <si>
    <t>1520-5851</t>
  </si>
  <si>
    <t>ENVIRON SCI TECHNOL</t>
  </si>
  <si>
    <t>Environ. Sci. Technol.</t>
  </si>
  <si>
    <t>OCT 15</t>
  </si>
  <si>
    <t>10.1021/acs.est.3c03982</t>
  </si>
  <si>
    <t>X8PK7</t>
  </si>
  <si>
    <t>WOS:001101002700001</t>
  </si>
  <si>
    <t>Forcada, J; Hoffman, JI; Gimenez, O; Staniland, IJ; Bucktrout, P; Wood, AG</t>
  </si>
  <si>
    <t>Forcada, Jaume; Hoffman, Joseph I.; Gimenez, Olivier; Staniland, Iain J.; Bucktrout, Pete; Wood, Andrew G.</t>
  </si>
  <si>
    <t>Ninety years of change, from commercial extinction to recovery, range expansion and decline for Antarctic fur seals at South Georgia</t>
  </si>
  <si>
    <t>Antarctic fur seal; Antarctic krill; Arctocephalus gazella; decline; depletion; environmental change; integrated population model; pinniped; range expansion; recovery dynamics</t>
  </si>
  <si>
    <t>ARCTOCEPHALUS-GAZELLA; PUP PRODUCTION; CLIMATE-CHANGE; KRILL FISHERY; ABUNDANCE; MANAGEMENT; DYNAMICS; HISTORY; REPRODUCTION; PREDATORS</t>
  </si>
  <si>
    <t>With environmental change, understanding how species recover from overharvesting and maintain viable populations is central to ecosystem restoration. Here, we reconstruct 90 years of recovery trajectory of the Antarctic fur seal at South Georgia (S.W. Atlantic), a key indicator species in the krill-based food webs of the Southern Ocean. After being harvested to commercial extinction by 1907, this population rebounded and now constitutes the most abundant otariid in the World. However, its status remains uncertain due to insufficient and conflicting data, and anthropogenic pressures affecting Antarctic krill, an essential staple for millions of fur seals and other predators. Using integrated population models, we estimated simultaneously the long-term abundance for Bird Island, northwest South Georgia, epicentre of recovery of the species after sealing, and population adjustments for survey counts with spatiotemporal applicability. Applied to the latest comprehensive survey data, we estimated the population at South Georgia in 2007-2009 as 3,510,283 fur seals [95% CI: 3,140,548-3,919,604] (ca. 98% of global population), after 40 years of maximum growth and range expansion owing to an abundant krill supply. At Bird Island, after 50 years of exponential growth followed by 25 years of slow stable growth, the population collapsed in 2009 and has thereafter declined by -7.2% [-5.2, -9.1] per annum, to levels of the 1970s. For the instrumental record, this trajectory correlates with a time-varying relationship between coupled climate and sea surface temperature cycles associated with low regional krill availability, although the effects of increasing krill extraction by commercial fishing and natural competitors remain uncertain. Since 2015, fur seal longevity and recruitment have dropped, sexual maturation has retarded, and population growth is expected to remain mostly negative and highly variable. Our analysis documents the rise and fall of a key Southern Ocean predator over a century of profound environmental and ecosystem change.</t>
  </si>
  <si>
    <t>[Forcada, Jaume; Hoffman, Joseph I.; Bucktrout, Pete; Wood, Andrew G.] NERC, British Antarctic Survey, UKRI, Cambridge, England; [Hoffman, Joseph I.] Univ Bielefeld, Dept Anim Behav, Bielefeld, Germany; [Gimenez, Olivier] Univ Montpellier, CNRS, IRD, CEFE,EPHE, Montpellier, France; [Staniland, Iain J.] Int Whaling Commiss, Impington, England</t>
  </si>
  <si>
    <t>UK Research &amp; Innovation (UKRI); Natural Environment Research Council (NERC); NERC British Antarctic Survey; University of Bielefeld; Universite PSL; Ecole Pratique des Hautes Etudes (EPHE); Institut Agro; Montpellier SupAgro; CIRAD; Centre National de la Recherche Scientifique (CNRS); Institut de Recherche pour le Developpement (IRD); Universite Paul-Valery; Universite de Montpellier</t>
  </si>
  <si>
    <t>Forcada, J (corresponding author), NERC, British Antarctic Survey, UKRI, Cambridge, England.</t>
  </si>
  <si>
    <t>jfor@bas.ac.uk</t>
  </si>
  <si>
    <t>Gimenez, Olivier/G-4281-2010; Hoffman, Joseph/K-7725-2012</t>
  </si>
  <si>
    <t>Staniland, Iain/0000-0003-2736-9134; Hoffman, Joseph/0000-0001-5895-8949; Gimenez, Olivier/0000-0001-7001-5142</t>
  </si>
  <si>
    <t>We thank the British Antarctic Survey (BAS) field assistants and scientists on Bird Island and the South Georgia mainland for collecting tissue samples and demographic, biometric and count data over four decades. We thank research assistants Emma Foster, A [A171]; Natural Environment Research Council; Polar Science for Planet Earth programme - Deutsche Forschungsgemeinschaft (DFG, German Research Foundation) in the framework of a Sonderforschungsbereich [316099922, 396774617-TRR 212, 424119118]</t>
  </si>
  <si>
    <t>We thank the British Antarctic Survey (BAS) field assistants and scientists on Bird Island and the South Georgia mainland for collecting tissue samples and demographic, biometric and count data over four decades. We thank research assistants Emma Foster, A; Natural Environment Research Council(UK Research &amp; Innovation (UKRI)Natural Environment Research Council (NERC)); Polar Science for Planet Earth programme - Deutsche Forschungsgemeinschaft (DFG, German Research Foundation) in the framework of a Sonderforschungsbereich(German Research Foundation (DFG))</t>
  </si>
  <si>
    <t>We thank the British Antarctic Survey (BAS) field assistants and scientists on Bird Island and the South Georgia mainland for collecting tissue samples and demographic, biometric and count data over four decades. We thank research assistants Emma Foster, Alice Ramsey, Rebecca Hewitt, Eilidh Siegal and other personnel involved in the counting of aerial survey images. Andreas Cziferszky developed specific image counting software. The crew of Royal Navy HMS Endurance (A171) and pilots of the ice-modified Lynx helicopters were instrumental in completing the surveys of South Georgia. Anthony R. Martin contributed to initial planning and development of the surveys. This work contributes to the Ecosystems project of the BAS, Natural Environment Research Council, UKRI, and is part of the Polar Science for Planet Earth programme. The genetic work was funded by the Deutsche Forschungsgemeinschaft (DFG, German Research Foundation) in the framework of a Sonderforschungsbereich (NC3 project numbers 316099922 and 396774617-TRR 212) and the priority programme 'Antarctic Research with Comparative Investigations in Arctic Ice Areas' (project number 424119118).</t>
  </si>
  <si>
    <t>10.1111/gcb.16947</t>
  </si>
  <si>
    <t>Y4JQ4</t>
  </si>
  <si>
    <t>WOS:001085514300001</t>
  </si>
  <si>
    <t>Xing, L; Tang, JY; Tian, SQ; Barrier, N</t>
  </si>
  <si>
    <t>Xing, Lei; Tang, Jianye; Tian, Siquan; Barrier, Nicolas</t>
  </si>
  <si>
    <t>Simulating impacts of fishing toothfish on the pelagic community in the Cooperation Sea, Southern Ocean</t>
  </si>
  <si>
    <t>Toothfish fishery; Ecosystem impacts; Cooperation Sea; OSMOSE-CooperationSea model</t>
  </si>
  <si>
    <t>INDIVIDUAL-BASED MODEL; TO-END MODELS; ROSS SEA; DISSOSTICHUS-MAWSONI; LAZAREV SEA; MARINE ECOSYSTEMS; LIFE-HISTORY; MANAGEMENT; PRECAUTIONARY; REGION</t>
  </si>
  <si>
    <t>There is increasing attention to the use of Antarctic toothfish (Dissostichus mawsoni) and Patagonian toothfish (Dissostichus eleginoides). Understanding the responses of toothfish and other species to fishing activities favors the sustainable use of natural resources. We developed an end-to-end model OSMOSE-CooperationSea to simulate the food web dynamics in the Cooperation Sea and evaluate the impact of toothfish fishery. Fishes and cephalopods played important roles in the energy pathways from krill species and other zooplankton species to toothfish and Weddell seal (Leptonychotes weddellii) whose trophic levels were higher than 5.0. Ade ' lie penguin (Pygoscelis ade ' liae), Crabeater seal (Lobodon carcinophaga), and Baleen whales were strongly krill-reliant. The spawning stock of toothfish decreased more quickly than the recruitments with increasing fishing pressure. Fishing impacts on the recruitments of toothfish were hysteretic due to the fishing selectivity. The model considered an ontogenetic diet shift of toothfish that mesopelagic fish was influential to toothfish juveniles. The overexploitation of toothfish stock might result in a trophic cascade that mesopelagic fish biomass increased and krill biomass declined. Ade ' lie penguin, Crabeater seal, and Baleen whales preyed on more small fishes in response to the decline of krill biomass. Considering the impacts of changes in Antarctic krill availability, the biomass of Ade ' lie penguin, Crabeater seal, and Baleen whales declined with a heavy toothfish fishery. The study highlights the importance of precautionary and ecosystem-based management to toothfish fishery.</t>
  </si>
  <si>
    <t>[Xing, Lei; Tang, Jianye; Tian, Siquan] Shanghai Ocean Univ, Coll Marine Sci, Shanghai 201306, Peoples R China; [Barrier, Nicolas] Univ Montpellier, CNRS, MARBEC, Ifremer,IRD, Sete, France; [Xing, Lei] Polar Res Inst China, Shanghai 200136, Peoples R China; [Tang, Jianye] Shanghai Ocean Univ, Coll Marine Sci, 999 Huchenghuan Rd, Shanghai 201306, Peoples R China</t>
  </si>
  <si>
    <t>Shanghai Ocean University; Centre National de la Recherche Scientifique (CNRS); Ifremer; Institut de Recherche pour le Developpement (IRD); Universite de Montpellier; Polar Research Institute of China; Shanghai Ocean University</t>
  </si>
  <si>
    <t>Tang, JY (corresponding author), Shanghai Ocean Univ, Coll Marine Sci, 999 Huchenghuan Rd, Shanghai 201306, Peoples R China.</t>
  </si>
  <si>
    <t>jytang@shou.edu.cn</t>
  </si>
  <si>
    <t>Barrier, Nicolas/JME-3194-2023</t>
  </si>
  <si>
    <t>Barrier, Nicolas/0000-0002-1693-4719</t>
  </si>
  <si>
    <t>Impact and Response of Antarctic Seas to Climate Change [IRASCC2020-2022]</t>
  </si>
  <si>
    <t>Impact and Response of Antarctic Seas to Climate Change</t>
  </si>
  <si>
    <t>This work was funded by the Impact and Response of Antarctic Seas to Climate Change (IRASCC2020-2022). We thank GEBCO Compilation Group (2023) for providing bathymetric data of Cooperation Sea (https://doi.org/10.5285/f98b053b-0cbc-6c23-e053-6c86abc0af7b). We are grateful to Dr. Juan Carlos P e rez-Jimenez and two anonymous journal peer reviewers for helpful comments and edits.</t>
  </si>
  <si>
    <t>10.1016/j.rsma.2023.103227</t>
  </si>
  <si>
    <t>X5DU3</t>
  </si>
  <si>
    <t>WOS:001098661900001</t>
  </si>
  <si>
    <t>Jang, J; Park, KT; Yoon, YJ; Ha, SY; Jang, E; Cho, KH; Lee, JY; Park, J</t>
  </si>
  <si>
    <t>Jang, Jiyi; Park, Ki-Tae; Yoon, Young Jun; Ha, Sun-Yong; Jang, Eunho; Cho, Kyung Hwa; Lee, Ji Yi; Park, Jiyeon</t>
  </si>
  <si>
    <t>Molecular-level chemical composition of aerosol and its potential source tracking at Antarctic Peninsula</t>
  </si>
  <si>
    <t>Marine organic aerosol; High-resolution mass spectrometry; Orbitrap-MS; Antarctica</t>
  </si>
  <si>
    <t>DISSOLVED ORGANIC-MATTER; MASS-SPECTROMETRY; MARINE AEROSOLS; WATER MASSES; ARCTIC-OCEAN; SEA; CLIMATE; PHYTOPLANKTON; PERSPECTIVE; ATMOSPHERE</t>
  </si>
  <si>
    <t>Marine organic aerosols play crucial roles in global climatic systems. However, their chemical properties and relationships with various potential organic sources still need clarification. This study employed high-resolution mass spectrometry to investigate the identity, origin, and transportation of organic aerosols in pristine Antarctic environments (King Sejong Station; 62.2 degrees S, 58.8 degrees W), where complex ocean-cryosphere-atmosphere interactions occur. First, we classified the aerosol samples into three clusters based on their air mass transport history. Next, we investigated the relationship between organic aerosols and their potential sources, including organic matter dissolved in the open ocean, coastal waters, and runoff waters. Cluster 1 (C1), in which the aerosols mainly originated from the open ocean area (i.e., pelagic zone-influenced), exhibited a higher abundance of lipid-like and protein-like organic aerosols than cluster 3 (C3), with ratios 1.8- and 1.6-times higher, respectively. In contrast, C3, characterized by longer air mass retention over sea ice and land areas (i.e., inshore-influenced), had higher lignin- and condensed aromatic structures (CAS)-like organic aerosols by 2.2- and 3.4-times compared to C1. Cluster 2 (C2) has intermediate characteristics between C1 and C3 concerning the chemical properties of the aerosols and air mass travel history. Notably, the chemical properties of the aerosols assigned to C1 are closely related to those of phytoplankton-derived organics enriched in the open ocean. In contrast, those of C3 are comparable to those of terrestrial plant-derived organics enriched in coastal and runoff waters. These findings help evaluate the source-dependent properties of organic aerosols in changing Antarctic environment.</t>
  </si>
  <si>
    <t>[Jang, Jiyi; Park, Ki-Tae; Yoon, Young Jun; Ha, Sun-Yong; Jang, Eunho; Park, Jiyeon] Korea Polar Res Inst KOPRI, Incheon, South Korea; [Park, Ki-Tae; Jang, Eunho] Univ Sci &amp; Technol UST, Daejeon, South Korea; [Cho, Kyung Hwa] Korea Univ, Seoul, South Korea; [Lee, Ji Yi] Ewha Womans Univ, Seoul, South Korea</t>
  </si>
  <si>
    <t>Korea Polar Research Institute (KOPRI); University of Science &amp; Technology (UST); Korea University; Ewha Womans University</t>
  </si>
  <si>
    <t>Park, KT; Park, J (corresponding author), Korea Polar Res Inst KOPRI, Incheon, South Korea.</t>
  </si>
  <si>
    <t>ktpark@kopri.re.kr; jypark@kopri.re.kr</t>
  </si>
  <si>
    <t>Park, Ki-Tae/CAF-2480-2022</t>
  </si>
  <si>
    <t>Korea Polar Research Institute (KOPRI) [PE23030]</t>
  </si>
  <si>
    <t>This research was supported by the project (PE23030) of Korea Polar Research Institute (KOPRI) .</t>
  </si>
  <si>
    <t>10.1016/j.envres.2023.117217</t>
  </si>
  <si>
    <t>X1ID8</t>
  </si>
  <si>
    <t>WOS:001096043900001</t>
  </si>
  <si>
    <t>Hoem, FS; López-Quirós, A; van de Lagemaat, S; Etourneau, J; Sicre, MA; Escutia, C; Brinkhuis, H; Peterse, F; Sangiorgi, F; Bijl, PK</t>
  </si>
  <si>
    <t>Hoem, Frida S.; Lopez-Quiros, Adrian; van de Lagemaat, Suzanna; Etourneau, Johan; Sicre, Marie-Alexandrine; Escutia, Carlota; Brinkhuis, Henk; Peterse, Francien; Sangiorgi, Francesca; Bijl, Peter K.</t>
  </si>
  <si>
    <t>Late Cenozoic sea-surface-temperature evolution of the South Atlantic Ocean</t>
  </si>
  <si>
    <t>OFFSHORE WILKES LAND; EOCENE-OLIGOCENE TRANSITION; ANTARCTIC GLACIATION; DRAKE PASSAGE; CLIMATE; PALEOCEANOGRAPHY; MARINE; ONSET; INSIGHTS; MODEL</t>
  </si>
  <si>
    <t>At present, a strong latitudinal sea-surface-temperature (SST) gradient of similar to 16 circle C exists across the Southern Ocean, maintained by the Antarctic Circumpolar Current (ACC) and a set of complex frontal systems. Together with the Antarctic ice masses, this system has formed one of the most important global climate regulators. The timing of the onset of the ACC system, its development towards modern-day strength and the consequences for the latitudinal SST gradient around the southern Atlantic Ocean are still uncertain. Here we present new TEX86 (TetraEther indeX of tetraethers consisting of 86 carbon atoms)-derived SST records from two sites located east of Drake Passage (south-western South Atlantic) to assist in better understanding two critical time intervals of prominent climate transitions during the Cenozoic: the late Eocene-early Oligocene (Ocean Drilling Program, ODP, Site 696) and Middle-Late Miocene (IODP Site U1536) transitions. Our results show temperate conditions (20-11 circle C) during the first time interval, with a weaker latitudinal SST gradient (similar to 8 circle C) across the Atlantic sector of the Southern Ocean compared to present day. We ascribe the similarity in SSTs between Sites 696 and 511 in the late Eocene-early Oligocene South Atlantic to a persistent, strong subpolar gyre circulation connecting the sites, which can only exist in the absence of a strong throughflow across the Drake Passage. Surprisingly, the southern South Atlantic record Site 696 shows comparable SSTs (similar to 12-14 circle C) during both the earliest Oligocene oxygen isotope step (EOIS, similar to 33.65 Ma) and the Miocene Climatic Optimum (MCO, similar to 16.5 Ma). Apparently, maximum Oligocene Antarctic ice volume could coexist with warm ice-proximal surface ocean conditions, while at similar ocean temperatures, the Middle Miocene Antarctic ice sheet was likely reduced. Only a few Middle-Late Miocene (discontinuous) high-latitude records exist due to ice advances causing unconformities. Our low-resolution Site U1536 record of southern South Atlantic SSTs cooled to similar to 5 circle C during the Middle Miocene Climate Transition (MMCT, 14 Ma), making it the coldest oceanic region in the poorly recorded Antarctic realm and likely the main location for deep-water formation. The already-cold south-western South Atlantic conditions at the MMCT with relatively moderate additional cooling during the Late Miocene contrasts with the profound cooling in the lower latitudes and other sectors of the Southern Ocean due to northward expansion of the Southern Ocean frontal systems.</t>
  </si>
  <si>
    <t>[Hoem, Frida S.; van de Lagemaat, Suzanna; Brinkhuis, Henk; Peterse, Francien; Sangiorgi, Francesca; Bijl, Peter K.] Univ Utrecht, Dept Earth Sci, Utrecht, Netherlands; [Lopez-Quiros, Adrian] Univ Granada, Dept Stratig &amp; Paleontol, Granada, Spain; [Lopez-Quiros, Adrian] Aarhus Univ, iCLIMATE Ctr, Dept Geosci, Aarhus, Denmark; [Etourneau, Johan] PSL Res Univ, EPHE, Paris, France; [Etourneau, Johan] Univ Bordeaux, UMR 5805 EPOC, CNRS, Bordeaux INP,EPOC,UMR 5805, Pessac, France; [Sicre, Marie-Alexandrine] Sorbonne Univ, LOCEAN, CNRS, Campus Pierre &amp; Marie Curie, Paris, France; [Escutia, Carlota] Univ Granada, IACT, CSIC, Granada, Spain; [Brinkhuis, Henk] Royal Netherlands Inst Sea Res NIOZ, Dept Ocean Syst Res, Texel, Netherlands</t>
  </si>
  <si>
    <t>Utrecht University; University of Granada; Aarhus University; Universite PSL; Ecole Pratique des Hautes Etudes (EPHE); Centre National de la Recherche Scientifique (CNRS); CNRS - National Institute for Earth Sciences &amp; Astronomy (INSU); Universite de Bordeaux; Sorbonne Universite; Centre National de la Recherche Scientifique (CNRS); Museum National d'Histoire Naturelle (MNHN); University of Granada; Consejo Superior de Investigaciones Cientificas (CSIC); CSIC - Instituto Andaluz de Ciencias de la Tierra (IACT); Utrecht University; Royal Netherlands Institute for Sea Research (NIOZ)</t>
  </si>
  <si>
    <t>Hoem, FS (corresponding author), Univ Utrecht, Dept Earth Sci, Utrecht, Netherlands.</t>
  </si>
  <si>
    <t>frida.snho@gmail.com</t>
  </si>
  <si>
    <t>López Quirós, Adrián/K-6513-2017; Peterse, Francien/AAY-1473-2021; Brinkhuis, Henk/IUO-8165-2023</t>
  </si>
  <si>
    <t>López Quirós, Adrián/0000-0002-7522-2834; Peterse, Francien/0000-0001-8781-2826; Brinkhuis, Henk/0000-0003-0253-6610; Bijl, Peter/0000-0002-1710-4012; Sangiorgi, Francesca/0000-0003-4233-6154; Sicre, Marie-Alexandrine/0000-0002-5015-1400</t>
  </si>
  <si>
    <t>ERC [802835]; Spanish Ministry of Science and Innovation [CTM2014-60451-C2-1/2-P, CTM2017-89711-C2-1/2-P]; European Union through FEDER funds; MCIN/AEI/ [FJC2021-047046-I]; NextGenerationEU/PRTR; NWO Vici; [865.17.001]; European Research Council (ERC) [802835] Funding Source: European Research Council (ERC)</t>
  </si>
  <si>
    <t>ERC(European Research Council (ERC)); Spanish Ministry of Science and Innovation(Spanish Government); European Union through FEDER funds(European Union (EU)Marie Curie Actions); MCIN/AEI/; NextGenerationEU/PRTR; NWO Vici(Netherlands Organization for Scientific Research (NWO)); ; European Research Council (ERC)(European Research Council (ERC)Spanish Government)</t>
  </si>
  <si>
    <t>This work used International Ocean Discovery Program (IODP) archived samples and data. We thank the great scientists and crew on Expedition 382, who also helped with data interpretation and discussions of results from Site U1536. We thank Mariska Hoorweg for technical support at the Utrecht University GeoLab. Frida S. Hoem and Peter K. Bijl acknowledge funding from the ERC starting grant 802835 OceanNice. Carlota Escutia and Adrian Lopez-Quiros acknowledge funding provided by the Spanish Ministry of Science and Innovation (grants CTM2014-60451-C2-1/2-P and CTM2017-89711-C2-1/2-P, co-funded by the European Union through FEDER funds) and JUAN DE LA CIERVA-TRAINING AID 2021 (FJC2021-047046-I, MCIN/AEI/10.13039/501100011033 and NextGenerationEU/PRTR). Suzanna van de Lagemaat acknowledges funding by NWO Vici (grant no. 865.17.001) awarded to Douwe van Hinsbergen.</t>
  </si>
  <si>
    <t>OCT 13</t>
  </si>
  <si>
    <t>10.5194/cp-19-1931-2023</t>
  </si>
  <si>
    <t>HT6A1</t>
  </si>
  <si>
    <t>WOS:001161785600001</t>
  </si>
  <si>
    <t>Garcia-Oteyza, J; Giralt, S; Pla-Rabes, S; Antoniades, D; Oliva, M; Ghanbari, H; Osorio-Serrano, R; Palacios, D</t>
  </si>
  <si>
    <t>Garcia-Oteyza, J.; Giralt, S.; Pla-Rabes, S.; Antoniades, D.; Oliva, M.; Ghanbari, H.; Osorio-Serrano, R.; Palacios, D.</t>
  </si>
  <si>
    <t>A-5000 year multiproxy record of summer climate in NE Greenland</t>
  </si>
  <si>
    <t>NE Greenland; Aucella Lake; Arctic lakes; Paleolimnology; Climate variability; Multiproxy analysis</t>
  </si>
  <si>
    <t>EAST GREENLAND; HOLOCENE CLIMATE; ENVIRONMENTAL HISTORY; ARCTIC AMPLIFICATION; ICE CAP; LAKE; VARIABILITY; SENTINELS; SEDIMENT; PERMAFROST</t>
  </si>
  <si>
    <t>The High Arctic plays a vital role in Earth's climate system, and its ecosystems are highly sensitive to global climate change. High Arctic lakes are valuable sentinels of climate change, as their sediments integrate long-term natural climatic fluctuations and anthropogenic influences. Here, we present a high-resolution -5000 yearreconstruction of NE Greenland climate variability from Aucella Lake (74 degrees N, 20 degrees E) based on physical, chemical, and biological properties of lake sediments. We use CT-scans, hyperspectral imaging, organic matter, XRD, and diatom analyses to show that changing air temperatures were controlled by a mix of regional climatic changes and local landscape feedbacks. The latest Mid-Holocene (-5.0-3.8 cal. ka BP) was characterized by relatively warmer conditions, while the onset of the Late-Holocene was marked by abrupt temperature decreases that coincided with the beginning of glacial advances elsewhere (-3.8-3.4 cal. ka BP). From -3.4-2.4 cal. ka BP, the sedimentary record indicated progressive warming, with temperature peaking during the Medieval Climate Anomaly, although temperature rises were punctuated by abrupt, short-lived cold periods. From -1.1-0.05 cal. ka BP, the influence of landscape factors over the system diminished. Sedimentary indicators suggested a transition towards a colder, more humid climate, coinciding with the beginning of the Little Ice Age, that was characterized by a marked decrease in air temperature that reached minimum values at the end of this period. The last 50 years at Aucella Lake were marked by abrupt temperature rises, consistent with recently observed anthropogenic global warming. Our results illustrate the importance of high-resolution multiproxy studies for accurately characterizing lake linkages to their environment and climate.</t>
  </si>
  <si>
    <t>[Garcia-Oteyza, J.; Oliva, M.] Univ Barcelona, Dept Geog, Catalonia, Spain; [Giralt, S.; Osorio-Serrano, R.] Geosci Barcelona GEO3BCN CSIC, Barcelona, Spain; [Pla-Rabes, S.] Univ Autonoma Barcelona, Bellaterra Cerdanyola Del, Catalonia, Spain; [Antoniades, D.; Ghanbari, H.] Laval Univ, Dept Geog, Quebec City, PQ, Canada; [Antoniades, D.; Ghanbari, H.] Laval Univ, Ctr Northern Studies, Quebec City, PQ, Canada; [Palacios, D.] Univ Complutense Madrid, Dept Geog, Madrid, Spain; [Pla-Rabes, S.] CREAF, Bellaterra Cerdanyola Del, Catalonia, Spain; [Garcia-Oteyza, J.] Univ Barcelona, Dept Geog, Montalegre 6-8, 3rd Floor, Barcelona 08001, Spain</t>
  </si>
  <si>
    <t>University of Barcelona; Autonomous University of Barcelona; Laval University; Laval University; Complutense University of Madrid; Centro de Investigacion Ecologica y Aplicaciones Forestales (CREAF-CERCA); University of Barcelona</t>
  </si>
  <si>
    <t>Garcia-Oteyza, J (corresponding author), Univ Barcelona, Dept Geog, Montalegre 6-8, 3rd Floor, Barcelona 08001, Spain.</t>
  </si>
  <si>
    <t>juliaoteyzaciria@gmail.com</t>
  </si>
  <si>
    <t>Oliva, Marc/K-5423-2014; Pla-Rabes, Sergi/J-9209-2012</t>
  </si>
  <si>
    <t>Pla-Rabes, Sergi/0000-0003-3532-9466</t>
  </si>
  <si>
    <t>project PALEOGREEN of the Spanish Ministry of Economy and Competitiveness [CTM2017- 87976-P]; INTERACT Transnational Access grant [730938]; Research Group ANTALP (Antarctic, Arctic, Alpine Environments) - Government of Catalonia [2017-SGR-1102]; Spanish Ministry of Science, Innovation and Universities</t>
  </si>
  <si>
    <t>project PALEOGREEN of the Spanish Ministry of Economy and Competitiveness; INTERACT Transnational Access grant; Research Group ANTALP (Antarctic, Arctic, Alpine Environments) - Government of Catalonia; Spanish Ministry of Science, Innovation and Universities(Spanish Government)</t>
  </si>
  <si>
    <t>This research was funded by the project PALEOGREEN (CTM2017- 87976-P) of the Spanish Ministry of Economy and Competitiveness. Field work was also supported by an INTERACT Transnational Access grant (Ref. 730938, GLACIGREEN) and by the Research Group ANTALP (Antarctic, Arctic, Alpine Environments; 2017-SGR-1102), funded by the Government of Catalonia. Julia Garcia-Oteyza was supported by an FPI fellowship from the Spanish Ministry of Science, Innovation and Universities.</t>
  </si>
  <si>
    <t>10.1016/j.scitotenv.2023.167713</t>
  </si>
  <si>
    <t>Y1KG7</t>
  </si>
  <si>
    <t>WOS:001102920400001</t>
  </si>
  <si>
    <t>Geeson, JJ; Hindell, MA; Hobday, AJ; Speakman, CN; Arnould, JPY</t>
  </si>
  <si>
    <t>Geeson, Johanna J.; Hindell, Mark A.; Hobday, Alistair J.; Speakman, Cassie N.; Arnould, John P. Y.</t>
  </si>
  <si>
    <t>Long-term decline in body condition of female Australian fur seals: potential causes and implications</t>
  </si>
  <si>
    <t>Australian fur seal; Arctocephalus; pinniped; otariid; body condition; Bass Strait; marine predator; climate variability</t>
  </si>
  <si>
    <t>ARCTOCEPHALUS-PUSILLUS; CLIMATE-CHANGE; CALLORHINUS-URSINUS; MATERNAL-ATTENDANCE; BEHAVIORAL ECOLOGY; CONDITION INDEXES; MILK CONSUMPTION; OFFSPRING SIZE; MARINE MAMMALS; PUP PRODUCTION</t>
  </si>
  <si>
    <t>The Australian fur seal (Arctocephalus pusillus doriferus, AUFS) population is still recovering from the over-exploitation of the commercial-sealing era (18th and 19th centuries). While the population is considered to be only &lt; 47% of its pre-harvest size, it now represents the greatest resident marine predator biomass in the south-eastern Australian marine ecosystem. The region is experiencing rapid environmental change and, as a keystone predator species, the AUFS is an indicator of ecosystem health. In the present study, the body mass, standard length and body condition index (BCI) were analysed between 1997-2021 in adult female AUFS provisioning pups on Kanowna Island (northern Bass Strait), the third largest colony for the species. While substantial inter-annual fluctuations were observed, there was no temporal trend in standard length during the 23-year study period. In contrast, body mass and, consequently, BCI decreased significantly, suggesting the population is experiencing changing nutritional conditions. While these changes do not appear to be due to competition with commercial fisheries or population expansion, weak but significant negative relationships were observed between BCI and 1-year lagged sea surface temperature and summer zonal winds in the Bonney Upwelling region, and both current- and 2-year lagged Indian Ocean Dipole (IOD). These findings suggest the BCI of AUFS may continue to decline under predicted climate change conditions. While a lack of a concurrent decline in pup production could indicate a degree of nutritional tolerance or flexibility in energy allocation, further monitoring is required to assess decreases in reproductive parameters (e.g., birth mass, pre-weaning growth rates) or vital rates, which would be expected with continued nutritional stress.</t>
  </si>
  <si>
    <t>[Geeson, Johanna J.; Speakman, Cassie N.; Arnould, John P. Y.] Deakin Univ, Sch Life &amp; Environm Sci, Burwood, Vic, Australia; [Hindell, Mark A.] Univ Tasmania, Inst Marine &amp; Antarctic Studies, Hobart, Tas, Australia; [Hobday, Alistair J.] CSIRO Environm, Hobart, Tas, Australia</t>
  </si>
  <si>
    <t>Deakin University; University of Tasmania</t>
  </si>
  <si>
    <t>Geeson, JJ (corresponding author), Deakin Univ, Sch Life &amp; Environm Sci, Burwood, Vic, Australia.</t>
  </si>
  <si>
    <t>geesonh@deakin.edu.au</t>
  </si>
  <si>
    <t>Financial support was provided by research grants from the Australian Research Council, Sea World Research and Rescue Foundation, Winifred Violet Scott Charitable Trust and Holsworth Wildlife Research Endowment.; Australian Research Council, Sea World Research and Rescue Foundation; Winifred Violet Scott Charitable Trust; Holsworth Wildlife Research Endowment</t>
  </si>
  <si>
    <t>Financial support was provided by research grants from the Australian Research Council, Sea World Research and Rescue Foundation, Winifred Violet Scott Charitable Trust and Holsworth Wildlife Research Endowment.; Australian Research Council, Sea World Research and Rescue Foundation(Australian Research Council); Winifred Violet Scott Charitable Trust; Holsworth Wildlife Research Endowment</t>
  </si>
  <si>
    <t>We thank the many staff, students and volunteers involved in the data collection over the years. The logistical support provided by Parks Victoria, Prom Adventurer Charters (Geoff Boyd) and Best Helicopters (Sean Best and Cameron Lang) is gratefully acknowledged. The assistance of Jason Hartog in extracting and providing the environmental data is much appreciated.r Financial support was provided by research grants from the Australian Research Council, Sea World Research and Rescue Foundation, Winifred Violet Scott Charitable Trust and Holsworth Wildlife Research Endowment.</t>
  </si>
  <si>
    <t>10.3389/fmars.2023.1231337</t>
  </si>
  <si>
    <t>W9SW6</t>
  </si>
  <si>
    <t>WOS:001094967100001</t>
  </si>
  <si>
    <t>Sidor, CA; Mcintosh, JA; Gee, BM; Hammer, WR; Makovicky, PJ; Smith, ND; Smith, RMH; Tabor, NJ; Whitney, MR; Woolley, CH</t>
  </si>
  <si>
    <t>Sidor, C. A.; Mcintosh, J. A.; Gee, B. M.; Hammer, W. R.; Makovicky, P. J.; Smith, N. D.; Smith, R. M. H.; Tabor, N. J.; Whitney, M. R.; Woolley, C. H.</t>
  </si>
  <si>
    <t>The Fremouw Formation of Antarctica: Updated vertebrate fossil record and reevaluation of high-latitude Permian-Triassic paleoenvironments</t>
  </si>
  <si>
    <t>Permian; Triassic; Fremouw Formation; Buckley Formation; Paleosol; Paleontology</t>
  </si>
  <si>
    <t>CENTRAL TRANSANTARCTIC MOUNTAINS; ZONE BEAUFORT GROUP; SOUTHERN SOUTH-AMERICA; LARGE IGNEOUS PROVINCE; KAROO BASIN; PANCHET FORMATION; CARBONATE ROCKS; MASS EXTINCTION; POLAR LATITUDES; GROWTH-RATES</t>
  </si>
  <si>
    <t>Permian-Triassic rocks of the Transantarctic Basin provide an unparalleled record of high latitude paleoenvironments and terrestrial vertebrate faunas. Here we summarize the taxonomic and paleoecological implications of the approximately 1300 vertebrate fossils collected since 1968, as well as report on new geologic field observations made during the 2017-18 austral field season. The Fremouw Formation records a vertebrate assemblage taxonomically most similar to that of the Karoo Basin of South Africa, with 10 genera shared in common. However, temnospondyls form a much greater percentage of tetrapod occurrences in the Fremouw Formation, suggesting favorable conditions for these ectothermic fossil amphibians at high latitudes. Lower Triassic small reptiles (viz. Procolophon, Prolacerta) occur in slightly higher proportions than in the Karoo, but their taxonomic diversity is likely undercounted. Seven stratigraphic columns of the upper Buckley and lower-middle Fremouw formations detail fluvial depositional environments in the central Transantarctic region, recording a shift from wet swamp lands to drier floodplains, most similar to Gondwanan basins in Australia. Fremouw Formation paleosols primarily consist of Protosols, which indicate poor soil forming conditions likely due to low precipitation and high sediment supply from crevasse splays. Mineralogy from X-ray diffraction, review of igneous intrusives, and Buckley Formation coal characterization demonstrate post-pedogenic diagenetic alteration that casts doubt on the results of previous stable isotopic studies of these paleosols. Tetrapod fossils first appear in the Fremouw Formation, which has been taken as evidence for immigration to the Antarctic portion of southern Pangea around the time of the end-Permian mass extinction. However, this may be due to higher soil pH, increased base saturation, lower moisture content, and more rapid burial conditions in the Fremouw than the underlying Buckley Formation that favored bone preservation.</t>
  </si>
  <si>
    <t>[Sidor, C. A.; Gee, B. M.] Univ Washington, Dept Biol &amp; Burke Museum, Seattle, WA 98195 USA; [Mcintosh, J. A.; Tabor, N. J.] Southern Methodist Univ, Roy M Huffington Dept Earth Sci, Dallas, TX 75275 USA; [Hammer, W. R.] Augustana Coll, Dept Geol, Rock Isl, IL 61201 USA; [Makovicky, P. J.] Univ Minnesota, Dept Earth &amp; Environm Sci, Minneapolis, MN 55455 USA; [Smith, N. D.; Woolley, C. H.] Nat Hist Museum Los Angeles Cty, Dinosaur Inst, Los Angeles, CA 90007 USA; [Smith, N. D.; Woolley, C. H.] Univ Southern Calif, Dept Earth Sci, Los Angeles, CA 90089 USA; [Smith, R. M. H.] Univ Witwatersrand, Evolutionary Studies Inst, Johannesburg, South Africa; [Smith, R. M. H.] Iziko South African Museum, Cape Town, South Africa; [Whitney, M. R.] Univ Loyola Chicago, Dept Biol, Chicago, IL 60660 USA; [Mcintosh, J. A.] US Geol Survey, Geol Geophys &amp; Geochem Sci Ctr, Denver, CO 80225 USA</t>
  </si>
  <si>
    <t>University of Washington; University of Washington Seattle; Southern Methodist University; University of Minnesota System; University of Minnesota Twin Cities; University of Southern California; University of Witwatersrand; United States Department of the Interior; United States Geological Survey</t>
  </si>
  <si>
    <t>Sidor, CA (corresponding author), Univ Washington, Dept Biol &amp; Burke Museum, Seattle, WA 98195 USA.</t>
  </si>
  <si>
    <t>casidor@uw.edu; jmcintosh@usgs.gov; williamhammer@augustana.edu; pmakovic@umn.edu; rsmith@iziko.org.za; nsmith@nhm.org; ntabor@smu.edu; mwhitney@luc.edu; chwoolle@usc.edu</t>
  </si>
  <si>
    <t>Smith, Roger/AAF-7947-2019</t>
  </si>
  <si>
    <t>McIntosh, Julia/0000-0003-2819-8664; Smith, Nathan/0000-0001-5554-4994; Woolley, Charles/0000-0002-4073-0089; Smith, Roger/0000-0001-6806-1983</t>
  </si>
  <si>
    <t>NSF [ANT-0838762, ANT-1146399, ANT-1341304, ANT-1947094, ANT 0838925, ANT 1246379, PLR 1341645, ANT-0838925, ANT-1246379, ANT-1341475, ANT-2040007, OPP-1341376]; African Origins Platform of the National Research Foundation of South Africa [ANT-0551163, UID 90703]; [136503]</t>
  </si>
  <si>
    <t>NSF(National Science Foundation (NSF)); African Origins Platform of the National Research Foundation of South Africa;</t>
  </si>
  <si>
    <t>Thank you to our other G-096 team members, Peter Braddock and Akiko Shinya, for their support and camaraderie during our 2017-2018 Antarctic field season. This work benefitted from discussions with Erik Gulbranson. We thank the editor Christopher Fielding and two anonymous reviewers for their thoughtful feedback that contributed to the improvement of this manuscript. Sidor has been supported by NSF ANT-0551163, ANT-0838762, ANT-1146399, ANT-1341304, ANT-1947094. Makovicky has been supported by NSF ANT 0838925, ANT 1246379, PLR 1341645. Smith, N. has been supported by NSF ANT-0838925, ANT-1246379, ANT-1341475, ANT-2040007. Smith, R. has been funded by the African Origins Platform of the National Research Foundation of South Africa UID 90703 and 136503. Tabor has been supported by NSF OPP-1341376. Logistical support in Antarctica was provided by the National Science Foundation through the U.S. Antarctic Program.</t>
  </si>
  <si>
    <t>10.1016/j.earscirev.2023.104587</t>
  </si>
  <si>
    <t>X2EL8</t>
  </si>
  <si>
    <t>WOS:001096638000001</t>
  </si>
  <si>
    <t>Ren, X; Zhang, XY; Sun, PZ; Lin, JX; Zhang, YY; Li, DM</t>
  </si>
  <si>
    <t>Ren, Xiang; Zhang, Xinyu; Sun, Peizi; Lin, Junxin; Zhang, Yuying; Li, Dongmei</t>
  </si>
  <si>
    <t>Impact of L-arginine on the quality of heat-treated Antarctic krill: Influence of pH and the guanidinium group</t>
  </si>
  <si>
    <t>FOOD RESEARCH INTERNATIONAL</t>
  </si>
  <si>
    <t>Antarctic krill ( Euphausia superba ); L-arginine; Meat quality; Myofibrillar proteins; Heat aggregation</t>
  </si>
  <si>
    <t>LOW-FIELD-NMR; PORCINE MYOSIN; L-LYSINE; ASTAXANTHIN; SOLUBILITY; PROTEINS; GELATION; STABILITY; GEL</t>
  </si>
  <si>
    <t>Antarctic krill suffers from severe water loss after heating, and its quality deteriorates, so it is in urgent need of a green and healthy improver. In this paper, the effects of L-arginine (L-Arg) soaking on the modification of the quality of heat-treated Antarctic krill and the structure of myofibrillar proteins (MPs) in Antarctic krill were investigated. The results showed that L-Arg had an ameliorating effect on heat-treated krill in a concentrationdependent relationship. The water-holding capacity of L-Arg-soaked krill was 1.41 times higher than that of sodium tripolyphosphate (STPP) at an equivalent concentration (80 mM). At 120 mM L-Arg soaked, L* and hardness of krill decreased to 58.31 and 334.81 g, while resilience and moisture content increased to 0.47 and 85.29 % after heating, respectively. The scanning electron microscopy (SEM) results revealed that the tissue state of the pH-corrected groups was better than the control, but not as well as that of the pH-uncorrected groups. pH and the guanidinium group in L-Arg both played roles in promoting the transition of MPs from disordered to ordered secondary structures. This transition reduced the exposure of hydrophobic and sulfhydryl groups in MPs, inhibited the protein aggregation and increased the solubility of MPs to 71.61 %, which ultimately improved the quality of heat-treated krill. It is worth noting that the pH effect had a primary influence on the observed effects, while the guanidinium group made a secondary contribution. These results could broaden the potential application of L-Arg as an improver of the quality of heat-treated krill.</t>
  </si>
  <si>
    <t>[Ren, Xiang; Zhang, Xinyu; Sun, Peizi; Lin, Junxin; Zhang, Yuying; Li, Dongmei] Dalian Polytech Univ, Natl Engn Res Ctr Seafood, Sch Food Sci &amp; Technol, Dalian 116034, Liaoning, Peoples R China; [Li, Dongmei] Engn Res Ctr Seafood Minist Educ China, Dalian 116034, Liaoning, Peoples R China; [Li, Dongmei] Dalian Polytech Univ, Collaborat Innovat Ctr Seafood Deep Proc, Dalian 116034, Liaoning, Peoples R China; [Zhang, Yuying; Li, Dongmei] Dalian Polytech Univ, SKL Marine Food Proc &amp; Safety Control, Dalian 116034, Peoples R China</t>
  </si>
  <si>
    <t>Dalian Polytechnic University; Dalian Polytechnic University; Dalian Polytechnic University</t>
  </si>
  <si>
    <t>Li, DM (corresponding author), Dalian Polytech Univ, Natl Engn Res Ctr Seafood, Sch Food Sci &amp; Technol, Dalian 116034, Liaoning, Peoples R China.</t>
  </si>
  <si>
    <t>426417898@qq.com</t>
  </si>
  <si>
    <t>Zhang, Yuying/JXL-5388-2024</t>
  </si>
  <si>
    <t>Zhang, Yuying/0000-0001-9420-4300</t>
  </si>
  <si>
    <t>National Natural Science Foundation of China [32372364]; National Key Research and Development Project of China [2017YFD0400504]</t>
  </si>
  <si>
    <t>National Natural Science Foundation of China(National Natural Science Foundation of China (NSFC)); National Key Research and Development Project of China</t>
  </si>
  <si>
    <t>Funding This work was supported by the National Natural Science Foundation of China (32372364) and National Key Research and Development Project of China (Grant No. 2017YFD0400504) .</t>
  </si>
  <si>
    <t>0963-9969</t>
  </si>
  <si>
    <t>1873-7145</t>
  </si>
  <si>
    <t>FOOD RES INT</t>
  </si>
  <si>
    <t>Food Res. Int.</t>
  </si>
  <si>
    <t>10.1016/j.foodres.2023.113499</t>
  </si>
  <si>
    <t>X2MQ5</t>
  </si>
  <si>
    <t>WOS:001096852600001</t>
  </si>
  <si>
    <t>Shadwick, EH; Wynn-Edwards, CA; Matear, RJ; Jansen, P; Schulz, E; Sutton, AJ</t>
  </si>
  <si>
    <t>Shadwick, Elizabeth H.; Wynn-Edwards, Cathryn A.; Matear, Richard J.; Jansen, Peter; Schulz, Eric; Sutton, Adrienne J.</t>
  </si>
  <si>
    <t>Observed amplification of the seasonal CO2 cycle at the Southern Ocean Time Series</t>
  </si>
  <si>
    <t>CO2 partial pressure (pCO(2)); Southern Ocean Time Series (SOTS); pCO(2) seasonality; air-sea CO2 flux; ocean acidification</t>
  </si>
  <si>
    <t>SEAWATER PCO(2); CARBON-DIOXIDE; INTERANNUAL VARIABILITY; ANTHROPOGENIC CARBON; MIXED-LAYER; WIND-SPEED; TRENDS; FLUX; DRIVERS; SINK</t>
  </si>
  <si>
    <t>The Subantarctic Zone, the circumpolar region of the Southern Ocean between the Subtropical and Subantarctic fronts, plays an important role in air-sea CO2 exchange, the storage of anthropogenic CO2, and the ventilation of the lower thermocline. Here we use a time series from moored platforms deployed between 2011 and 2021 as part of the Southern Ocean Time Series (SOTS) observatory to investigate the seasonality and interannual variability of upper ocean hydrography and seawater CO2 partial pressure (pCO(2)). The region is a net sink for atmospheric CO2 over the nearly 10-year record, with trends revealing that the ocean pCO(2) may be increasing slightly faster than the atmosphere, suggesting that oceanic as well as anthropogenic atmospheric forcing contributes to the decadal change, which includes a decline in pH on the order of 0.003 yr(-1). The observations also show an amplification of the seasonal cycle in pCO(2), potentially linked to changes in mixed layer depth and biological productivity.</t>
  </si>
  <si>
    <t>[Shadwick, Elizabeth H.; Wynn-Edwards, Cathryn A.; Matear, Richard J.; Jansen, Peter] Commonwealth Sci &amp; Ind Res Org CSIRO Environm, Hobart, Tas, Australia; [Shadwick, Elizabeth H.; Wynn-Edwards, Cathryn A.] Univ Tasmania, Australian Antarctic Program Partnership AAPP, Hobart, Tas, Australia; [Schulz, Eric] Bur Meteorol, Melbourne, Vic, Australia; [Sutton, Adrienne J.] Natl Ocean &amp; Atmospher Adm NOAA, Pacific Marine Environm Lab, Seattle, WA USA</t>
  </si>
  <si>
    <t>University of Tasmania; Bureau of Meteorology - Australia; National Oceanic Atmospheric Admin (NOAA) - USA</t>
  </si>
  <si>
    <t>Shadwick, EH (corresponding author), Commonwealth Sci &amp; Ind Res Org CSIRO Environm, Hobart, Tas, Australia.;Shadwick, EH (corresponding author), Univ Tasmania, Australian Antarctic Program Partnership AAPP, Hobart, Tas, Australia.</t>
  </si>
  <si>
    <t>elizabeth.shadwick@csiro.au</t>
  </si>
  <si>
    <t>Australian Government as part of the Antarctic Science Collaboration Initiative program; NOAA's Pacific Marine Environmental Laboratory</t>
  </si>
  <si>
    <t>Australian Government as part of the Antarctic Science Collaboration Initiative program(Australian Government); NOAA's Pacific Marine Environmental Laboratory(National Oceanic Atmospheric Admin (NOAA) - USA)</t>
  </si>
  <si>
    <t>The authors declare financial support was received for the research, authorship, and/or publication of this article. This project received grant funding from the Australian Government as part of the Antarctic Science Collaboration Initiative program. The moored air-sea CO2 observations are supported by NOAA's Pacific Marine Environmental Laboratory. This is PMEL contribution 5548.</t>
  </si>
  <si>
    <t>10.3389/fmars.2023.1281854</t>
  </si>
  <si>
    <t>W4IW8</t>
  </si>
  <si>
    <t>WOS:001091288000001</t>
  </si>
  <si>
    <t>Davison, BJ; Hogg, AE; Gourmelen, N; Jakob, L; Wuite, J; Nagler, T; Greene, CA; Andreasen, J; Engdahl, ME</t>
  </si>
  <si>
    <t>Davison, Benjamin J.; Hogg, Anna E.; Gourmelen, Noel; Jakob, Livia; Wuite, Jan; Nagler, Thomas; Greene, Chad A.; Andreasen, Julia; Engdahl, Marcus E.</t>
  </si>
  <si>
    <t>Annual mass budget of Antarctic ice shelves from 1997 to 2021</t>
  </si>
  <si>
    <t>AMUNDSEN SEA EMBAYMENT; BASAL MELT RATES; WEST ANTARCTICA; KOHLER GLACIERS; SOUTHERN-OCEAN; PINE ISLAND; RETREAT; LARSEN; CLIMATE; DRIVEN</t>
  </si>
  <si>
    <t>Antarctic ice shelves moderate the contribution of the Antarctic Ice Sheet to global sea level rise; however, ice shelf health remains poorly constrained. Here, we present the annual mass budget of all Antarctic ice shelves from 1997 to 2021. Out of 162 ice shelves, 71 lost mass, 29 gained mass, and 62 did not change mass significantly. Of the shelves that lost mass, 68 had statistically significant negative mass trends, 48 lost more than 30% of their initial mass, and basal melting was the dominant contributor to that mass loss at a majority (68%). At many ice shelves, mass losses due to basal melting or iceberg calving were significantly positively correlated with grounding line discharge anomalies; however, the strength and form of this relationship varied substantially between ice shelves. Our results illustrate the utility of partitioning high-resolution ice shelf mass balance observations into its components to quantify the contributors to ice shelf mass change and the response of grounded ice.</t>
  </si>
  <si>
    <t>[Davison, Benjamin J.; Hogg, Anna E.] Univ Leeds, Sch Earth &amp; Environm, Leeds, England; [Gourmelen, Noel] Univ Edinburgh, Sch Geosci, Edinburgh, Scotland; [Gourmelen, Noel; Jakob, Livia] Earthwave, Codebase, Off L2, 3 Lady Lawson St, Edinburgh, Scotland; [Wuite, Jan; Nagler, Thomas] ENVEO IT GmbH, A-6020 Innsbruck, Austria; [Greene, Chad A.] CALTECH, Jet Prop Lab, Pasadena, CA USA; [Andreasen, Julia] Univ Minnesota, Dept Soil Water &amp; Climate, St Paul, MN USA; [Engdahl, Marcus E.] ESA ESRIN, Largo Galileo Galilei 1, I-00044 Frascati, Italy</t>
  </si>
  <si>
    <t>University of Leeds; University of Edinburgh; National Aeronautics &amp; Space Administration (NASA); NASA Jet Propulsion Laboratory (JPL); California Institute of Technology; University of Minnesota System; University of Minnesota Twin Cities; European Space Agency</t>
  </si>
  <si>
    <t>Davison, BJ (corresponding author), Univ Leeds, Sch Earth &amp; Environm, Leeds, England.</t>
  </si>
  <si>
    <t>b.davison@leeds.ac.uk</t>
  </si>
  <si>
    <t>Greene, Chad/HTQ-9931-2023</t>
  </si>
  <si>
    <t>Greene, Chad/0000-0001-6710-6297; Andreasen, Julia/0000-0001-7874-020X; Davison, Ben/0000-0001-9483-2956; Wuite, Jan/0000-0001-9333-1586; Jakob, Livia/0000-0001-5289-5932</t>
  </si>
  <si>
    <t>European Space Agency (ESA); ESA; European Commission; ESA Polar Science Cluster [ESA-IPL-POE-EF-cb-LE-2019-834, 4000126813/19/I-NB]; Antarctic Ice Sheet Climate Change Initiative (CCI) [NE/T012757/1]; NERC [NE/X019071/1]; UK EO Climate Information Service [80NM0018D0004]; National Aeronautics and Space Administration; [ESA AO/1-10461/20/I-NB]</t>
  </si>
  <si>
    <t>European Space Agency (ESA)(European Space Agency); ESA(European Space Agency); European Commission(European Union (EU)European Commission Joint Research Centre); ESA Polar Science Cluster; Antarctic Ice Sheet Climate Change Initiative (CCI); NERC(UK Research &amp; Innovation (UKRI)Natural Environment Research Council (NERC)); UK EO Climate Information Service; National Aeronautics and Space Administration(National Aeronautics &amp; Space Administration (NASA));</t>
  </si>
  <si>
    <t>The authors gratefully acknowledge the European Space Agency (ESA) for the acquisition of CryoSat-2 data and the ESA and the European Commission for the acquisition and availability of Copernicus Sentinel-1 data. Funding is provided by ESA via the ESA Polar+ Ice Shelves project (ESA-IPL-POE-EF-cb-LE-2019-834) to B.J.D., A.E.H., N.G., L.J., T.N., and J.W., the SO-ICE project (ESA AO/1-10461/20/I-NB) to B.J.D., A.E.H., N.G., and L.J, which both are part of the ESA Polar Science Cluster, and the Antarctic Ice Sheet Climate Change Initiative (CCI; ESA Contract 4000126813/19/I-NB) to T.N. and J.W. Funding is provided from NERC via the DeCAdeS project (NE/T012757/1) and the UK EO Climate Information Service (NE/X019071/1) to B.J.D. and A.E.H. A portion of this research was carried out at the Jet Propulsion Laboratory, California Institute of Technology, under a contract with the National Aeronautics and Space Administration (80NM0018D0004).</t>
  </si>
  <si>
    <t>eadi0186</t>
  </si>
  <si>
    <t>10.1126/sciadv.adi0186</t>
  </si>
  <si>
    <t>U7IO0</t>
  </si>
  <si>
    <t>WOS:001086506900028</t>
  </si>
  <si>
    <t>Sadatzki, H; Opdyke, B; Menviel, L; Leventer, A; Hope, JM; Brocks, JJ; Fallon, S; Post, AL; O'Brien, PE; Grant, K; Armand, L</t>
  </si>
  <si>
    <t>Sadatzki, Henrik; Opdyke, Bradley; Menviel, Laurie; Leventer, Amy; Hope, Janet M.; Brocks, Jochen J.; Fallon, Stewart; Post, Alexandra L.; O'Brien, Philip E.; Grant, Katharine; Armand, Leanne</t>
  </si>
  <si>
    <t>Early sea ice decline off East Antarctica at the last glacial-interglacial climate transition</t>
  </si>
  <si>
    <t>HIGHLY BRANCHED ISOPRENOIDS; SOUTHWEST PACIFIC SECTOR; SOUTHERN-OCEAN SEDIMENTS; MAJOR DIATOM TAXA; ATMOSPHERIC CO2; NORTH-ATLANTIC; PART 1; TEMPERATURE; VARIABILITY; BIOMARKER</t>
  </si>
  <si>
    <t>Antarctic climate warming and atmospheric CO2 rise during the last deglaciation may be attributed in part to sea ice reduction in the Southern Ocean. Yet, glacial-interglacial Antarctic sea ice dynamics and underlying mechanisms are poorly constrained, as robust sea ice proxy evidence is sparse. Here, we present a molecular biomarker-based sea ice record that resolves the spring/summer sea ice variability off East Antarctica during the past 40 thousand years (ka). Our results indicate that substantial sea ice reduction culminated rapidly and contemporaneously with upwelling of carbon-enriched waters in the Southern Ocean at the onset of the last deglaciation but began at least similar to 2 ka earlier probably driven by an increasing local integrated summer insolation. Our findings suggest that sea ice reduction and associated feedbacks facilitated stratification breakup and out-gassing of CO2 in the Southern Ocean and warming in Antarctica but may also have played a leading role in initializing these deglacial processes in the Southern Hemisphere.</t>
  </si>
  <si>
    <t>[Sadatzki, Henrik] Helmholtz Ctr Polar &amp; Marine Res, Alfred Wegener Inst, Marine Geol Sect, D-27568 Bremerhaven, Germany; [Opdyke, Bradley; Hope, Janet M.; Brocks, Jochen J.; Fallon, Stewart; O'Brien, Philip E.; Grant, Katharine; Armand, Leanne] Australian Natl Univ, Res Sch Earth Sci, Canberra, ACT 2601, Australia; [Menviel, Laurie] Univ New South Wales, Climate Change Res Ctr, Sydney, NSW 2052, Australia; [Menviel, Laurie] Univ Tasmania, Australian Ctr Excellence Antarctic Sci, Hobart, Tas 7001, Australia; [Leventer, Amy] Colgate Univ, Dept Geol, Hamilton, NY 13346 USA; [Post, Alexandra L.] Geosci Australia, GPO Box 378, Canberra, ACT 2601, Australia; [Sadatzki, Henrik] Univ Bremen, Ctr Marine Environm Sci, MARUM, Bremen, Germany</t>
  </si>
  <si>
    <t>Helmholtz Association; Alfred Wegener Institute, Helmholtz Centre for Polar &amp; Marine Research; Australian National University; University of New South Wales Sydney; University of Tasmania; Colgate University; Geoscience Australia; University of Bremen</t>
  </si>
  <si>
    <t>Sadatzki, H (corresponding author), Helmholtz Ctr Polar &amp; Marine Res, Alfred Wegener Inst, Marine Geol Sect, D-27568 Bremerhaven, Germany.</t>
  </si>
  <si>
    <t>hsadatzki@marum.de</t>
  </si>
  <si>
    <t>Brocks, Jochen/E-3920-2012</t>
  </si>
  <si>
    <t>Australian Government's Australian Antarctic Science Grant Program (AAS) [4333]; Australian Government through the Australian Research Council [DP170100557]; Australian Research Council Special Research Initiative, Australian Centre for Excellence in Antarctic Science [SR200100008]; Australian Research Council [FT180100606]; Research Technology Services at UNSW Sydney; Alfred-Wegener-Institut Helmholtz-Zentrum fur Polar- und Meeresforschung; Australian Research Council [FT180100606] Funding Source: Australian Research Council</t>
  </si>
  <si>
    <t>Australian Government's Australian Antarctic Science Grant Program (AAS); Australian Government through the Australian Research Council(Australian Research Council); Australian Research Council Special Research Initiative, Australian Centre for Excellence in Antarctic Science(Australian Research Council); Australian Research Council(Australian Research Council); Research Technology Services at UNSW Sydney; Alfred-Wegener-Institut Helmholtz-Zentrum fur Polar- und Meeresforschung; Australian Research Council(Australian Research Council)</t>
  </si>
  <si>
    <t>This project is supported through funding from the Australian Government's Australian Antarctic Science Grant Program (AAS #4333). This research was funded by the Australian Government through the Australian Research Council (DP170100557). This research was supported by the Australian Research Council Special Research Initiative, Australian Centre for Excellence in Antarctic Science (Project Number SR200100008). L.M. acknowledges funding from the Australian Research Council FT180100606. The LOVECLIM experiment was performed on the UNSW HPC cluster Katana supported by Research Technology Services at UNSW Sydney. We acknowledge support by the Open Access Publication Funds of Alfred-Wegener-Institut Helmholtz-Zentrum fur Polar- und Meeresforschung.</t>
  </si>
  <si>
    <t>eadh9513</t>
  </si>
  <si>
    <t>10.1126/sciadv.adh9513</t>
  </si>
  <si>
    <t>WOS:001086506900021</t>
  </si>
  <si>
    <t>Turner, D; Cimoli, E; Lucieer, A; Haynes, RS; Randall, K; Waterman, MJ; Lucieer, V; Robinson, SA</t>
  </si>
  <si>
    <t>Turner, Darren; Cimoli, Emiliano; Lucieer, Arko; Haynes, Ryan S.; Randall, Krystal; Waterman, Melinda J.; Lucieer, Vanessa; Robinson, Sharon A.</t>
  </si>
  <si>
    <t>Mapping water content in drying Antarctic moss communities using UAS-borne SWIR imaging spectroscopy</t>
  </si>
  <si>
    <t>REMOTE SENSING IN ECOLOGY AND CONSERVATION</t>
  </si>
  <si>
    <t>Drones; hyperspectral; polar; remote sensing; UAS; vegetation</t>
  </si>
  <si>
    <t>RANDOM FOREST CLASSIFICATION; STRESS; VEGETATION; TEMPERATURE; ISLANDS; IMAGERY; HEALTH</t>
  </si>
  <si>
    <t>Antarctic moss beds are sensitive to climatic conditions, and both their survival and community composition are particularly influenced by the availability of liquid water over summer. As Antarctic regions increasingly face climate pressures (e.g., changing hydrology and heat waves), advancing capabilities to efficiently and non-destructively monitor water content in moss communities becomes a key research priority. Because of the complexity induced by multiple micro-climatic drivers and its fragility, tracking the evolution and responses of moss bed moisture requires monitoring methods that are non-intrusive, efficient, and spatially significant, such as the use of unoccupied aerial systems (UAS). In this study, we combine a multi-species drying laboratory experiment with short-wave infrared (SWIR) spectroscopy analyses to first develop a Random Forest regression Model (RFM) capable of predicting Antarctic moss turf water content (similar to 5% error). The RFM was then applied to UAS-borne SWIR imaging data (900-1700 nm, &lt;16 nm spectral resolution) of the moss beds at high spatial resolution (2 cm) across three sites in the vicinity of Casey Station, Antarctica. The sites differed in terrain, snow cover, and moisture availability to evaluate method capabilities under different conditions. Optimum RFM parameters and input variables (spectral indices and reflectance spectra) were determined. Maps of moss moisture were validated via acquiring moss spectra and water content (using sponges inserted into the moss turf) collected in situ, for which an exponential correlation (R-2 = 0.72) was reported. RFM further allowed investigation of the influential spectral variables to model water content in moss and associated spectral water absorption features. We demonstrated that UAS-borne SWIR imaging is a promising new tool to map and quantify water content in Antarctic moss beds. Hyperspectral mapping facilitates the exploration of the spatial variability of moss health and enables the creation of a baseline against which changes in these moss communities can be measured.</t>
  </si>
  <si>
    <t>[Turner, Darren; Cimoli, Emiliano; Lucieer, Arko; Haynes, Ryan S.] Univ Tasmania, Coll Sci &amp; Engn, Sch Geog Planning &amp; Spatial Sci, Private Bag 78, Hobart, Tas 7001, Australia; [Cimoli, Emiliano; Lucieer, Vanessa] Univ Tasmania, Inst Marine &amp; Antarctic Studies, Coll Sci &amp; Engn, Hobart, Tas, Australia; [Randall, Krystal; Waterman, Melinda J.; Robinson, Sharon A.] Univ Wollongong, Securing Antarcticas Environm Future, Wollongong, NSW 2522, Australia; [Randall, Krystal; Waterman, Melinda J.; Robinson, Sharon A.] Univ Wollongong, Ctr Sustainable Ecosyst Solut, Sch Earth Atmospher &amp; Life Sci, Wollongong, NSW 2522, Australia</t>
  </si>
  <si>
    <t>University of Tasmania; University of Tasmania; University of Wollongong; University of Wollongong</t>
  </si>
  <si>
    <t>Turner, D (corresponding author), Univ Tasmania, Coll Sci &amp; Engn, Sch Geog Planning &amp; Spatial Sci, Private Bag 78, Hobart, Tas 7001, Australia.</t>
  </si>
  <si>
    <t>darren.turner@utas.edu.au</t>
  </si>
  <si>
    <t>lucieer, vanessa l/D-1697-2009; Cimoli, Emiliano/H-1862-2018; Randall, Krystal L./KHY-2384-2024; Lucieer, Arko/F-1247-2013; Turner, Darren/O-4839-2017</t>
  </si>
  <si>
    <t>Cimoli, Emiliano/0000-0001-7964-2716; Randall, Krystal L./0000-0003-2507-1000; Lucieer, Arko/0000-0002-9468-4516; Turner, Darren/0000-0002-3029-6717; Waterman, Melinda/0000-0001-5907-4512</t>
  </si>
  <si>
    <t>Australian Antarctic Science Grant [4516]; Australian Research Council [DP200100223, SRIEAS SR200100005]; Australian Antarctic Division [SR140300001]; Australian Research Council's Special Research Initiative for Antarctic Gateway Partnership; Wiley - University of Tasmania agreement via the Council of Australian University Librarians; Australian Research Council [DP200100223] Funding Source: Australian Research Council</t>
  </si>
  <si>
    <t>Australian Antarctic Science Grant; Australian Research Council(Australian Research Council); Australian Antarctic Division; Australian Research Council's Special Research Initiative for Antarctic Gateway Partnership(Australian Research Council); Wiley - University of Tasmania agreement via the Council of Australian University Librarians; Australian Research Council(Australian Research Council)</t>
  </si>
  <si>
    <t>This work was supported by the Australian Antarctic Science Grant 4516 (MJW, SAR, AL, DT) and Australian Research Council Grants DP200100223 (AL, SAR) and SRIEAS SR200100005 Securing Antarctica's Environmental Future (SAR). Logistic support to visit Casey Station was provided by the Australian Antarctic Division. The Specim FX17 camera used in this study was provided through co-investment from the Australian Research Council's Special Research Initiative for Antarctic Gateway Partnership (Project ID SR140300001). Open access publishing facilitated by University of Tasmania, as part of the Wiley - University of Tasmania agreement via the Council of Australian University Librarians.</t>
  </si>
  <si>
    <t>2056-3485</t>
  </si>
  <si>
    <t>REMOTE SENS ECOL CON</t>
  </si>
  <si>
    <t>Remote Sens. Ecol. Conserv.</t>
  </si>
  <si>
    <t>2023 OCT 13</t>
  </si>
  <si>
    <t>10.1002/rse2.371</t>
  </si>
  <si>
    <t>Ecology; Remote Sensing</t>
  </si>
  <si>
    <t>Environmental Sciences &amp; Ecology; Remote Sensing</t>
  </si>
  <si>
    <t>U3XM5</t>
  </si>
  <si>
    <t>WOS:001084159000001</t>
  </si>
  <si>
    <t>Daskalopoulou, V; Raptis, PI; Tsekeri, A; Amiridis, V; Kazadzis, S; Ulanowski, Z; Charmandaris, V; Tassis, K; Martin, W</t>
  </si>
  <si>
    <t>Daskalopoulou, Vasiliki; Raptis, Panagiotis I.; Tsekeri, Alexandra; Amiridis, Vassilis; Kazadzis, Stelios; Ulanowski, Zbigniew; Charmandaris, Vassilis; Tassis, Konstantinos; Martin, William</t>
  </si>
  <si>
    <t>Linear polarization signatures of atmospheric dust with the SolPol direct-sun polarimeter</t>
  </si>
  <si>
    <t>LIGHT-SCATTERING; SAHARAN DUST; MINERAL DUST; LIDAR; MODEL; VARIABILITY; SENSITIVITY; ABSORPTION; PATTERNS</t>
  </si>
  <si>
    <t>Dust particles in lofted atmospheric layers may present a preferential orientation, which could be detected from the resulting dichroic extinction of the transmitted sunlight. The first indications were provided relatively recently on atmospheric dust layers using passive polarimetry, when astronomical starlight observations of known polarization were found to exhibit an excess in linear polarization, during desert dust events that reached the observational site. We revisit the previous observational methodology by targeting dichroic extinction of transmitted sunlight through extensive atmospheric dust layers utilizing a direct-sun polarimeter, which is capable to continuously monitor the polarization of elevated aerosol layers. In this study, we present the unique observations from the Solar Polarimeter (SolPol) for different periods within 2 years, when the instrument was installed in the remote monitoring station of PANGEA - the PANhellenic GEophysical observatory of Antikythera - in Greece. SolPol records polarization, providing all four Stokes parameters, at a default wavelength band centred at 550 nm with a detection limit of 10-7.We, overall, report on detected increasing trends of linear polarization, reaching up to 700 parts per million, when the instrument is targeting away from its zenith and direct sunlight propagates through dust concentrations over the observatory. This distinct behaviour is absent on measurements we acquire on days with lack of dust particle concentrations and in general of low aerosol content. Moreover, we investigate the dependence of the degree of linear polarization on the layers' optical depth under various dust loads and solar zenith angles and attempt to interpret these observations as an indication of dust particles being preferentially aligned in the Earth's atmosphere.</t>
  </si>
  <si>
    <t>[Daskalopoulou, Vasiliki; Charmandaris, Vassilis; Tassis, Konstantinos] Univ Crete, Dept Phys, Iraklion 71003, Greece; [Daskalopoulou, Vasiliki; Tsekeri, Alexandra; Amiridis, Vassilis] Natl Observ Athens, Inst Astron Astrophys Space Applicat &amp; Remote Sens, Athens 15236, Greece; [Raptis, Panagiotis I.] Natl Observ Athens, Inst Environm Res &amp; Sustainable Dev, Athens 15236, Greece; [Kazadzis, Stelios] World Radiat Ctr, Phys Meteorol Observ Davos, CH-7260 Davos, Switzerland; [Ulanowski, Zbigniew] Univ Manchester, Dept Earth &amp; Environm Sci, Manchester M13 9PL, England; [Ulanowski, Zbigniew] NERC, British Antarctic Survey, Cambridge CB3 0ET, England; [Charmandaris, Vassilis; Tassis, Konstantinos] Fdn Res &amp; Technol Hellas, Inst Astrophys, Iraklion 70013, Greece; [Charmandaris, Vassilis] European Univ Cyprus, Diogenes St Engomi, CY-1516 Nicosia, Cyprus; [Martin, William] Univ Hertfordshire, Ctr Atmospher &amp; Climate Phys Res, Hatfield AL10 9AB, England</t>
  </si>
  <si>
    <t>University of Crete; National Observatory of Athens; National Observatory of Athens; University of Manchester; UK Research &amp; Innovation (UKRI); Natural Environment Research Council (NERC); NERC British Antarctic Survey; Foundation for Research &amp; Technology - Hellas (FORTH); European University Cyprus; University of Hertfordshire</t>
  </si>
  <si>
    <t>Daskalopoulou, V (corresponding author), Univ Crete, Dept Phys, Iraklion 71003, Greece.;Daskalopoulou, V (corresponding author), Natl Observ Athens, Inst Astron Astrophys Space Applicat &amp; Remote Sens, Athens 15236, Greece.</t>
  </si>
  <si>
    <t>vdaskalop@noa.gr</t>
  </si>
  <si>
    <t>Tsekeri, Alexandra/L-5503-2013; Daskalopoulou, Vasiliki/P-4415-2017; Tassis, Konstantinos/AFQ-8021-2022; Charmandaris, Vassilis/A-7196-2008</t>
  </si>
  <si>
    <t>Tsekeri, Alexandra/0000-0002-3745-225X; Daskalopoulou, Vasiliki/0000-0001-6774-5240; Tassis, Konstantinos/0000-0002-8831-2038; Raptis, Panagiotis Ioannis/0000-0002-4221-992X; Charmandaris, Vassilis/0000-0002-2688-1956; Kazadzis, Stelios/0000-0003-1031-0216</t>
  </si>
  <si>
    <t>State Scholarships Foundation [CA2119]; COST Action HARMONIA (International network for harmonization of atmospheric aerosol retrievals from ground-based photometers); COST (European Cooperation in Science and Technology) [MIS 5021516]; PANhellenic infrastructure for Atmospheric Composition and climatE change; European Union (European Regional Development Fund)</t>
  </si>
  <si>
    <t>State Scholarships Foundation; COST Action HARMONIA (International network for harmonization of atmospheric aerosol retrievals from ground-based photometers); COST (European Cooperation in Science and Technology)(European Cooperation in Science and Technology (COST)); PANhellenic infrastructure for Atmospheric Composition and climatE change; European Union (European Regional Development Fund)(European Union (EU))</t>
  </si>
  <si>
    <t>The publication is based upon work of COST Action HARMONIA (International network for harmonization of atmospheric aerosol retrievals from ground-based photometers), CA2119, supported by COST (European Cooperation in Science and Technology). The research was supported by data and services obtained from the PANhellenic GEophysical observatory of Antikythera (PANGEA) of NOA. The authors would like to acknowledge support of this work by the project PANhellenic infrastructure for Atmospheric Composition and climatE change (MIS 5021516), which is implemented under the action Reinforcement of the Research and Innovation Infrastructure, funded by the operational programme Competitiveness, Entrepreneurship and Innovation (NSRF 2014-2020) and co-financed by Greece and the European Union (European Regional Development Fund). We are grateful to EARLINET (https://www.earlinet.org/, last access: 16 December 2022) and ACTRIS (https://www.actris.eu, last access: 16 December 2022) for the data collection, calibration, processing, and dissemination. Vasiliki Daskalopoulou would like to thank all the NOA-ReACT members for their help and support during the data retrieval process.</t>
  </si>
  <si>
    <t>OCT 12</t>
  </si>
  <si>
    <t>10.5194/amt-16-4529-2023</t>
  </si>
  <si>
    <t>HT5U3</t>
  </si>
  <si>
    <t>WOS:001161779800001</t>
  </si>
  <si>
    <t>Southern Ocean Observing System symposium 2023: the Southern Ocean in a changing world</t>
  </si>
  <si>
    <t>[Hodgson-Johnston, Indi] Univ Tasmania, Australian Ctr Excellence Antarctic Sci, Hobart, Australia; [Hodgson-Johnston, Indi] Univ Tasmania, Inst Marine &amp; Antarctic Studies, Hobart, Australia</t>
  </si>
  <si>
    <t>Hodgson-Johnston, I (corresponding author), Univ Tasmania, Australian Ctr Excellence Antarctic Sci, Hobart, Australia.;Hodgson-Johnston, I (corresponding author), Univ Tasmania, Inst Marine &amp; Antarctic Studies, Hobart, Australia.</t>
  </si>
  <si>
    <t>indiah.hodgsonjohnston@utas.edu.au</t>
  </si>
  <si>
    <t>10.1080/2154896X.2023.2263999</t>
  </si>
  <si>
    <t>WOS:001098846700001</t>
  </si>
  <si>
    <t>Herrera-Ossandón, M; Easton, G; Antinao, JL; Forman, SL</t>
  </si>
  <si>
    <t>Herrera-Ossandon, Mariajose; Easton, Gabriel; Antinao, Jose Luis; Forman, Steven L.</t>
  </si>
  <si>
    <t>Late Quaternary glacier advances in the Andes of Santiago, central Chile, and paleoclimatic implications</t>
  </si>
  <si>
    <t>FRONTIERS IN EARTH SCIENCE</t>
  </si>
  <si>
    <t>late Quaternary glaciation; Antarctic Cold Reversal; Younger Dryas; glacial geomorphology; paleoclimate; Andes; central Chile</t>
  </si>
  <si>
    <t>RIO MENDOZA VALLEY; EQUILIBRIUM-LINE ALTITUDES; TORRES DEL PAINE; RADIOCARBON CHRONOLOGY; SOUTHERN WESTERLIES; PATAGONIA; CLIMATE; FLUCTUATIONS; PRECIPITATION; GLACIATION</t>
  </si>
  <si>
    <t>Andean mountain glaciers in central Chile are in a transitional zone between the seasonal influence of the mid-latitude westerlies and subtropical semiarid conditions to the north. Long-term glacial dynamics for these glaciers and their relationship with the paleoclimate during the late Quaternary are poorly known despite their relevancy. We estimate here the timing and extent of late Pleistocene-early Holocene glaciers in the Andes of Santiago (33 degrees 50 ' S) from geomorphological and geochronological analyses. Our observations evidence that a glacial stage occurred before the Last Glacial Maximum (ELGM) at the San Gabriel drift (1,300 m a.s.l.), dated as similar to 46-36 ka. Glacial stages during the latest Pleistocene-early Holocene transition period, partially concomitant with the Antarctic Cold Reversal (ACR) and with the Younger Dryas (YD) chronozones, were identified and dated at La Engorda drift (2,450-2,570 m a.s.l.) at similar to 15-10 ka. We propose that the San Gabriel drift represents a prolonged glacial advance driven by increased precipitation and cold conditions off central Chile during glacial times. In La Engorda drift, late glacial advances occurred associated with increased regional precipitation, in the context of a transition from humid to arid climate in central Chile, concomitantly with a general warming trend of sea surface temperatures offshore in the southeastern Pacific and with reduced austral summer insolation. The results support the sensitivity of the Andean mountain glaciers to precipitation and paleoclimate conditions, most possibly associated with periods of increased northward influence of the mid-latitude westerlies during glacial and late glacial times, in addition to the El Nino/Southern Oscillation (ENSO) impact since the mid-Holocene, driving late Quaternary glacier advances in central Chile. We estimate a maximum variation of similar to 1,200 m in the position of the late Quaternary Equilibrium Line Altitude (ELA), inferred at similar to 3,400 m and similar to 3,600 m a.s.l. at the time of the San Gabriel and La Engorda drifts, respectively, with respect to its modern location close to 4,600 m a.s.l.</t>
  </si>
  <si>
    <t>[Herrera-Ossandon, Mariajose; Easton, Gabriel] Univ Chile, Fac Ciencias Fis &amp; Matemat, Dept Geol, Santiago, Chile; [Herrera-Ossandon, Mariajose] Univ Concepcion, Dept Geog, Concepcion, Chile; [Antinao, Jose Luis] Desert Res Inst, Reno, NV USA; [Forman, Steven L.] Baylor Univ, Inst Archaeol, Dept Geosci, Geoluminescence Dating Res Lab, Waco, TX USA; [Antinao, Jose Luis] Indiana Univ, Indiana Geol &amp; Water Survey, Bloomington, IN USA</t>
  </si>
  <si>
    <t>Universidad de Chile; Universidad de Concepcion; Nevada System of Higher Education (NSHE); Desert Research Institute NSHE; Baylor University; Indiana University System; Indiana University Bloomington</t>
  </si>
  <si>
    <t>Herrera-Ossandón, M; Easton, G (corresponding author), Univ Chile, Fac Ciencias Fis &amp; Matemat, Dept Geol, Santiago, Chile.;Herrera-Ossandón, M (corresponding author), Univ Concepcion, Dept Geog, Concepcion, Chile.</t>
  </si>
  <si>
    <t>geaston@uchile.cl; maherrera@udec.cl</t>
  </si>
  <si>
    <t>Antinao, Jose Luis/0000-0003-2826-8917</t>
  </si>
  <si>
    <t>This work was supported by the Department of Geology and CEGA (Andean Geothermal Centre), University of Chile, and by the Chilean Science Council (ANID) through the Program Anillo (ACT210080). The first author has benefited from a PhD grant from CEGA and,; Department of Geology and CEGA (Andean Geothermal Centre), University of Chile [ACT210080]; Chilean Science Council (ANID) through the Program Anillo [ACT210080]; Anillo</t>
  </si>
  <si>
    <t>This work was supported by the Department of Geology and CEGA (Andean Geothermal Centre), University of Chile, and by the Chilean Science Council (ANID) through the Program Anillo (ACT210080). The first author has benefited from a PhD grant from CEGA and,; Department of Geology and CEGA (Andean Geothermal Centre), University of Chile; Chilean Science Council (ANID) through the Program Anillo; Anillo(Comision Nacional de Investigacion Cientifica y Tecnologica (CONICYT)CONICYT PIA/ANILLOS)</t>
  </si>
  <si>
    <t>This work was supported by the Department of Geology and CEGA (Andean Geothermal Centre), University of Chile, and by the Chilean Science Council (ANID) through the Program Anillo (ACT210080). The first author has benefited from a PhD grant from CEGA and, presently, from a postdoctoral grant from the Anillo ACT210080.r This work was supported by the Department of Geology and CEGA (Andean Geothermal Centre), University of Chile, and by the Chilean Science Council (ANID) through the Program Anillo (ACT210080). The first author has benefited from a PhD grant from CEGA and, presently, from a postdoctoral grant from the Anillo ACT210080.</t>
  </si>
  <si>
    <t>2296-6463</t>
  </si>
  <si>
    <t>FRONT EARTH SC-SWITZ</t>
  </si>
  <si>
    <t>Front. Earth Sci.</t>
  </si>
  <si>
    <t>10.3389/feart.2023.1192812</t>
  </si>
  <si>
    <t>U8TX8</t>
  </si>
  <si>
    <t>WOS:001087482300001</t>
  </si>
  <si>
    <t>[Anonymous]</t>
  </si>
  <si>
    <t>Subglacial landscape in the Antarctic interior consistent with past fast ice flow</t>
  </si>
  <si>
    <t>Swath radar maps of the subglacial landscape reveal how Antarctica's geologic history has influenced the evolution of the ice sheet. The findings indicate the role of past interior ice streams in shaping ice-sheet growth and flow from Hercules Dome.</t>
  </si>
  <si>
    <t>10.1038/s41561-023-01267-3</t>
  </si>
  <si>
    <t>WOS:001087204800002</t>
  </si>
  <si>
    <t>Hoffman, AO; Holschuh, N; Mueller, M; Paden, J; Muto, A; Ariho, G; Brigham, C; Christian, JE; Davidge, L; Heitmann, E; Hills, B; Horlings, A; Morey, S; O'Connor, G; Fudge, TJ; Steig, EJ; Christianson, K</t>
  </si>
  <si>
    <t>Hoffman, Andrew O.; Holschuh, Nicholas; Mueller, Megan; Paden, John; Muto, Atsuhiro; Ariho, Gordon; Brigham, Cassandra; Christian, John Erich; Davidge, Lindsey; Heitmann, Emma; Hills, Benjamin; Horlings, Annika; Morey, Susannah; O'Connor, Gemma; Fudge, T. J.; Steig, Eric J.; Christianson, Knut</t>
  </si>
  <si>
    <t>Scars of tectonism promote ice-sheet nucleation from Hercules Dome into West Antarctica</t>
  </si>
  <si>
    <t>ROSS SEA; SUBGLACIAL BATHYMETRY; DISTRIBUTION BENEATH; MOUNTAINS; COLLAPSE; EAST; STREAM; AEROGRAVITY; MAGMATISM; STABILITY</t>
  </si>
  <si>
    <t>Geology and bed topography influence how ice sheets respond to climate change. Despite the West Antarctic Ice Sheet's capacity to retreat and advance quickly over its over-deepened interior, little is known about the subglacial landscape of the East Antarctic elevated interior that probably seeded West Antarctic ice streams and glaciers. At Hercules Dome, we use three-dimensional swath radar technology to image the upstream origin of large subglacial basins that drain ice from the Antarctic interior into West Antarctic ice streams. Radar imaging reveals an ancient, alpine landscape with hanging tributary valleys and large U-shaped valleys. On the valley floors, we image subglacial landforms that are typically associated with temperate basal conditions and fast ice flow. Formation mechanisms for these subglacial landforms are fundamentally inconsistent with the currently slowly flowing ice. Regional aerogravity shows that these valleys feed into larger subglacial basins that host thick sediment columns. Past tectonism probably created these basins and promoted ice flow from Hercules Dome into the Ross and Filchner-Ronne sectors. This suggests that the landscape at Hercules Dome was shaped by fast-flowing ice in the past when the area may have served as or been proximal to a nucleation centre for the West Antarctic Ice Sheet.</t>
  </si>
  <si>
    <t>[Hoffman, Andrew O.] Columbia Univ, Lamont Doherty Earth Observ, New York, NY 10027 USA; [Holschuh, Nicholas] Amherst Coll, Dept Geol, Amherst, MA USA; [Mueller, Megan] Univ Texas Austin, Jackson Sch Geosci, Austin, TX USA; [Paden, John; Ariho, Gordon] Univ Kansas, Ctr Remote Sensing &amp; Integrated Syst CReSIS, Lawrence, KS USA; [Muto, Atsuhiro] Temple Univ, Dept Earth &amp; Environm Sci, Philadelphia, PA USA; [Brigham, Cassandra; Davidge, Lindsey; Heitmann, Emma; Hills, Benjamin; Horlings, Annika; Morey, Susannah; O'Connor, Gemma; Fudge, T. J.; Steig, Eric J.; Christianson, Knut] Univ Washington, Dept Earth &amp; Space Sci, Seattle, WA USA; [Christian, John Erich] Georgia Inst Technol, Sch Earth &amp; Atmospher Sci, Atlanta, GA USA; [Christian, John Erich] Univ Texas Austin, Inst Geophys, Austin, TX USA</t>
  </si>
  <si>
    <t>Columbia University; Amherst College; University of Texas System; University of Texas Austin; University of Kansas; Pennsylvania Commonwealth System of Higher Education (PCSHE); Temple University; University of Washington; University of Washington Seattle; University System of Georgia; Georgia Institute of Technology; University of Texas System; University of Texas Austin</t>
  </si>
  <si>
    <t>Hoffman, AO (corresponding author), Columbia Univ, Lamont Doherty Earth Observ, New York, NY 10027 USA.</t>
  </si>
  <si>
    <t>aoh2111@columbia.edu</t>
  </si>
  <si>
    <t>Christian, John Erich/0000-0002-7290-1137; Holschuh, Nicholas/0000-0003-1703-5085; Mueller, Megan/0000-0003-2312-3727; Muto, Atsuhiro/0000-0002-1722-2457; Hoffman, Andrew/0000-0003-1236-5704</t>
  </si>
  <si>
    <t>We thank the New York Air National Guard, who supported the field deployment and in doing so landed the first LC-130 (Hercules) aircraft at Hercules Dome-the dome's namesake. We also thank Kenn Borek Air and the US Antarctic Support Contract for logistical [LC-130]; Kenn Borek Air</t>
  </si>
  <si>
    <t>We thank the New York Air National Guard, who supported the field deployment and in doing so landed the first LC-130 (Hercules) aircraft at Hercules Dome-the dome's namesake. We also thank Kenn Borek Air and the US Antarctic Support Contract for logistical; Kenn Borek Air</t>
  </si>
  <si>
    <t>We thank the New York Air National Guard, who supported the field deployment and in doing so landed the first LC-130 (Hercules) aircraft at Hercules Dome-the dome's namesake. We also thank Kenn Borek Air and the US Antarctic Support Contract for logistical support. Special thanks to J. Cunningham, J. Blum, S. Wilson and V. Cicola, who supported the put-in and helped build the skiway that enabled the field season that contributed data presented in this study. This work is dedicated in memory of Bija Sass, who made this Antarctic field project and so many others possible.</t>
  </si>
  <si>
    <t>10.1038/s41561-023-01265-5</t>
  </si>
  <si>
    <t>WOS:001087204800005</t>
  </si>
  <si>
    <t>Barnes, TC; Johnson, DD</t>
  </si>
  <si>
    <t>Barnes, Thomas C.; Johnson, Daniel D.</t>
  </si>
  <si>
    <t>Characteristics of east Australian demersal trawl elasmobranch bycatch as revealed by short-term latitudinal monitoring</t>
  </si>
  <si>
    <t>Commercial fisheries monitoring; Conservation; Penaeid trawling; Benthic; Multivariate modelling; Endemic; Biodiversity; CPUE; Stratification</t>
  </si>
  <si>
    <t>SHARKS; RAYS; FISHERY; SURVIVAL; MARINE; SUSTAINABILITY; QUEENSLAND; DIVERSITY; DISCARDS; ENDEMISM</t>
  </si>
  <si>
    <t>Elasmobranchs are being depleted on a global scale, caused mainly by fisheries. Demersal trawling is a component of mortality but is often not assessed. This could pose risk to benthic/demersal elasmobranchs which are often endemic and therefore vulnerable to fisheries when species ranges are within (or mainly within) trawl footprints. Northern New South Wales (NSW) is an area with endemism but also an area with fisheries such as the ocean prawn trawl (OPT) (penaeid sector). The OPT may interact with elasmobranchs, but this has never been comprehensively studied. To identify high assessment-priority species, determine spatiotemporal stratification for designing future monitoring, and to report catch rates of individuals caught during a trip (i.e. form baseline), we implemented an observer programme (2017 to 2019). To test for stratification of assemblages, we used model-based multivariate analysis. On 435 trawl trips, observers identified elasmobranchs from similar to 54 species, 13 orders and 34 families from variable catches. Only 2 elasmobranchs were protected in NSW, similar to 7% qualified for conservation listing, and similar to 33 and similar to 17% were endemic and lifeboat (listed elsewhere) species, respectively. Models suggested common elasmobranch assemblages were significantly affected by all strata (geographic zone, season and depth). Elasmobranch catch rates were low compared to other taxonomic groups (e.g. teleost fish), with 2 species captured at &gt;10, 5 species at &gt;2, and the remaining species &lt;2 individuals per trip. The occurrence of endemism and spatiotemporal assemblage variation was explained by mesoscale climate transitions and oceanography. This study forms a timely baseline which can be used to assess the impact of the OPT on elasmobranchs in the future.</t>
  </si>
  <si>
    <t>[Barnes, Thomas C.; Johnson, Daniel D.] NSW Dept Primary Industries, Port Stephens Fisheries Inst, Locked Bag 1, Nelson Bay, NSW 2315, Australia; [Barnes, Thomas C.] Univ Tasmania, Inst Marine &amp; Antarctic Studies, Hobart, Tas 7001, Australia; [Barnes, Thomas C.] Natl Inst Water &amp; Atmospher Res, 301 Evans Bay Parade, Wellington 6021, New Zealand</t>
  </si>
  <si>
    <t>NSW Department of Primary Industries; University of Tasmania; National Institute of Water &amp; Atmospheric Research (NIWA) - New Zealand</t>
  </si>
  <si>
    <t>Barnes, TC (corresponding author), NSW Dept Primary Industries, Port Stephens Fisheries Inst, Locked Bag 1, Nelson Bay, NSW 2315, Australia.;Barnes, TC (corresponding author), Univ Tasmania, Inst Marine &amp; Antarctic Studies, Hobart, Tas 7001, Australia.;Barnes, TC (corresponding author), Natl Inst Water &amp; Atmospher Res, 301 Evans Bay Parade, Wellington 6021, New Zealand.</t>
  </si>
  <si>
    <t>thomas.barnes@utas.edu.au</t>
  </si>
  <si>
    <t>New South Wales Commercial Fishing Trust [581-1]; Marine Estate Management Strategy (Initiative 5.5)</t>
  </si>
  <si>
    <t>New South Wales Commercial Fishing Trust; Marine Estate Management Strategy (Initiative 5.5)</t>
  </si>
  <si>
    <t>Funding for this work was provided by the New South Wales Commercial Fishing Trust (Trust Fund Project no. 581-1) and the Marine Estate Management Strategy (Initiative 5.5). Field sampling was carried out under permit P01/0059(A)-2.0 and Animal Research Authority NSW DPI 07/03. This critical research could not have succeeded without the scientific observers who provided invaluable expertise and commitment. Dr. Alistair Becker and anonymous reviewers are thanked for their reviews. We appreciate the vessel owners, skippers and crews who voluntarily hosted observers during fishing trips.</t>
  </si>
  <si>
    <t>10.3354/esr01272</t>
  </si>
  <si>
    <t>T7OO3</t>
  </si>
  <si>
    <t>WOS:001079841400003</t>
  </si>
  <si>
    <t>Schillaci, A; Ade, PAR; Ahmed, Z; Amiri, M; Barkats, D; Thakur, RB; Bischoff, CA; Beck, D; Bock, JJ; Buza, V; Cheshire, J; Connors, J; Cornelison, J; Crumrine, M; Cukierman, A; Denison, E; Dierickx, M; Duband, L; Eiben, M; Fatigoni, S; Filippini, JP; Giannakopoulos, C; Goeckner-Wald, N; Goldfinger, D; Grayson, JA; Grimes, P; Hall, G; Halal, G; Halpern, M; Hand, E; Harrison, S; Henderson, S; Hildebrandt, SR; Hilton, GC; Hubmayr, J; Hui, H; Irwin, KD; Kang, J; Karkare, KS; Kefeli, S; Kovac, JM; Kuo, CL; Lau, K; Leitch, EM; Lennox, A; Megerian, KG; Miller, OY; Minutolo, L; Moncelsi, L; Nakato, Y; Namikawa, T; Nguyen, HT; O'Brient, R; Palladino, S; Petroff, M; Precup, N; Prouve, T; Pryke, C; Racine, B; Reintsema, CD; Schmitt, BL; Singari, B; Soliman, A; Germaine, TS; Steinbach, B; Sudiwala, RV; Thompson, KL; Tucker, C; Turner, AD; Umiltà, C; Verges, C; Vieregg, AG; Wandui, A; Weber, AC; Wiebe, DV; Willmert, J; Wu, WLK; Yang, E; Yoon, KW; Young, E; Yu, C; Zeng, L; Zhang, C; Zhang, S</t>
  </si>
  <si>
    <t>Schillaci, Alessandro; Ade, P. A. R.; Ahmed, Z.; Amiri, M.; Barkats, D.; Thakur, R. Basu; Bischoff, C. A.; Beck, D.; Bock, J. J.; Buza, V.; Cheshire, J.; Connors, J.; Cornelison, J.; Crumrine, M.; Cukierman, A.; Denison, E.; Dierickx, M.; Duband, L.; Eiben, M.; Fatigoni, S.; Filippini, J. P.; Giannakopoulos, C.; Goeckner-Wald, N.; Goldfinger, D.; Grayson, J. A.; Grimes, P.; Hall, G.; Halal, G.; Halpern, M.; Hand, E.; Harrison, S.; Henderson, S.; Hildebrandt, S. R.; Hilton, G. C.; Hubmayr, J.; Hui, H.; Irwin, K. D.; Kang, J.; Karkare, K. S.; Kefeli, S.; Kovac, J. M.; Kuo, C. L.; Lau, K.; Leitch, E. M.; Lennox, A.; Megerian, K. G.; Miller, O. Y.; Minutolo, L.; Moncelsi, L.; Nakato, Y.; Namikawa, T.; Nguyen, H. T.; O'Brient, R.; Palladino, S.; Petroff, M.; Precup, N.; Prouve, T.; Pryke, C.; Racine, B.; Reintsema, C. D.; Schmitt, B. L.; Singari, B.; Soliman, A.; Germaine, T. St.; Steinbach, B.; Sudiwala, R. V.; Thompson, K. L.; Tucker, C.; Turner, A. D.; Umilta, C.; Verges, C.; Vieregg, A. G.; Wandui, A.; Weber, A. C.; Wiebe, D. V.; Willmert, J.; Wu, W. L. K.; Yang, E.; Yoon, K. W.; Young, E.; Yu, C.; Zeng, L.; Zhang, C.; Zhang, S.</t>
  </si>
  <si>
    <t>BICEP Array: 150 GHz Detector Module Development</t>
  </si>
  <si>
    <t>JOURNAL OF LOW TEMPERATURE PHYSICS</t>
  </si>
  <si>
    <t>Cosmology; B-mode polarization; Cosmic microwave background; BICEP array; Time division multiplexing; Transition edge sensor</t>
  </si>
  <si>
    <t>The Background Imaging of Cosmic Extragalactic Polarization (BICEP)/Keck (BK) collaboration is currently leading the quest for the highest-sensitivity measurements of the polarized cosmic microwave background (CMB) anisotropies on a degree scale with a series of cryogenic telescopes, of which BICEP Array (BA) is the latest Stage-3 upgrade with a total of similar to 32,000 detectors. The instrument comprises 4 receivers spanning 30-270 GHz, with the low-frequency 30/40 GHz deployed to the South Pole Station in late 2019. The full complement of receivers is forecast to set the most stringent constraints on the tensor-to-scalar ratio r. Building on these advances, the overarching small-aperture telescope concept is already being used as the reference for further Stage-4 experiment design. This paper describes the development of the BICEP Array 150 GHz detector module and its fabrication requirements, with highlights on the high-density time division multiplexing (TDM) design of the cryogenic circuit boards. The low-impedance wiring required between the detectors and the first stage of superconducting quantum interference device amplifiers is crucial to maintaining a stable bias current on the detectors. A novel multilayer FR4 Printed Circuit Board with superconducting traces, capable of reading out up to 648 detectors, is detailed along with its validation tests. An ultra-high-density TDM detector module concept we developed for a CMB-S4-like experiment that allows up to 1920 detectors to be read out is also presented. TDM has been chosen as the detector readout technology for the Cosmic Microwave Background Stage-4 (CMB-S4) experiment based on its proven low-noise performance, predictable costs, and overall maturity of the architecture. The heritage for TDM is rooted in mm- and sub-mm-wave experiments dating back 20 years and has since evolved to support a multiplexing factor of 64x in Stage-3 experiments.</t>
  </si>
  <si>
    <t>[Schillaci, Alessandro; Thakur, R. Basu; Bock, J. J.; Hui, H.; Kefeli, S.; Lau, K.; Miller, O. Y.; Minutolo, L.; Moncelsi, L.; O'Brient, R.; Soliman, A.; Steinbach, B.; Wandui, A.; Zhang, C.; Zhang, S.] CALTECH, Dept Phys, Pasadena, CA 91125 USA; [Ade, P. A. R.; Sudiwala, R. V.; Tucker, C.] Cardiff Univ, Sch Phys &amp; Astron, Cardiff CF24 3AA, Wales; [Ahmed, Z.; Henderson, S.; Irwin, K. D.; Kuo, C. L.; Thompson, K. L.] Kavli Inst Particle Astrophys &amp; Cosmol, SLAC Natl Accelerator Lab, 2575 Sand Hill Rd, Menlo Pk, CA 94025 USA; [Ahmed, Z.; Beck, D.; Cukierman, A.; Goeckner-Wald, N.; Grayson, J. A.; Halal, G.; Henderson, S.; Irwin, K. D.; Kang, J.; Kuo, C. L.; Nakato, Y.; Thompson, K. L.; Yang, E.; Yoon, K. W.; Young, E.; Yu, C.] Stanford Univ, Dept Phys, Stanford, CA 94305 USA; [Amiri, M.; Fatigoni, S.; Halpern, M.; Wiebe, D. V.] Univ British Columbia, Dept Phys &amp; Astron, Vancouver, BC V6T 1Z1, Canada; [Barkats, D.; Buza, V.; Connors, J.; Cornelison, J.; Dierickx, M.; Eiben, M.; Goldfinger, D.; Grimes, P.; Harrison, S.; Karkare, K. S.; Kovac, J. M.; Petroff, M.; Racine, B.; Schmitt, B. L.; Germaine, T. St.; Verges, C.; Zeng, L.] Harvard Smithsonian Ctr Astrophys, Cambridge, MA 02138 USA; [Bischoff, C. A.; Giannakopoulos, C.; Hand, E.; Palladino, S.; Umilta, C.] Univ Cincinnati, Dept Phys, Cincinnati, OH 45221 USA; [Bock, J. J.; Hildebrandt, S. R.; Megerian, K. G.; Nguyen, H. T.; O'Brient, R.; Turner, A. D.; Weber, A. C.] Jet Prop Lab, Pasadena, CA 91109 USA; [Cheshire, J.; Crumrine, M.; Hall, G.; Precup, N.; Pryke, C.; Singari, B.; Willmert, J.] Univ Minnesota, Minnesota Inst Astrophys, Minneapolis, MN 55455 USA; [Duband, L.; Prouve, T.] Commissariat lEnergie Atom, Serv Basses Temp, F-38054 Grenoble, France; [Filippini, J. P.; Lennox, A.] Univ Illinois, Dept Phys, Urbana, IL 61801 USA; [Filippini, J. P.] Univ Illinois, Dept Biophys, Urbana, IL 61801 USA; [Denison, E.; Hilton, G. C.; Hubmayr, J.; Reintsema, C. D.] Natl Inst Stand &amp; Technol, Boulder, CO 80305 USA; [Karkare, K. S.; Leitch, E. M.; Vieregg, A. G.; Wu, W. L. K.] Univ Chicago, Kavli Inst Cosmol Phys, Chicago, IL 60637 USA; [Namikawa, T.] Univ Cambridge, Dept Appl Math &amp; Theoret Phys, Wilberforce Rd, Cambridge CB3 0WA, England</t>
  </si>
  <si>
    <t>California Institute of Technology; Cardiff University; Stanford University; United States Department of Energy (DOE); SLAC National Accelerator Laboratory; Stanford University; University of British Columbia; Harvard University; Smithsonian Astrophysical Observatory; Smithsonian Institution; University System of Ohio; University of Cincinnati; National Aeronautics &amp; Space Administration (NASA); NASA Jet Propulsion Laboratory (JPL); University of Minnesota System; University of Minnesota Twin Cities; CEA; University of Illinois System; University of Illinois Urbana-Champaign; University of Illinois System; University of Illinois Urbana-Champaign; National Institute of Standards &amp; Technology (NIST) - USA; University of Chicago; University of Cambridge</t>
  </si>
  <si>
    <t>Schillaci, A (corresponding author), CALTECH, Dept Phys, Pasadena, CA 91125 USA.</t>
  </si>
  <si>
    <t>aleschillaci78@gmail.com</t>
  </si>
  <si>
    <t>Halal, George/0000-0003-2221-3018; Irwin, Kent/0000-0002-2998-9743; Tucker, Carole/0000-0002-1851-3918; Miller, Oliver/0000-0001-8124-3618; Dierickx, Marion/0000-0002-3519-8593; Lau, King/0000-0002-6445-2407</t>
  </si>
  <si>
    <t>The BICEP/Keck project has been made possible through a series of grants from the National Science Foundation including 0742818, 0742592, 1044978, 1110087, 1145172, 1145143, 1145248, 1639040, 1638957, 1638978, 1638970, amp; 1726917 and by the Keck Foundat [0742818, 0742592, 1044978, 1110087, 1145172, 1145143, 1145248, 1639040, 1638957, 1638978, 1638970, 1726917]; National Science Foundation; Keck Foundation; JPL Research and Technology Development Fund [06-ARPA206-0040, 10-SAT10-0017, 12-SAT12-0031, 14-SAT14-0009, 16-SAT16-0002]; NASA; Gordon and Betty Moore Foundation at Caltech; Canada Foundation for Innovation grant; U.S. DoE Office of Science</t>
  </si>
  <si>
    <t>The BICEP/Keck project has been made possible through a series of grants from the National Science Foundation including 0742818, 0742592, 1044978, 1110087, 1145172, 1145143, 1145248, 1639040, 1638957, 1638978, 1638970, amp; 1726917 and by the Keck Foundat; National Science Foundation(National Science Foundation (NSF)); Keck Foundation(W.M. Keck Foundation); JPL Research and Technology Development Fund; NASA(National Aeronautics &amp; Space Administration (NASA)); Gordon and Betty Moore Foundation at Caltech(Gordon and Betty Moore Foundation); Canada Foundation for Innovation grant(Canada Foundation for Innovation); U.S. DoE Office of Science(United States Department of Energy (DOE))</t>
  </si>
  <si>
    <t>The BICEP/Keck project has been made possible through a series of grants from the National Science Foundation including 0742818, 0742592, 1044978, 1110087, 1145172, 1145143, 1145248, 1639040, 1638957, 1638978, 1638970, &amp; 1726917 and by the Keck Foundation. The development of antenna-coupled detector technology was supported by the JPL Research and Technology Development Fund and NASA Grants 06-ARPA206-0040, 10-SAT10-0017, 12-SAT12-0031, 14-SAT14-0009 &amp; 16-SAT16-0002.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is partially supported by the U.S. DoE Office of Science. We thank the staff of the U.S. Antarctic Program and in particular, the South Pole Station without whose help this research would not have been possible. Tireless administrative support was provided by Kathy Deniston, Sheri Stoll, Nancy Roth-Rappard, Irene Coyle, Donna Hernandez, and Dana Volponi.</t>
  </si>
  <si>
    <t>SPRINGER/PLENUM PUBLISHERS</t>
  </si>
  <si>
    <t>233 SPRING ST, NEW YORK, NY 10013 USA</t>
  </si>
  <si>
    <t>0022-2291</t>
  </si>
  <si>
    <t>1573-7357</t>
  </si>
  <si>
    <t>J LOW TEMP PHYS</t>
  </si>
  <si>
    <t>J. Low Temp. Phys.</t>
  </si>
  <si>
    <t>s10909-023-03005-w</t>
  </si>
  <si>
    <t>10.1007/s10909-023-03005-w</t>
  </si>
  <si>
    <t>Physics, Applied; Physics, Condensed Matter</t>
  </si>
  <si>
    <t>Physics</t>
  </si>
  <si>
    <t>U7VG8</t>
  </si>
  <si>
    <t>Green Submitted, Green Accepted</t>
  </si>
  <si>
    <t>WOS:001079610300001</t>
  </si>
  <si>
    <t>Carrerette, O; Petti, MAV; Kim, DU; Bromberg, S; Bergamo, G; Sumida, PYG; Ahn, IY</t>
  </si>
  <si>
    <t>Carrerette, Orlemir; Petti, Monica A. V.; Kim, Dong-U.; Bromberg, Sandra; Bergamo, Gilberto; Sumida, Paulo Y. G.; Ahn, In-Young</t>
  </si>
  <si>
    <t>Historical review and contribution to the knowledge of Amythas membranifera (Ampharetidae): an integrative perspective of an Antarctic polychaete</t>
  </si>
  <si>
    <t>Benthic ecology; Integrative taxonomy; Morphology; Biology; Reproduction</t>
  </si>
  <si>
    <t>REPRODUCTIVE-BIOLOGY; CRYPTIC SPECIATION; HYDROTHERMAL VENT; ANNELIDA; SEA; POPULATION; PHYLOGENY; EVOLUTION; LINEAGES; FJORD</t>
  </si>
  <si>
    <t>Amythas membranifera was originally described through a single and incomplete specimen found in Commonwealth Bay, Adelie Land, Antarctica, at similar to 600 m depth. The species occurs exclusively in Antarctic waters and has a great ecological and biological value to benthic dynamics in some Antarctic areas. We collected several specimens of A. membranifera at Marian Cove, Maxwell Bay (King George Island) during a cruise of the project CHAnges in Coastal Marine Systems of the Antarctic Peninsula: a 2050 Outlook (CHAMP2050). We present here a detailed study of A. membranifera from new specimens collected during this cruise, including morphological redescription, morphometry, molecular biology studies and aspects of their distribution, reproduction and feeding. A. membranifera specimens present an intraovarian oogenesis with blood vessel association for yolk precursor transference, with mature oocytes with 180-260 mu m in diameter. Our data may suggest a broadcast spawner strategy. The spermiogenesis follows with the maturation of spermatids in spermatozoids in smaller clusters of cells and stored freely in the coelom prior to spawn ect-aquasperms. Finally, we point that one of the most intriguing aspects to date is its distribution, since most recent records were made in the West Antarctic Peninsula region while few records were made in the region of the original description (East Antarctic). This is our contribution to the knowledge of this species encompassing different scientific topics in a integrative perspective.</t>
  </si>
  <si>
    <t>[Carrerette, Orlemir; Bergamo, Gilberto; Sumida, Paulo Y. G.] Univ Sao Paulo, Lab Ecol &amp; Evolucao Mar Profundo LAMP, Inst Oceanog, Pca Oceanog 191, BR-05508120 Sao Paulo, SP, Brazil; [Petti, Monica A. V.; Bromberg, Sandra] Univ Sao Paulo, Colecao Biol Prof Edmundo F Nonato ColBIO, Inst Oceanog, BR-05508900 Sao Paulo, Brazil; [Kim, Dong-U.; Ahn, In-Young] Korea Polar Res Inst KOPRI, 26 Songdomirae Ro, Incheon 21990, South Korea</t>
  </si>
  <si>
    <t>Universidade de Sao Paulo; Universidade de Sao Paulo; Korea Polar Research Institute (KOPRI)</t>
  </si>
  <si>
    <t>Carrerette, O (corresponding author), Univ Sao Paulo, Lab Ecol &amp; Evolucao Mar Profundo LAMP, Inst Oceanog, Pca Oceanog 191, BR-05508120 Sao Paulo, SP, Brazil.</t>
  </si>
  <si>
    <t>carrerette@usp.br</t>
  </si>
  <si>
    <t>Bromberg, Sandra/S-6266-2016; Petti, Monica A V/S-6367-2016</t>
  </si>
  <si>
    <t>Ministry of Oceans and Fisheries through Korea Polar Research Institute, Incheon, South Korea [PE18070, PE19070, PE22110]; CNPq [442718/2018-7]; FAPESP [2019/12551-8]</t>
  </si>
  <si>
    <t>Ministry of Oceans and Fisheries through Korea Polar Research Institute, Incheon, South Korea; CNPq(Conselho Nacional de Desenvolvimento Cientifico e Tecnologico (CNPQ)); FAPESP(Fundacao de Amparo a Pesquisa do Estado de Sao Paulo (FAPESP))</t>
  </si>
  <si>
    <t>This work was conducted as part of a KOPRI project enti-tled CHAnges in Coastal Marine Systems of the Antarctic Peninsula: a 2050 Outlook (CHAMP2050) and supported by the Ministry of Oceans and Fisheries through Korea Polar Research Institute, Incheon, South Korea (Grant No PE18070, PE19070 and PE22110). Laboratory analyses were conducted at the Laboratorio de Ecologia e Evolucao de Mar Profundo (LAMP/IOUSP) with support of the project BEnthic COnnections Of high southern Latitudes (BECOOL) (CNPq 442718/2018-7 and FAPESP 2019/12551-8).</t>
  </si>
  <si>
    <t>s00300-023-03202-z</t>
  </si>
  <si>
    <t>10.1007/s00300-023-03202-z</t>
  </si>
  <si>
    <t>WOS:001084361700001</t>
  </si>
  <si>
    <t>Jarrin, P; Nocquet, JM; Rolandone, F; Mora-Páez, H; Mothes, P; Cisneros, D</t>
  </si>
  <si>
    <t>Jarrin, P.; Nocquet, J-M; Rolandone, F.; Mora-Paez, H.; Mothes, P.; Cisneros, D.</t>
  </si>
  <si>
    <t>Current motion and deformation of the Nazca Plate: new constraints from GPS measurements</t>
  </si>
  <si>
    <t>Plate motions; Satellite geodesy; Pacific Ocean; South America</t>
  </si>
  <si>
    <t>SIERRA-NEGRA-VOLCANO; SOUTH-AMERICA; M-W; CRUSTAL DEFORMATION; M-S; SUBDUCTION; EARTHQUAKE; COLOMBIA; ECUADOR; GALAPAGOS</t>
  </si>
  <si>
    <t>We use new GPS data to determine an updated Euler pole describing the present-day motion of the oceanic Nazca Plate. Our solution includes continuous GPS (cGPS) measurements at Malpelo Island offshore Colombia, two sites in the Galapagos archipelago, Easter Island and Salas y Gomez Island in the western part of the plate and Robinson Crusoe Island offshore Chile. A careful analysis of geodetic time-series reveals that (1) previous estimates using former cGPS site EISL are biased by several millimetres per year eastward due to station malfunctioning (2) north velocity component of cGPS site GLPS at Santa Cruz Island in the Galapagos is impacted by volcanic deformation at the 1-2 mm yr(-1) level, probably caused by the recurrent volcanic activity of the Sierra Negra volcano. In addition, we find shortening at similar to 1 mm yr(-1) between Easter Island (cGPS ISPA) and Salas y Gomez Island (cGPS ILSG), consistent with the elastic deformation induced by rapid opening at the East Pacific rise. cGPS site at Robinson Crusoe Island shows similar to 4-5 mm yr(-1) abnormally fast East velocity induced by the visco-elastic relaxation following the Maule M-w 8.8 2010 earthquake. Using this information, we determine a new Euler pole (longitude: -90.93 degrees E, latitude 56.19 degrees N, 0.588 deg Myr(-1)) describing the present-day Nazca-South America Plate motion, using five sites (Malpelo Island, two sites in the Galapagos archipelago, Easter Island and Salas y Gomez Island). The proposed Euler pole provides a weighted root mean square (wrms) of residual velocities of 0.6 mm yr(-1), slightly higher than usually observed for other major tectonic plates and accounting for the uncertainty of potential volcanic-tectonic deformation. Our model predicts a maximum convergence rate at 65.5 +/- 0.8 mm yr(-1) at latitude similar to 30 degrees S along the Chile trench, decreasing to 50.8 +/- 0.7 mm yr(-1) in northern Colombia and 64.5 +/- 0.9 mm yr(-1) in southern Chile (1 sigma confidence level). Comparison with the geological models NUVEL1A and MORVEL indicates constant decrease since 3.16 Ma of opening rate along the Nazca-Antarctic Plate boundary spreading centres at similar to 1 cm yr(-1) per Myr. Combined with the ITRF2014 pole for the Pacific and Antarctic plates, our derived Euler pole predicts closure at the similar to 1 mm yr(-1) level for Pacific-Antarctic-Nazca Plate circuit. However, combining our results with MORVEL estimates for the Cocos Plate, the non-closure of the Pacific-Cocos-Nazca Plate circuit is 9.7 +/- 1.6 mm yr(-1), 30 per cent lower than the 14 +/- 5 mm yr(-1) reported in MORVEL model, but still significant. A small (similar to 1.5 mm yr(-1)) velocity residual at Malpelo Island neither supports the hypothesis of an independent Malpelo microplate offshore Colombia nor large scale internal deformation induced by thermal contraction. Our solution rather suggests that non-closure of the Pacific-Cocos-Nazca Plate circuit arises from the determination of the Cocos Plate motion in MORVEL, an hypothesis further supported by the large discrepancy between MORVEL's prediction and the observed GPS velocity observed at Cocos Islands (cGPS ISCO).</t>
  </si>
  <si>
    <t>[Jarrin, P.; Rolandone, F.] Sorbonne Univ, CNRS INSU, Inst Sci Terre Paris, ISTeP,UMR 7193, F-75005 Paris, France; [Nocquet, J-M] Univ Cote Azur, IRD, CNRS, Observ Cote Azur,Geoazur, F-06560 Valbonne, France; [Nocquet, J-M] Univ Paris Cite, Inst Phys Globe Paris, F-75005 Paris, France; [Mora-Paez, H.] Colombian Geol Survey, Space Geodesy Res Grp, Bogota 111321, Colombia; [Mothes, P.] Escuela Politecn Nacl Inst Geofis, Ladron de Guevara E11-253 Apartado, Quito 2759, Ecuador; [Cisneros, D.] Inst Geog Mil Ecuador, Sect El Dorado, Quito 2435, Ecuador</t>
  </si>
  <si>
    <t>Sorbonne Universite; Centre National de la Recherche Scientifique (CNRS); CNRS - National Institute for Earth Sciences &amp; Astronomy (INSU); Universite Cote d'Azur; Observatoire de la Cote d'Azur; Institut de Recherche pour le Developpement (IRD); Centre National de la Recherche Scientifique (CNRS); Universite Paris Cite</t>
  </si>
  <si>
    <t>Jarrin, P (corresponding author), Sorbonne Univ, CNRS INSU, Inst Sci Terre Paris, ISTeP,UMR 7193, F-75005 Paris, France.</t>
  </si>
  <si>
    <t>paulalbertoj@gmail.com</t>
  </si>
  <si>
    <t>Nocquet, J.M./ACP-3274-2022; Nocquet, J.M./JCE-4752-2023; Mora-Paez, Hector/J-1542-2017</t>
  </si>
  <si>
    <t>Mora-Paez, Hector/0000-0002-0220-5080; Rolandone, Frederique/0000-0001-5339-4275; Nocquet, Jean-Mathieu/0000-0002-3436-9354; Jarrin Tamayo, Paul A./0000-0001-9874-1330; Mothes, Patricia A./0000-0002-0650-5531</t>
  </si>
  <si>
    <t>Secretaria Nacional de Educacion Superior, Ciencia y Tecnologia of Ecuador (SENESCYT) [IFTHDFN-2018-0096/092-2017]; French National Research Institute for Sustainable Development (IRD); Agence Nationale de la Recherche (ANR) [ANR-19-CE31-0003-01]; Agence Nationale de la Recherche (ANR) [ANR-19-CE31-0003] Funding Source: Agence Nationale de la Recherche (ANR)</t>
  </si>
  <si>
    <t>Secretaria Nacional de Educacion Superior, Ciencia y Tecnologia of Ecuador (SENESCYT); French National Research Institute for Sustainable Development (IRD); Agence Nationale de la Recherche (ANR)(Agence Nationale de la Recherche (ANR)); Agence Nationale de la Recherche (ANR)(Agence Nationale de la Recherche (ANR))</t>
  </si>
  <si>
    <t>This research was supported by the Secretaria Nacional de Educacion Superior, Ciencia y Tecnologia of Ecuador (SENESCYT) in the frame of P. Jarrin's doctoral fellowship (grant number:IFTHDFN-2018-0096/092-2017). We acknowledge support from the French National Research Institute for Sustainable Development (IRD) and Agence Nationale de la Recherche (ANR) in the frame of the S5 project (grant number ANR-19-CE31-0003-01). We thank the Colombian Geological Survey, the Centro Sismologico Nacional of Chile, Unavco, the Instituto Geofisico of Ecuador and the Instituto Geogr ' africo Militar of Ecuador for providing valuable geodetic data. Most figures were compiled using the Generic Mapping Tools (GMT) software. We thank two anonymous reviewers for their remarks that helped to improve the manuscript. We finally thank Christophe Vigny and Francois Jouanne for their constructive comments on a previous version of this manuscript.</t>
  </si>
  <si>
    <t>10.1093/gji/ggac353</t>
  </si>
  <si>
    <t>5F2TP</t>
  </si>
  <si>
    <t>WOS:000866173400003</t>
  </si>
  <si>
    <t>Fioletov, V; Zhao, XY; Abboud, I; Brohart, M; Ogyu, A; Sit, R; Lee, SC; Petropavlovskikh, I; Miyagawa, K; Johnson, BJ; Cullis, P; Booth, J; Mcconville, G; Mcelroy, CT</t>
  </si>
  <si>
    <t>Fioletov, Vitali; Zhao, Xiaoyi; Abboud, Ihab; Brohart, Michael; Ogyu, Akira; Sit, Reno; Lee, Sum Chi; Petropavlovskikh, Irina; Miyagawa, Koji; Johnson, Bryan J.; Cullis, Patrick; Booth, John; Mcconville, Glen; Mcelroy, C. Thomas</t>
  </si>
  <si>
    <t>Total ozone variability and trends over the South Pole during the wintertime</t>
  </si>
  <si>
    <t>STRATOSPHERIC OZONE; ATMOSPHERIC OZONE; ANTARCTICA; BREWER; RECOVERY; HOLE; CLIMATOLOGY; DEPLETION; RECORDS</t>
  </si>
  <si>
    <t>The Antarctic polar vortex creates unique chemical and dynamical conditions when the stratospheric air over Antarctica is isolated from the rest of the stratosphere. As a result, stratospheric ozone within the vortex remains largely unchanged for a 5-month period from April until late August when the sunrise and extremely cold temperatures create favorable conditions for rapid ozone loss. Such prolonged stable conditions within the vortex make it possible to estimate the total ozone levels there from sparse wintertime ozone observations at the South Pole. The available records of focused Moon (FM) observations by Dobson and Brewer spectrophotometers at the Amundsen-Scott South Pole Station (for the periods 1964-2022 and 2008-2022, respectively) as well as integrated ozonesonde profiles (1986-2022) and MERRA-2 reanalysis data (1980-2022) were used to estimate the total ozone variability and long-term changes over the South Pole. Comparisons with MERRA-2 reanalysis data for the period 1980-2022 demonstrated that the uncertainties of Dobson and Brewer daily mean FM values are about 2.5 %-4 %. Wintertime (April-August) MERRA-2 data have a bias with Dobson data of -8.5 % in 1980-2004 and 1.5 % in 2005-2022. The mean difference between wintertime Dobson and Brewer data in 2008-2022 was about 1.6 %; however, this difference can be largely explained by various systematic errors in Brewer data. The wintertime ozone values over the South Pole during the last 20 years were about 12 % below the pre-1980s level; i.e., the decline there was nearly twice as large as that over southern midlatitudes. It is probably the largest long-term ozone decline aside from the springtime Antarctic ozone depletion. While wintertime ozone decline over the pole has hardly any impact on the environment, it can be used as an indicator to diagnose the state of the ozone layer, particularly because it requires data from only one station. Dobson and ozonesonde data after 2001 show a small positive, but not statistically significant, trend in ozone values of about 1.5 % per decade that is in line with the trend expected from the concentration of the ozone-depleting substances in the stratosphere.</t>
  </si>
  <si>
    <t>[Fioletov, Vitali; Zhao, Xiaoyi; Abboud, Ihab; Brohart, Michael; Ogyu, Akira; Sit, Reno; Lee, Sum Chi] Environm &amp; Climate Change Canada, Air Qual Res Div, Toronto, ON M3H 5T4, Canada; [Petropavlovskikh, Irina; Miyagawa, Koji; Johnson, Bryan J.; Cullis, Patrick; Booth, John; Mcconville, Glen] NOAA, Global Monitoring Lab, Earth Syst Res Lab, Boulder, CO 80305 USA; [Petropavlovskikh, Irina; Mcconville, Glen] Univ Colorado, Cooperat Inst Res Environm Sci, Boulder, CO USA; [Mcelroy, C. Thomas] York Univ, Dept Earth &amp; Space Sci &amp; Engn, Toronto, ON M3J 1P3, Canada</t>
  </si>
  <si>
    <t>Environment &amp; Climate Change Canada; National Oceanic Atmospheric Admin (NOAA) - USA; University of Colorado System; University of Colorado Boulder; York University - Canada</t>
  </si>
  <si>
    <t>Fioletov, V (corresponding author), Environm &amp; Climate Change Canada, Air Qual Res Div, Toronto, ON M3H 5T4, Canada.</t>
  </si>
  <si>
    <t>vitali.fioletov@ec.gc.ca</t>
  </si>
  <si>
    <t>National Science Foundation, Office of Polar Programs</t>
  </si>
  <si>
    <t>National Science Foundation, Office of Polar Programs(National Science Foundation (NSF)NSF - Directorate for Geosciences (GEO))</t>
  </si>
  <si>
    <t>We would like to acknowledge Christopher Osburn at Lunar Outreach Services for developing a free software package for the Moon phase calculations used in this study. We also acknowledge the logistics support in Antarctica provided by the National Science Foundation, Office of Polar Programs, and Amy Cox for her support in setting up the Brewer instrument. We also would like to thank Mark Weber and an anonymous reviewer for their reviews and suggestions.</t>
  </si>
  <si>
    <t>OCT 11</t>
  </si>
  <si>
    <t>10.5194/acp-23-12731-2023</t>
  </si>
  <si>
    <t>HT5Q9</t>
  </si>
  <si>
    <t>WOS:001161776400001</t>
  </si>
  <si>
    <t>Hughes, KA; Boyle, CP; Morley-Hurst, K; Gerrish, L; Colwell, SR; Convey, P</t>
  </si>
  <si>
    <t>Hughes, Kevin A.; Boyle, Claire P.; Morley-Hurst, Kate; Gerrish, Laura; Colwell, Steve R.; Convey, Peter</t>
  </si>
  <si>
    <t>Loss of research and operational equipment in Antarctica: Balancing scientific advances with environmental impact</t>
  </si>
  <si>
    <t>Human impact; Environmental reporting; Research station; Meteorological balloons; Waste; Cumulative impact</t>
  </si>
  <si>
    <t>BIBLIOMETRIC ANALYSIS; BIOLOGICAL INVASIONS; SCIENCE; STATION; ISLAND; CONSERVATION; MANAGEMENT; SYSTEM; AREA; CONTAMINATION</t>
  </si>
  <si>
    <t>Antarctica has been subject to widespread, long-term and on-going human activity since the establishment of permanent research stations became common in the 1950s. Equipment may become intentionally or inadvertently lost in Antarctic marine and terrestrial environments as a result of scientific research and associated support activities, but this has been poorly quantified to date. Here we report the quantity and nature of equipment lost by the UK's national operator in Antarctica, the British Antarctic Survey (BAS). Over the 15-year study period (2005-2019), 125 incidents of loss were reported, with c. 23 tonnes of equipment lost of which 18% by mass was considered hazardous. The geographical distribution of lost equipment was widespread across the BAS operational footprint. However, impacts are considered low compared to those associated with research station infrastructure establishment and operation. To reduce environmental impact overall, we recommend that, where possible, better use is made of existing research station capacity to facilitate field research, thereby reducing the need for construction of new infrastructure and the generation of associated impacts. Furthermore, to facilitate reporting on the state of the Antarctic environment, we recommend that national Antarctic programmes reinvigorate efforts to comply with Antarctic Treaty System requirements to actively record the locations of past activities and make available details of lost equipment. In a wider context, analogous reporting is also encouraged in other pristine areas subject to new research activities, including in other remote Earth environments and on extra-terrestrial bodies.</t>
  </si>
  <si>
    <t>[Hughes, Kevin A.; Boyle, Claire P.; Morley-Hurst, Kate; Gerrish, Laura; Colwell, Steve R.; Convey, Peter] British Antarctic Survey, Nat Environm Res Council, High Cross,Madingley Rd, Cambridge CB3 0ET, England; [Convey, Peter] Univ Johannesburg, Dept Zool, Auckland Pk 2006, South Africa; [Convey, Peter] Millennium Inst Biodivers Antarctic &amp; Subantarct E, Santiago, Chile</t>
  </si>
  <si>
    <t>UK Research &amp; Innovation (UKRI); Natural Environment Research Council (NERC); NERC British Antarctic Survey; University of Johannesburg</t>
  </si>
  <si>
    <t>Hughes, KA (corresponding author), British Antarctic Survey, Nat Environm Res Council, High Cross,Madingley Rd, Cambridge CB3 0ET, England.</t>
  </si>
  <si>
    <t>NERC</t>
  </si>
  <si>
    <t>NERC(UK Research &amp; Innovation (UKRI)Natural Environment Research Council (NERC))</t>
  </si>
  <si>
    <t>The authors are supported by NERC core funding to the BAS Environment Office, the Mapping and Geographic Information Centre (MAGIC), the 'Atmosphere, Ice and Climate' team and the 'Biodiversity, Evolution and Adaptation' team.</t>
  </si>
  <si>
    <t>10.1016/j.jenvman.2023.119200</t>
  </si>
  <si>
    <t>X7EC5</t>
  </si>
  <si>
    <t>WOS:001100029200001</t>
  </si>
  <si>
    <t>Biagioli, F; Coleine, C; Delgado-Baquerizo, M; Feng, YZ; Saiz-Jimenez, C; Selbmann, L</t>
  </si>
  <si>
    <t>Biagioli, Federico; Coleine, Claudia; Delgado-Baquerizo, Manuel; Feng, Youzhi; Saiz-Jimenez, Cesareo; Selbmann, Laura</t>
  </si>
  <si>
    <t>Outdoor climate drives diversity patterns of dominant microbial taxa in caves worldwide</t>
  </si>
  <si>
    <t>Cave ecosystems,microbiomes; Microbial ecology; Top dominant species; Environmental drivers; Climate change</t>
  </si>
  <si>
    <t>MOGAO GROTTOES; COMMUNITIES; DUNHUANG</t>
  </si>
  <si>
    <t>The cave microbiota is assumed to be shaped by indoor microclimate, biotic and abiotic factors, which are largely dependent from outside environmental conditions; however, this knowledge is available at local or regional scales only. To address this knowledge gap, we reanalyzed over 1050 bacterial and fungal communities of caves worldwide, and found that outdoor temperature and rainfall play a critical role in explaining differences in microbial diversity patterns of global caves, selecting specific dominant taxa across gradients of growing aridity conditions with arid climate leading to a reduction in total cave microbial diversity. Moreover, we found that fungal (from 186 to 1908 taxa) and bacterial (from 467 to 1619 taxa) diversity increased under temperate-tropical and temperate-continental climatic regions, respectively, highlighting an opposite preference for the two microbial compartments. We hypothesized that outdoor geographical, climatic variables and lithology are critical epistatic drivers in assembling microbial communities and their dominant taxa, whose ecological responses could be useful to predict the fate of these subterranean environments in the context of climate change. Our work elucidates the intimate connection between caves microbiota and surface ecosystems highlighting the sensitivity of cave microbial communities to climatic changes and environmental degradation. This work also provides a natural benchmark for the biogeographic information for caves globally and for protection strategies aiming at conservation of underground environments.</t>
  </si>
  <si>
    <t>[Biagioli, Federico; Coleine, Claudia; Selbmann, Laura] Univ Tuscia, Dept Ecol &amp; Biol Sci, I-01100 Viterbo, Italy; [Delgado-Baquerizo, Manuel] CSIC, Inst Recursos Nat &amp; Agrobiol Sevilla IRNAS, Lab Biodiversidad &amp; Funcionamiento Ecosistem, Av Reina Mercedes 10, E-41012 Seville, Spain; [Feng, Youzhi] Chinese Acad Sci, Inst Soil Sci, State Key Lab Soil &amp; Sustainable Agr, Nanjing 210006, Peoples R China; [Feng, Youzhi] Jiangsu Collaborat Innovat Ctr Solid Organ Waste R, Nanjing 210095, Peoples R China; [Saiz-Jimenez, Cesareo] CSIC, Inst Recursos Nat &amp; Agrobiol Sevilla IRNAS, Microbiol Ambiental &amp; Patrimonio Cultural, Av Reina Mercedes 10, E-41012 Seville, Spain; [Selbmann, Laura] Italian Antarctic Natl Museum MNA, Mycol Sect, Via al Porto Antico, I-16128 Genoa, Italy</t>
  </si>
  <si>
    <t>Tuscia University; Consejo Superior de Investigaciones Cientificas (CSIC); CSIC - Instituto de Recursos Naturales y Agrobiologia de Sevilla (IRNAS); Chinese Academy of Sciences; Nanjing Institute of Soil Science, CAS; Consejo Superior de Investigaciones Cientificas (CSIC); CSIC - Instituto de Recursos Naturales y Agrobiologia de Sevilla (IRNAS)</t>
  </si>
  <si>
    <t>Coleine, C (corresponding author), Univ Tuscia, Dept Ecol &amp; Biol Sci, I-01100 Viterbo, Italy.;Delgado-Baquerizo, M (corresponding author), CSIC, Inst Recursos Nat &amp; Agrobiol Sevilla IRNAS, Lab Biodiversidad &amp; Funcionamiento Ecosistem, Av Reina Mercedes 10, E-41012 Seville, Spain.</t>
  </si>
  <si>
    <t>coleine@unitus.it; m.delgado.baquerizo@csic.es</t>
  </si>
  <si>
    <t>Coleine, Claudia/AAE-1889-2020; Selbmann, Laura/L-3056-2013; Delgado-Baquerizo, Manuel/L-3653-2017</t>
  </si>
  <si>
    <t>Coleine, Claudia/0000-0002-9289-6179; Selbmann, Laura/0000-0002-8967-3329; Delgado-Baquerizo, Manuel/0000-0002-6499-576X</t>
  </si>
  <si>
    <t>European Commission [702057]; AEI/Union Europea NextGenerationEU/PRTR [TED2021-130908B-C41]; Spanish Ministry of Science and Innovation - MCIN/AEI/ [PID2020-115813RA-I00]</t>
  </si>
  <si>
    <t>European Commission(European Union (EU)European Commission Joint Research Centre); AEI/Union Europea NextGenerationEU/PRTR; Spanish Ministry of Science and Innovation - MCIN/AEI/</t>
  </si>
  <si>
    <t>C.C. is supported by the European Commission under the H2020 Marie Sklodowska-Curie Actions Grant Agreement No. 702057 (DRY-LIFE) . M.D-B. acknowledges support from TED2021-130908B-C41/AEI/10.13039/501100011033/Union Europea NextGenerationEU/PRTR and from the Spanish Ministry of Science and Innovation for the I + D + i project PID2020-115813RA-I00 funded by MCIN/AEI/10.13039/501100011033.</t>
  </si>
  <si>
    <t>10.1016/j.scitotenv.2023.167674</t>
  </si>
  <si>
    <t>Y1MM1</t>
  </si>
  <si>
    <t>WOS:001102977800001</t>
  </si>
  <si>
    <t>Liu, YL; Donat, MG; England, MH; Alexander, LV; Hirsch, AL; Delgado-Torres, C</t>
  </si>
  <si>
    <t>Liu, Yiling; Donat, Markus. G.; England, Matthew. H.; Alexander, Lisa. V.; Hirsch, Annette L.; Delgado-Torres, Carlos</t>
  </si>
  <si>
    <t>Enhanced multi-year predictability after El Niño and La Niña events</t>
  </si>
  <si>
    <t>PACIFIC DECADAL VARIABILITY; TROPICAL PACIFIC; NORTH-ATLANTIC; SKILL SCORES; ENSO; TELECONNECTIONS; PREDICTION; VERSION; SYSTEM</t>
  </si>
  <si>
    <t>Several aspects of regional climate including near-surface temperature and precipitation are predictable on interannual to decadal time scales. Despite indications that some climate states may provide higher predictability than others, previous studies analysing decadal predictions typically sample a variety of initial conditions. Here we assess multi-year predictability conditional on the phase of the El Nino-Southern Oscillation (ENSO) at the time of prediction initialisation. We find that predictions starting with El Nino or La Nina conditions exhibit higher skill in predicting near-surface air temperature and precipitation multiple years in advance, compared to predictions initialised from neutral ENSO conditions. This holds true in idealised prediction experiments with the Community Climate System Model Version 4 and to a lesser extent also real-world predictions using the Community Earth System Model and a multi-model ensemble of hindcasts contributed to the Coupled Model Intercomparison Project Phase 6 Decadal Climate Prediction Project. This enhanced predictability following ENSO events is related to phase transitions as part of the ENSO cycle, and related global teleconnections. Our results indicate that certain initial states provide increased predictability, revealing windows of opportunity for more skillful multi-year predictions. The study identifies windows of opportunity for multi-year climate predictions, depending on the state of ENSO. Predictions started during El Nino and La Nina exhibit higher skill than predictions started during neutral ENSO conditions.</t>
  </si>
  <si>
    <t>[Liu, Yiling; Alexander, Lisa. V.; Hirsch, Annette L.] UNSW, Climate Change Res Ctr, Sydney, NSW 2052, Australia; [Liu, Yiling; Alexander, Lisa. V.; Hirsch, Annette L.] UNSW, ARC Ctr Excellence Climate Extremes, Sydney, NSW 2052, Australia; [Liu, Yiling] Australian Natl Univ, Natl Computat Infrastruct NCI, Canberra, ACT 2601, Australia; [Donat, Markus. G.; Delgado-Torres, Carlos] Barcelona Supercomp Ctr BSC, Barcelona, Spain; [Donat, Markus. G.] Inst Catalana Recerca &amp; Estudis Avancats ICREA, Barcelona, Spain; [England, Matthew. H.] UNSW, Ctr Marine Sci &amp; Innovat, Sydney, NSW 2052, Australia; [England, Matthew. H.] UNSW, Australian Ctr Excellence Antarctic Sci, Sydney, NSW 2052, Australia</t>
  </si>
  <si>
    <t>University of New South Wales Sydney; University of New South Wales Sydney; Australian National University; Universitat Politecnica de Catalunya; Barcelona Supercomputer Center (BSC-CNS); ICREA; University of New South Wales Sydney; University of New South Wales Sydney</t>
  </si>
  <si>
    <t>Liu, YL (corresponding author), UNSW, Climate Change Res Ctr, Sydney, NSW 2052, Australia.;Liu, YL (corresponding author), UNSW, ARC Ctr Excellence Climate Extremes, Sydney, NSW 2052, Australia.;Liu, YL (corresponding author), Australian Natl Univ, Natl Computat Infrastruct NCI, Canberra, ACT 2601, Australia.</t>
  </si>
  <si>
    <t>yiling.liu@anu.edu.au</t>
  </si>
  <si>
    <t>Delgado-Torres, Carlos/JUV-4813-2023; 刘, 逸泠/AAA-2131-2020; England, Matthew/A-7539-2011; Donat, Markus/J-8331-2012</t>
  </si>
  <si>
    <t>Delgado-Torres, Carlos/0000-0003-1737-4212; England, Matthew/0000-0001-9696-2930; Donat, Markus/0000-0002-0608-7288; Liu, Yiling/0000-0003-4014-2639</t>
  </si>
  <si>
    <t>This study was supported by the Australian Commonwealth through an Australian Government Research Training Program Scholarship (Y.L.), the Australian Research Council grants CE110001028 (A.L.H., L.V.A., M.H.E., M.G.D., Y.L.), CE170100023 (A.L.H., L.V.A., M; Australian Commonwealth through an Australian Government Research Training Program Scholarship [CE110001028, CE170100023, DE150100456, DP150101331]; Australian Research Council [57219579]; Australia-Germany Joint Research Co-operation (German Academic Exchange Service, DAAD) [RYC-2017-22964]; Spanish Ministry of Economy, Industry and Competitivity Ramon y Cajal grant [101081460]; Horizon Europe ASPECT project; AXA Research Fund</t>
  </si>
  <si>
    <t>This study was supported by the Australian Commonwealth through an Australian Government Research Training Program Scholarship (Y.L.), the Australian Research Council grants CE110001028 (A.L.H., L.V.A., M.H.E., M.G.D., Y.L.), CE170100023 (A.L.H., L.V.A., M; Australian Commonwealth through an Australian Government Research Training Program Scholarship; Australian Research Council(Australian Research Council); Australia-Germany Joint Research Co-operation (German Academic Exchange Service, DAAD); Spanish Ministry of Economy, Industry and Competitivity Ramon y Cajal grant; Horizon Europe ASPECT project; AXA Research Fund(AXA Research Fund)</t>
  </si>
  <si>
    <t>This study was supported by the Australian Commonwealth through an Australian Government Research Training Program Scholarship (Y.L.), the Australian Research Council grants CE110001028 (A.L.H., L.V.A., M.H.E., M.G.D., Y.L.), CE170100023 (A.L.H., L.V.A., M.H.E., M.G.D., Y.L.), DE150100456 (M.G.D) and DP150101331 (M.H.E), the Australia-Germany Joint Research Co-operation (German Academic Exchange Service, DAAD) Grant ID 57219579 (M.G.D). M.G.D. is grateful for support by the Spanish Ministry of Economy, Industry and Competitivity Ramon y Cajal grant RYC-2017-22964, the Horizon Europe ASPECT project (Grant 101081460) and the AXA Research Fund (M.G.D).</t>
  </si>
  <si>
    <t>10.1038/s41467-023-42113-9</t>
  </si>
  <si>
    <t>X5TV0</t>
  </si>
  <si>
    <t>WOS:001099083700020</t>
  </si>
  <si>
    <t>Celli, G; Cairns, WRL; Scarchilli, C; Cuevas, CA; Saiz-Lopez, A; Savarino, J; Stenni, B; Frezzotti, M; Becagli, S; Delmonte, B; Angot, H; Fernandez, RP; Spolaor, A</t>
  </si>
  <si>
    <t>Celli, G.; Cairns, W. R. L.; Scarchilli, C.; Cuevas, C. A.; Saiz-Lopez, A.; Savarino, J.; Stenni, B.; Frezzotti, M.; Becagli, S.; Delmonte, B.; Angot, H.; Fernandez, R. P.; Spolaor, A.</t>
  </si>
  <si>
    <t>Bromine, iodine and sodium along the EAIIST traverse: Bulk and surface snow latitudinal variability</t>
  </si>
  <si>
    <t>Antarctica; Halogens; Spatial distribution; Snowpack; Photochemistry</t>
  </si>
  <si>
    <t>BOUNDARY-LAYER HALOGENS; DOME-C; PARTICLE FORMATION; MOLECULAR BROMINE; OZONE DESTRUCTION; DUMONT DURVILLE; ANTARCTICA; COASTAL; MONOXIDE; CHEMISTRY</t>
  </si>
  <si>
    <t>During the East Antarctic International Ice Sheet Traverse (Eaiist, december 2019), in an unexplored part of the East Antarctic Plateau, snow samples were collected to expand our knowledge of the latitudinal variability of iodine, bromine and sodium as well as their relation in connection with emission processes and photochemical activation in this unexplored area. A total of 32 surface (0-5 cm) and 32 bulk (average of 1 m depth) samples were taken and analysed by Inductively Coupled Plasma Mass Spectrometry (ICP-MS). Our results show that there is no relevant latitudinal trend for bromine and sodium. For bromine they also show that it has no sig-nificant post-depositional mechanisms while its inland surface snow concentration is influenced by spring coastal bromine explosions. Iodine concentrations are several orders of magnitude lower than bromine and sodium and they show a decreasing trend in the surface samples concentration moving southward. This suggests that other processes affect its accumulation in surface snow, probably related to the radial reduction in the ozone layer moving towards central Antarctica. Even though all iodine, bromine and sodium present similar long-range transport from the dominant coastal Antarctic sources, the annual seasonal cycle of the ozone hole over Antarctica increases the amount of UV radiation (in the 280-320 nm range) reaching the surface, thereby affecting the surface snow photoactivation of iodine. A comparison between the bulk and surface samples supports the conclusion that iodine undergoes spring and summer snow recycling that increases its atmospheric lifetime, while it tends to accumulate during the winter months when photochemistry ceases.</t>
  </si>
  <si>
    <t>[Celli, G.; Cairns, W. R. L.; Stenni, B.; Spolaor, A.] Ca Foscari Univ Venice, Dept Environm Sci Informat &amp; Stat, Via Torino 155, I-30172 Venice, Mestre, Italy; [Cairns, W. R. L.; Becagli, S.; Spolaor, A.] CNR Inst Polar Sci CNR ISP, 155 Via Torino, I-30172 Venice, Mestre, Italy; [Scarchilli, C.] Univ Roma Tre, Dept Sci, Largo S Leonardo Murialdo 1, I-00146 Rome, Italy; [Cuevas, C. A.; Saiz-Lopez, A.] IQFR CSIC, Inst Phys Chem Rocasolano, Dept Atmospher Chem &amp; Climate, Madrid 28006, Spain; [Savarino, J.] Univ Grenoble Alpes, CNRS, INRAE, IRD,Grenoble INP,IGE, F-38000 Grenoble, France; [Frezzotti, M.] ENEA, CR Casaccia, I-00123 Rome, Italy; [Becagli, S.] Univ Florence, Dept Chem Ugo Schiff, I-50019 Florence, Italy; [Delmonte, B.] Univ Milano Bicocca, Dept Environm Sci, Milan, Italy; [Fernandez, R. P.] FCEN UNCuyo, Inst Interdisciplinary Sci, Natl Res Council ICB CONICET, RA-5501 Mendoza, Argentina</t>
  </si>
  <si>
    <t>Universita Ca Foscari Venezia; Roma Tre University; Italfarmaco; Consejo Superior de Investigaciones Cientificas (CSIC); CSIC - Instituto de Quimica Fisica Rocasolano (IQFR); Centre National de la Recherche Scientifique (CNRS); Institut de Recherche pour le Developpement (IRD); Communaute Universite Grenoble Alpes; Universite Grenoble Alpes (UGA); INRAE; Institut National Polytechnique de Grenoble; Italian National Agency New Technical Energy &amp; Sustainable Economics Development; University of Florence; University of Milano-Bicocca</t>
  </si>
  <si>
    <t>Spolaor, A (corresponding author), Ca Foscari Univ Venice, Dept Environm Sci Informat &amp; Stat, Via Torino 155, I-30172 Venice, Mestre, Italy.</t>
  </si>
  <si>
    <t>andrea.spolaor@unive.it</t>
  </si>
  <si>
    <t>Fernandez, Rafael Pedro/ABF-2323-2020; savarino, joel/H-9730-2012</t>
  </si>
  <si>
    <t>Fernandez, Rafael Pedro/0000-0002-4114-5500; savarino, joel/0000-0002-6708-9623; FREZZOTTI, Massimo/0000-0002-2461-2883; Stenni, Barbara/0000-0003-4950-3664; Scarchilli, Claudio/0000-0002-2414-2439</t>
  </si>
  <si>
    <t>Programma Nazionale per la Ricerca in Antartide (PNRA) [1117, PNRA16_049, 1169]; Agence Nationale de la Recherche (ANR) [ANR-10-LABX56, ANR-11-EQPX-009-CLIMCOR, ANR-16-CE01-0011-01]; BNP-Paribas Climate Initiative programs; Institut Polaire Francais Paul Emile Victor programs [1117, 1169, CAPOXI 35-75]; Agence Nationale de la Recherche (ANR) [ANR-16-CE01-0011] Funding Source: Agence Nationale de la Recherche (ANR)</t>
  </si>
  <si>
    <t>Programma Nazionale per la Ricerca in Antartide (PNRA); Agence Nationale de la Recherche (ANR)(Agence Nationale de la Recherche (ANR)); BNP-Paribas Climate Initiative programs; Institut Polaire Francais Paul Emile Victor programs; Agence Nationale de la Recherche (ANR)(Agence Nationale de la Recherche (ANR))</t>
  </si>
  <si>
    <t>The authors would like to thank all the staff of the East International Ice sheet traverse that made possible the collection of the samples used in this manuscript. We also acknowledge all the logistical support received from the PNRA and IPEV for the safe samples handling, storage and transportation. This project received funding from the by the Programma Nazionale per la Ricerca in Antartide (PNRA, project number PNRA16_049).Funding also provided by the Agence Nationale de la Recherche (ANR): ANR-10-LABX56, ANR-11-EQPX-009-CLIMCOR, ANR-16-CE01-0011-01 (J.S.), BNP-Paribas Climate Initiative programs (JS), and the Institut Polaire Francais Paul Emile Victor programs: 1117 (CAPOXI 35-75) (JS) and 1169 (EAIIST) (J.S.).</t>
  </si>
  <si>
    <t>10.1016/j.envres.2023.117344</t>
  </si>
  <si>
    <t>X4CT5</t>
  </si>
  <si>
    <t>WOS:001097956000001</t>
  </si>
  <si>
    <t>Thebault, J; Uvanovic, H; Amice, E; Chauvaud, L; Peharda, M</t>
  </si>
  <si>
    <t>Thebault, Julien; Uvanovic, Hana; Amice, Erwan; Chauvaud, Laurent; Peharda, Melita</t>
  </si>
  <si>
    <t>Influence of sea-ice dynamics on coastal Antarctic benthos: A case study on lantern clams (Laternula elliptica) in Adelie Land</t>
  </si>
  <si>
    <t>Benthic-pelagic coupling; Clams; East Antarctica; Food source; Growth; Ice; Laternula elliptica; Master chronology; Sclerochronology; Sympagic algae</t>
  </si>
  <si>
    <t>KING-GEORGE-ISLAND; GLACIER TONGUE; GROWTH; VARIABILITY; TOLERANCE; COVE</t>
  </si>
  <si>
    <t>Polar regions are warming faster than the world average and are profoundly affected by changes in the spatio-temporal dynamics of sea ice, with largely unknown repercussions on the functioning of marine ecosystems. Here, we investigated the impacts of interannual sea-ice variability on coastal benthic communities in Antarctica, focusing on a close-to-pristine area (Ade ' lie Land). We investigated shell growth of the circum-Antarctic bivalve Laternula elliptica, considered a key species in these soft bottom benthic communities. Chondrophores of live-collected clams were prepared using standard sclerochronological methods to study the interannual variability of shell growth from 1996 to 2015. Our results show that the master chronology varied with sea-ice dynamics. When sea ice breaks up too early, sympagic algae do not have time to accumulate sufficiently high biomass, thus strongly limiting the energy input to the benthos. This negatively affects the physiological performance of L. elliptica, thereby altering their population dynamics and hence the functioning of these soft-bottom ecosystems.</t>
  </si>
  <si>
    <t>[Thebault, Julien; Amice, Erwan; Chauvaud, Laurent] Univ Brest, CNRS, LEMAR, IFREMER,IRD, F-29280 Plouzane, France; [Uvanovic, Hana; Peharda, Melita] Inst Oceanog &amp; Fisheries, Split, Croatia</t>
  </si>
  <si>
    <t>Universite de Bretagne Occidentale; Centre National de la Recherche Scientifique (CNRS); Ifremer; Institut de Recherche pour le Developpement (IRD); Croatian Institute of Oceanography &amp; Fisheries (IZOR)</t>
  </si>
  <si>
    <t>Thebault, J (corresponding author), Univ Brest, CNRS, LEMAR, IFREMER,IRD, F-29280 Plouzane, France.</t>
  </si>
  <si>
    <t>julien.thebault@univ-brest.fr</t>
  </si>
  <si>
    <t>Thébault, Julien/F-6198-2011</t>
  </si>
  <si>
    <t>Thébault, Julien/0000-0002-3111-4428; AMICE, Erwan/0009-0000-3584-4199</t>
  </si>
  <si>
    <t>Institut Polaire Francais Paul Emile Victor (IPEV); Antarctic programme; Croatian Science Foundation [IP-04-2019-8542]</t>
  </si>
  <si>
    <t>Institut Polaire Francais Paul Emile Victor (IPEV); Antarctic programme; Croatian Science Foundation</t>
  </si>
  <si>
    <t>JT, EA and LC were supported by the Institut Polaire Francais Paul Emile Victor (IPEV) and the Antarctic programme IPEV 1124 REVOLTA (Ecological Resources and Valorisation using a Long-Term Observatory in Adelie Land). HU and MP were funded by the Croatian Science Foundation project BivACME (IP-04-2019-8542). GlobColour data (htt p://globcolour.info) used in this study were developed, validated, and distributed by ACRI-ST, France. This manuscript received meticulous attention and expert handling from Associate Editor Luigi Musco. It also greatly benefited from critical reviews and very helpful comments by Paul K. Dayton and two anonymous reviewers.</t>
  </si>
  <si>
    <t>10.1016/j.marenvres.2023.106220</t>
  </si>
  <si>
    <t>X6TJ5</t>
  </si>
  <si>
    <t>WOS:001099750100001</t>
  </si>
  <si>
    <t>Ye, F; Cheng, Q; Hao, WF; Yu, DY; Ma, C; Liang, D; Shen, HF</t>
  </si>
  <si>
    <t>Ye, Fan; Cheng, Qing; Hao, Weifeng; Yu, Dayu; Ma, Chao; Liang, Dong; Shen, Huanfeng</t>
  </si>
  <si>
    <t>Reconstructing daily snow and ice albedo series for Greenland by coupling spatiotemporal and physics-informed models</t>
  </si>
  <si>
    <t>Albedo; Gap -filling; Snow and ice; Greenland</t>
  </si>
  <si>
    <t>BROAD-BAND ALBEDO; SURFACE-ALBEDO; MODIS; REFLECTANCE; LAND; ALGORITHM; SHEET; CLOUD</t>
  </si>
  <si>
    <t>Snow and ice albedo is a critical geographical indicator that reflects climate change on Earth. Quantifying the albedo in Greenland ice sheet, which is extensively covered with snow and ice, is key to studying changes in the energy budget in the Northern Hemisphere. Earth observation satellites have been regularly providing surface albedo products. However, optical satellite-derived albedo products have many voids due to the persistent cloud cover over the Greenland ice sheet. Consequently, seamless reconstruction of albedo on the spatial and temporal scales is essential. Surface albedo, as a geographical element, is spatially and temporally correlated. In addition, the broadband albedo of snow and ice is significantly modified by changes in the spectral distribution of solar irradiance caused by clouds. On the basis of such facts, this study proposes a reconstruction method for snow and ice albedo that combines spatiotemporal information with a physics-informed model. This method uses spatiotemporal nonlocal filtering to generate the initial reference albedo for missing pixels. Then, the hypothetical clear-sky albedo is reconstructed using the Whittaker iterator. Finally, cloudy albedo is obtained on the basis of the empirical relationship between clear-sky and cloudy-sky albedos. We reconstruct albedo based on MOD10A1 for the whole Greenland region from 2001 to 2020. A comparison between the reconstruction results and ground measurements exhibits satisfactory accuracy with an R-value of 0.8162, a root-mean-square error of 0.0669, a mean absolute error of 0.0486, and a bias of 0.00001. Moreover, the proposed method demonstrates the advantages of being more accurate and robust than other classical methods. Therefore, this study will be valuable for generating 500 m daily remotely sensed albedo of snow and ice in large regions.</t>
  </si>
  <si>
    <t>[Ye, Fan; Cheng, Qing] China Univ Geosci, Sch Comp Sci, Wuhan 430074, Hubei, Peoples R China; [Hao, Weifeng; Ma, Chao] Wuhan Univ, Chinese Antarctic Ctr Surveying &amp; Mapping, Wuhan 430079, Hubei, Peoples R China; [Yu, Dayu] Wuhan Univ, Sch Remote Sensing &amp; Informat Engn, Wuhan 430079, Hubei, Peoples R China; [Liang, Dong] Chinese Acad Sci, Aerosp Informat Res Inst, Key Lab Digital Earth Sci, Beijing 100094, Peoples R China; [Liang, Dong] Int Res Ctr Big Data Sustainable Dev Goals, Beijing 100094, Peoples R China; [Shen, Huanfeng] Wuhan Univ, Sch Resource &amp; Environm Sci, Wuhan 430079, Hubei, Peoples R China</t>
  </si>
  <si>
    <t>China University of Geosciences; Wuhan University; Wuhan University; Chinese Academy of Sciences; Aerospace Information Research Institute, CAS; Wuhan University</t>
  </si>
  <si>
    <t>Cheng, Q (corresponding author), China Univ Geosci, Sch Comp Sci, Wuhan 430074, Hubei, Peoples R China.</t>
  </si>
  <si>
    <t>qingcheng@whu.edu.cn</t>
  </si>
  <si>
    <t>Dong, Liang/JZD-4605-2024; Shen, Huanfeng/HPD-8048-2023; Liang, Dong/F-8081-2014</t>
  </si>
  <si>
    <t>Liang, Dong/0000-0001-9147-7792</t>
  </si>
  <si>
    <t>National Natural Science Foundation of China [42171383]</t>
  </si>
  <si>
    <t>The work was supported by the National Natural Science Foundation of China (No. 42171383) .</t>
  </si>
  <si>
    <t>10.1016/j.jag.2023.103519</t>
  </si>
  <si>
    <t>X3PW3</t>
  </si>
  <si>
    <t>WOS:001097617300001</t>
  </si>
  <si>
    <t>De Wysiecki, AM; Barnett, A; Cortés, F; Wiff, R; Merlo, PJ; Jaureguizar, AJ; Awruch, CA; Trobbiani, GA; Irigoyen, AJ</t>
  </si>
  <si>
    <t>De Wysiecki, Agustin M.; Barnett, Adam; Cortes, Federico; Wiff, Rodrigo; Merlo, Pablo J.; Jaureguizar, Andres J.; Awruch, Cynthia A.; Trobbiani, Gaston A.; Irigoyen, Alejo J.</t>
  </si>
  <si>
    <t>The essential habitat role of a unique coastal inlet for a widely distributed apex predator</t>
  </si>
  <si>
    <t>acoustic tracking; aggregation; marine protected area; sevengill shark; spatial ecology; tidal effect</t>
  </si>
  <si>
    <t>SHARK NOTORYNCHUS-CEPEDIANUS; BROADNOSE SEVENGILL SHARK; PENINSULA VALDES; MATING-BEHAVIOR; MOVEMENT; ECOLOGY; CONSERVATION; SEASONALITY; DEMOGRAPHY; MIGRATION</t>
  </si>
  <si>
    <t>Essential habitats support specific functions for species, such as reproduction, feeding or refuge. For highly mobile aquatic species, identifying essential habitats within the wider distribution range is central to understanding species ecology, and underpinning effective management plans. This study examined the movement and space use patterns of sevengill sharks (Notorynchus cepedianus) in Caleta Valdes (CV), a unique coastal habitat in northern Patagonia, Argentina. Seasonal residency patterns of sharks were evident, with higher detectability in late spring and early summer and lower during autumn and winter. The overlap between the residency patterns of sharks and their prey, elephant seals, suggests that CV functions as a seasonal feeding aggregation site for N. cepedianus. The study also found sexual differences in movement behaviour, with males performing abrupt departures from CV and showing increased roaming with the presence of more sharks, and maximum detection probability at high tide. These movements could be related to different feeding strategies between sexes or mate-searching behaviour, suggesting that CV may also be essential for reproduction. Overall, this study highlights the importance of coastal sites as essential habitats for N. cepedianus and deepens our understanding of the ecological role of this apex predator in marine ecosystems.</t>
  </si>
  <si>
    <t>[De Wysiecki, Agustin M.; Merlo, Pablo J.; Awruch, Cynthia A.; Trobbiani, Gaston A.; Irigoyen, Alejo J.] Consejo Nacl Invest Cient &amp; Tecn, Ctr Estudio Sistemas Marinos, Puerto Madryn, Chubut, Argentina; [Barnett, Adam] James Cook Univ, Marine Data Technol Hub, Townsville, Qld, Australia; [Barnett, Adam] Biopixel Oceans Fdn, Cairns, Qld, Australia; [Cortes, Federico] Inst Nacl Invest &amp; Desarrollo Pesquero, Mar Del Plata, Buenos Aires, Argentina; [Wiff, Rodrigo] Pontificia Univ Catolica Chile, Ctr Appl Ecol &amp; Sustainabil CAPES, Santiago, Chile; [Wiff, Rodrigo] Inst Milenio Socioecol Costera SECOS, Santiago, Chile; [Jaureguizar, Andres J.] Comis Invest Cient Prov Buenos Aires CIC, La Plata, Buenos Aires, Argentina; [Jaureguizar, Andres J.] Inst Argentino Oceanog IADO, Bahia Blanca, Buenos Aires, Argentina; [Jaureguizar, Andres J.] Univ Prov Sudoeste UPSO, Coronel Pringles, Buenos Aires, Argentina; [Awruch, Cynthia A.] Univ Tasmania, Inst Marine &amp; Antarctic Studies IMAS, Fisheries &amp; Aquaculture, Hobart, Tas, Australia</t>
  </si>
  <si>
    <t>Consejo Nacional de Investigaciones Cientificas y Tecnicas (CONICET); James Cook University; National Fisheries Research &amp; Development Institute (INIDEP); Pontificia Universidad Catolica de Chile; Comision de Investigaciones Cientificas; University of Tasmania</t>
  </si>
  <si>
    <t>De Wysiecki, AM (corresponding author), Consejo Nacl Invest Cient &amp; Tecn, Ctr Estudio Sistemas Marinos, Puerto Madryn, Chubut, Argentina.</t>
  </si>
  <si>
    <t>adam.barnett@jcu.edu.au</t>
  </si>
  <si>
    <t>De Wysiecki, Agustín/I-9783-2019; Jaureguizar, Andres Javier/D-2308-2010</t>
  </si>
  <si>
    <t>De Wysiecki, Agustín/0000-0002-0506-3495; Trobbiani, Gaston Andres/0000-0001-7793-7553; Merlo, Pablo J./0000-0002-0626-4993; Jaureguizar, Andres Javier/0000-0003-1916-8682</t>
  </si>
  <si>
    <t>Council on Australia Latin America Relations (COALAR); Shark Conservation Fund [2019]; Temaiken Foundation; CAPES-UC, Chile project FONDECYT [FB0002]; ANID-Programa Iniciativa Cientifica Milenio [ICN2019-015]</t>
  </si>
  <si>
    <t>Council on Australia Latin America Relations (COALAR); Shark Conservation Fund [2019]; Temaiken Foundation; CAPES-UC, Chile project FONDECYT; ANID-Programa Iniciativa Cientifica Milenio</t>
  </si>
  <si>
    <t>This project was funded by small grants from the Council on Australia Latin America Relations (COALAR) [2019] and the Shark Conservation Fund [2019], and field support from Temaiken Foundation. R.W. was funded by the CAPES-UC, Chile project FONDECYT no. FB0002 (2014) and ANID-Programa Iniciativa Cientifica Milenio Codigo ICN2019-015.</t>
  </si>
  <si>
    <t>10.1098/rsos.230667</t>
  </si>
  <si>
    <t>U0QY6</t>
  </si>
  <si>
    <t>WOS:001081950700017</t>
  </si>
  <si>
    <t>Bakhmutov, V; Yegorova, T; Bakarzhiyeva, M; Mytrokhyn, O; Shpyra, V; Orlyuk, M; Maksymchuk, V; Tarasov, V; Romenets, A; Nakalov, Y; Brillinh, Y; Romanyuk, O; Otruba, Y; Litvinov, D</t>
  </si>
  <si>
    <t>Bakhmutov, Volodymyr; Yegorova, Tamara; Bakarzhiyeva, Mariya; Mytrokhyn, Olexandr; Shpyra, Viktor; Orlyuk, Mykhailo; Maksymchuk, Valentyn; Tarasov, Viktor; Romenets, Andrii; Nakalov, Yevheniy; Brillinh, Yevhenii; Romanyuk, Oleh; Otruba, Yurii; Litvinov, Dmytro</t>
  </si>
  <si>
    <t>Magnetic field map of the Wilhelm Archipelago shelf zone, West Antarctica</t>
  </si>
  <si>
    <t>Antarctic Peninsula; Wilhelm Archipelago; Geophysical survey; Magnetic anomalies; Crustal studies</t>
  </si>
  <si>
    <t>U-PB GEOCHRONOLOGY; IGNEOUS ROCKS; PENINSULA; MAGMATISM; EVOLUTION; PALEOMAGNETISM; LITHOSPHERE; COMPLEXES; GABBROIDS; SATELLITE</t>
  </si>
  <si>
    <t>The Antarctic Digital Magnetic Anomaly Project is an international research effort to construct a magnetic map of the continent based on ground, satellite, marine, and aeromagnetic surveys. This paper reports the magnetic mapping of the shelf zone in the SE part of the Wilhelm Archipelago, West Antarctica, based on magnetic surveys conducted with Zodiac boats. A spectacular feature of this area is the strong magnetic anomaly of the Antarctic Peninsula (AP) batholith, which was the product of subduction-related Mesozoic-Cenozoic arc magmatism on the former margin of Western Gondwana. We constructed and analyzed a detailed magnetic map of magnetic field anomalies using field observations of rock exposures on the islands and magnetic properties of rocks from laboratory data. The oldest volcanic rocks of Jurassic to Lower Cretaceous age relate to N-NE trending bands of negative magnetic field. The largest feature in the study area is an Upper Cretaceous/Paleogene granodiorite complex that produces a positive magnetic anomaly. Many smaller anomalies are also present over gabbroid bodies of Cretaceous age. Two-dimensional magnetic modeling shows that heterogeneities in the upper crust may have magnetic susceptibilities in the range of 0.005-0.13 SI. Magnetic field anomalies also delineate an orthogonal system of tectonic faults, including the main NE fault along the Penola Strait (sub-parallel to the AP coastline) and four intersecting faults. These fault systems may be associated with different stages of continental margin evolution along the Antarctic Peninsula.</t>
  </si>
  <si>
    <t>[Bakhmutov, Volodymyr; Yegorova, Tamara; Bakarzhiyeva, Mariya; Shpyra, Viktor; Orlyuk, Mykhailo; Tarasov, Viktor; Romenets, Andrii] Natl Acad Sci Ukraine, Subbotin Inst Geophys, 32 Palladina Ave, UA-03680 Kiev, Ukraine; [Bakhmutov, Volodymyr] Polish Acad Sci, Inst Geophys, 64 Ksiecia Janusza, PL-01452 Warsaw, Poland; [Yegorova, Tamara] Univ Parma, Dept Life Sci &amp; Environm Sustainabil, Parco Area Sci 11-A,Campus, I-43124 Parma, Italy; [Mytrokhyn, Olexandr] Taras Shevchenko Natl Univ Kyiv, Educ Sci Inst, Inst Geol, 90 Vasylkivska Str, UA-03022 Kiev, Ukraine; [Maksymchuk, Valentyn; Nakalov, Yevheniy; Brillinh, Yevhenii; Romanyuk, Oleh] Natl Acad Sci Ukraine, Subbotin Inst Geophys, Carpathian Branch, 3-B Naukova Str, UA-79060 Lvov, Ukraine; [Otruba, Yurii] Minist Educ &amp; Sci Ukraine, State Inst Natl Antarctic Sci Ctr, 16 Taras Shevchenko Blvd, UA-01601 Kiev, Ukraine; [Litvinov, Dmytro] Natl Acad Sci Ukraine, Inst Geol Sci, 55-b O Honchar Str, UA-01054 Kiev, Ukraine</t>
  </si>
  <si>
    <t>National Academy of Sciences Ukraine; Subbotin Institute of Geophysics, National Academy of Sciences of Ukraine; Polish Academy of Sciences; Institute of Geophysics of the Polish Academy of Sciences; University of Parma; Ministry of Education &amp; Science of Ukraine; Banking University; Taras Shevchenko National University of Kyiv; National Academy of Sciences Ukraine; Institute of Geological Sciences, National Academy of Sciences of Ukraine; National Academy of Sciences Ukraine; Subbotin Institute of Geophysics, National Academy of Sciences of Ukraine; Ministry of Education &amp; Science of Ukraine; State Institution National Antarctic Scientific Center; National Academy of Sciences Ukraine; Institute of Geological Sciences, National Academy of Sciences of Ukraine</t>
  </si>
  <si>
    <t>Bakhmutov, V (corresponding author), Natl Acad Sci Ukraine, Subbotin Inst Geophys, 32 Palladina Ave, UA-03680 Kiev, Ukraine.;Bakhmutov, V (corresponding author), Polish Acad Sci, Inst Geophys, 64 Ksiecia Janusza, PL-01452 Warsaw, Poland.</t>
  </si>
  <si>
    <t>bakhmutovvg@gmail.com</t>
  </si>
  <si>
    <t>Mytrokhyn, Oleksandr/I-2020-2018</t>
  </si>
  <si>
    <t>Mytrokhyn, Oleksandr/0000-0001-6269-0092; Bakhmutov, Vladimir/0000-0003-3804-9953</t>
  </si>
  <si>
    <t>We gratefully acknowledge the State Institution National Antarctic Scientific Center of Ministry of Education and Sciences of Ukraine for support of our research in West Antarctica in the framework of the State Special-Purpose Research Program in Antarctic; State Institution National Antarctic Scientific Center of Ministry of Education and Sciences of Ukraine [UMO-2022/01/3/ST10/00033]; National Science Center, Poland</t>
  </si>
  <si>
    <t>We gratefully acknowledge the State Institution National Antarctic Scientific Center of Ministry of Education and Sciences of Ukraine for support of our research in West Antarctica in the framework of the State Special-Purpose Research Program in Antarctic; State Institution National Antarctic Scientific Center of Ministry of Education and Sciences of Ukraine; National Science Center, Poland(National Science Centre, Poland)</t>
  </si>
  <si>
    <t>We gratefully acknowledge the State Institution National Antarctic Scientific Center of Ministry of Education and Sciences of Ukraine for support of our research in West Antarctica in the framework of the State Special-Purpose Research Program in Antarctica. Special thanks to members of wintering teams of Akademik Vernadsky base which provided the logistic support for field work during the expeditions. The authors are thankful to three anonymous reviewers for their valuable suggestions and comments which greatly improved the quality of the manuscript. This manuscript was prepared with the support of the National Science Center, Poland, research project no. UMO-2022/01/3/ST10/00033 (V. Bakhmutov).</t>
  </si>
  <si>
    <t>2023 OCT 11</t>
  </si>
  <si>
    <t>10.1007/s11600-023-01190-6</t>
  </si>
  <si>
    <t>U1VT3</t>
  </si>
  <si>
    <t>WOS:001082754700002</t>
  </si>
  <si>
    <t>Székely, T; Carmona-Isunza, MC; Engel, N; Halimubieke, N; Jones, W; Kubelka, V; Rice, R; Tanner, CE; Tóth, Z; Valdebenito, JO; Wanders, K; Mcdonald, GC</t>
  </si>
  <si>
    <t>Szekely, Tamas; Carmona-Isunza, Maria C.; Engel, Noemie; Halimubieke, Naerhulan; Jones, William; Kubelka, Vojtch; Rice, Romy; Tanner, Claire E.; Toth, Zsofia; Valdebenito, Jose O.; Wanders, Kees; Mcdonald, Grant C.</t>
  </si>
  <si>
    <t>The causes and implications of sex role diversity in shorebird breeding systems</t>
  </si>
  <si>
    <t>IBIS</t>
  </si>
  <si>
    <t>adult sex ratio; mating system; parental care; sexual conflict; sexual selection</t>
  </si>
  <si>
    <t>ROLE-REVERSED SHOREBIRD; PARENTAL CARE; BROOD DESERTION; MATING SYSTEM; KENTISH PLOVER; SITE FIDELITY; SIZE DIMORPHISM; WATTLED JACANA; MATE FIDELITY; GREAT SNIPE</t>
  </si>
  <si>
    <t>Males and females often exhibit different behaviours during mate acquisition, pair-bonding and parenting, and a convenient label to characterize these behaviours is sex role. The diverse roles that male and female shorebirds (plovers, sandpipers and allies) exhibit in mating and parenting have played a key role in advancing mainstream theories in avian ecology and behavioural biology including sexual selection, sexual conflict and parental cooperation. Recent advances in shorebird research have also highlighted the significance of the social environment in driving sex role behaviours by linking the adult sex ratio with breeding behaviour and population demography. Here we review the key advances in sex role research using shorebirds as an ecological model system. We identify knowledge gaps and argue that shorebirds have untapped potential to accelerate diverse research fields including evolutionary genomics, movement ecology, social networks and environmental changes. Future studies of sex roles will benefit from individual-based monitoring using advanced tracking technologies, and from multi-team collaborations that are facilitated by standardized data collection methodologies across different species in the field. These advances will not only contribute to our understanding of reproductive strategies, but they will also have knock-on effects on predicting population resilience to environmental changes and on prioritizing species for conservation.</t>
  </si>
  <si>
    <t>[Szekely, Tamas; Engel, Noemie; Halimubieke, Naerhulan; Rice, Romy; Tanner, Claire E.; Wanders, Kees] Univ Bath, Milner Ctr Evolut, Bath BA2 7AY, England; [Szekely, Tamas; Jones, William; Toth, Zsofia] Univ Debrecen, ELKH DE Reprod Strateg Res Grp, Egyet Ter 1, H-4032 Debrecen, Hungary; [Szekely, Tamas] Univ Debrecen, Debrecen Biodivers Ctr, Vezer Utca 37, H-4032 Debrecen, Hungary; [Carmona-Isunza, Maria C.] Univ Nacl Autonoma Mexico, Fac Ciencias, Dept Ecol &amp; Recursos Nat, Ciudad Univ, Ciudad De Mexico 04510, Mexico; [Engel, Noemie; Rice, Romy] Maio Biodivers Fdn, Cidade Do Porto Ingles 6110, Maio, Cape Verde; [Halimubieke, Naerhulan] UCL, Dept Anthropol, London WC1H 0BW, England; [Kubelka, Vojtch] Univ South Bohemia, Dept Zool, Branisovska 1760, Ceske Budejovice 37005, Czech Republic; [Kubelka, Vojtch] Univ South Bohemia, Ctr Polar Ecol, Branisovska 1760, Ceske Budejovice 37005, Czech Republic; [Toth, Zsofia] Lund Univ, Dept Biol, Lund, Sweden; [Valdebenito, Jose O.] Univ Austral Chile, Inst Ciencias Marinas &amp; Limnol, Bird Ecol Lab, Independencia 631, Valdivia, Chile; [Valdebenito, Jose O.] Millennium Inst Biodivers Antarctic &amp; Subantarct E, Santiago, Chile; [Valdebenito, Jose O.] Univ Austral Chile, Ctr Humedales Rio Cruces CEHUM, Valdivia, Chile; [Mcdonald, Grant C.] Univ Vet Med, Dept Zool, Budapest, Hungary</t>
  </si>
  <si>
    <t>University of Bath; University of Debrecen; University of Debrecen; Universidad Nacional Autonoma de Mexico; University of London; University College London; University of South Bohemia Ceske Budejovice; University of South Bohemia Ceske Budejovice; Lund University; Universidad Austral de Chile; Universidad Austral de Chile; University of Veterinary Medicine Budapest</t>
  </si>
  <si>
    <t>Székely, T (corresponding author), Univ Bath, Milner Ctr Evolut, Bath BA2 7AY, England.;Székely, T (corresponding author), Univ Debrecen, ELKH DE Reprod Strateg Res Grp, Egyet Ter 1, H-4032 Debrecen, Hungary.;Székely, T (corresponding author), Univ Debrecen, Debrecen Biodivers Ctr, Vezer Utca 37, H-4032 Debrecen, Hungary.;Mcdonald, GC (corresponding author), Univ Vet Med, Dept Zool, Budapest, Hungary.</t>
  </si>
  <si>
    <t>t.szekely@bath.ac.uk; grant.mcdonald@univet.hu</t>
  </si>
  <si>
    <t>Tóth, Zsófia/HGB-9805-2022; Jones, William/X-9400-2019</t>
  </si>
  <si>
    <t>Jones, William/0000-0002-3058-0072; Valdebenito, Jose/0000-0002-6709-6305; Toth, Zsofia/0000-0002-9893-6303; Tanner, Claire Elizabeth/0000-0001-9967-9049; Engel, Noemie/0000-0001-9893-4693</t>
  </si>
  <si>
    <t>NKFIH the National Research, Development and Innovation Office of Hungary [ELVONAL-KKP 126949]; Luxemburg National Research Fund [13530957]; Czech Science Foundation [31-2307692M_Kubelka]; Evolution Education Trust [EH-BB1311]; FONDECYT [3220722]; National Environmental Research Council [NE/S007504/1]; Royal Society Wolfson Merit Award; Eoetvoes Lorand Research Network (ELKH - Debrecen University Reproductive Strategies Research Group) [1102207]; National Research, Development and Innovation Office of Hungary OTKA Young Researcher Excellence Fellowship [FK 134741]</t>
  </si>
  <si>
    <t>NKFIH the National Research, Development and Innovation Office of Hungary; Luxemburg National Research Fund; Czech Science Foundation(Grant Agency of the Czech Republic); Evolution Education Trust; FONDECYT(Comision Nacional de Investigacion Cientifica y Tecnologica (CONICYT)CONICYT FONDECYT); National Environmental Research Council(UK Research &amp; Innovation (UKRI)Natural Environment Research Council (NERC)); Royal Society Wolfson Merit Award(Royal Society); Eoetvoes Lorand Research Network (ELKH - Debrecen University Reproductive Strategies Research Group); National Research, Development and Innovation Office of Hungary OTKA Young Researcher Excellence Fellowship</t>
  </si>
  <si>
    <t>We appreciate the comments of the Editors and two Reviewers on a former version of the manuscript. Research that led to this review was supported by ELVONAL-KKP 126949 of NKFIH the National Research, Development and Innovation Office of Hungary (PI: TS): 'Sex role evolution: testing the impacts of ecology, demography and genes'. Further funding included the Luxemburg National Research Fund (grant number 13530957 to NE), Czech Science Foundation (Junior Star GACR project 31-2307692M_Kubelka to VK), Evolution Education Trust (grant number EH-BB1311 to RR), FONDECYT (postdoctorado 3220722 to JOV), National Environmental Research Council (NE/S007504/1 to KW), the Royal Society Wolfson Merit Award (WM170050 to TS), Eoetvoes Lorand Research Network (ELKH - Debrecen University Reproductive Strategies Research Group, Ref 1102207 to TS) and a National Research, Development and Innovation Office of Hungary OTKA Young Researcher Excellence Fellowship (FK 134741 to GCM).</t>
  </si>
  <si>
    <t>0019-1019</t>
  </si>
  <si>
    <t>1474-919X</t>
  </si>
  <si>
    <t>Ibis</t>
  </si>
  <si>
    <t>10.1111/ibi.13277</t>
  </si>
  <si>
    <t>MA6D9</t>
  </si>
  <si>
    <t>WOS:001081700900001</t>
  </si>
  <si>
    <t>Jeunen, GJ; Lamare, M; Devine, J; Mariani, S; Mills, S; Treece, J; Ferreira, S; Gemmell, NJ</t>
  </si>
  <si>
    <t>Jeunen, Gert-Jan; Lamare, Miles; Devine, Jennifer; Mariani, Stefano; Mills, Sadie; Treece, Jackson; Ferreira, Sara; Gemmell, Neil J.</t>
  </si>
  <si>
    <t>Characterizing Antarctic fish assemblages using eDNA obtained from marine sponge bycatch specimens</t>
  </si>
  <si>
    <t>Metabarcoding; Passive eDNA sampling; Ross Sea; Southern Ocean; Fisheries; Biodiversity</t>
  </si>
  <si>
    <t>ENVIRONMENTAL DNA; CLIMATE-CHANGE; ROSS SEA; CONSERVATION; BIODIVERSITY; ECOSYSTEM; IMPACTS; DIET; PCR</t>
  </si>
  <si>
    <t>International conservation goals have been set to mitigate Southern Ocean ecosystem deterioration, with multiple monitoring programs evaluating progress towards those goals. The scale of continuous monitoring through visual observations, however, is challenged by the remoteness of the area and logistical constraints. Given the ecological and economic importance of the Southern Ocean, it is imperative that additional biological monitoring approaches are explored. Recently, marine sponges, which are frequently caught and discarded in Southern Ocean fisheries, have been shown to naturally accumulate environmental DNA (eDNA). Here, we compare fish eDNA signals from marine sponge bycatch specimens to fish catch records for nine locations on the continental shelf (523.5-709 m) and 17 from the continental slope (887.5-1611.5 m) within the Ross Sea, Antarctica. We recorded a total of 20 fishes, with 12 fishes reported as catch, 18 observed by eDNA, and ten detected by both methods. While sampling location was the largest contributor to the variation observed in the dataset, eDNA obtained significantly higher species richness and displayed a significantly different species composition compared to fish catch records. Overall, eDNA read count correlated more strongly with fish abundance over biomass. Species composition correlated on a regional scale between methods, however eDNA signal strength was a low predictor of catch numbers at the species level. Our results highlight the potential of sponge eDNA monitoring in the Southern Ocean by detecting a larger fraction of the fish community compared to catch recordings, thereby increasing our knowledge of this understudied ecosystem and, ultimately, aiding conservation efforts.</t>
  </si>
  <si>
    <t>[Jeunen, Gert-Jan; Treece, Jackson; Ferreira, Sara; Gemmell, Neil J.] Univ Otago, Sch Biomed Sci, Dept Anat, Dunedin 9016, New Zealand; [Lamare, Miles] Univ Otago, Dept Marine Sci, Dunedin 9016, New Zealand; [Devine, Jennifer; Mills, Sadie] Natl Inst Water &amp; Atmospher Res, Wellington 6021, New Zealand; [Mariani, Stefano] Liverpool John Moores Univ, Sch Biol &amp; Environm Sci, Liverpool L3 3AF, England</t>
  </si>
  <si>
    <t>University of Otago; University of Otago; National Institute of Water &amp; Atmospheric Research (NIWA) - New Zealand; Liverpool John Moores University</t>
  </si>
  <si>
    <t>Jeunen, GJ (corresponding author), Univ Otago, Sch Biomed Sci, Dept Anat, Dunedin 9016, New Zealand.</t>
  </si>
  <si>
    <t>gjeunen@gmail.com</t>
  </si>
  <si>
    <t>Gemmell, Neil J/C-6774-2009; Mariani, Stefano/A-2964-2012</t>
  </si>
  <si>
    <t>Jeunen, Gert-Jan/0000-0001-7458-3550; Mariani, Stefano/0000-0002-5329-0553; Treece, Jackson/0000-0003-1152-7214</t>
  </si>
  <si>
    <t>We thank the onboard scientist Michael Prasad and the scientific observers Nigel Hollands (NZ/MPI observer) and Chuma Sijaji (CCAMLR international observer, Capricorn Fisheries) for their dedication of delivering scientific data and for carrying out sample [ANT201901]; Michael Prasad being onboard of the San Aotea II fishing vessel [MFP-UOO2116]; Ministry of Business, Innovation, and Employment [MBIE ANTA1801]</t>
  </si>
  <si>
    <t>We thank the onboard scientist Michael Prasad and the scientific observers Nigel Hollands (NZ/MPI observer) and Chuma Sijaji (CCAMLR international observer, Capricorn Fisheries) for their dedication of delivering scientific data and for carrying out sample; Michael Prasad being onboard of the San Aotea II fishing vessel; Ministry of Business, Innovation, and Employment(New Zealand Ministry of Business, Innovation and Employment (MBIE))</t>
  </si>
  <si>
    <t>We thank the onboard scientist Michael Prasad and the scientific observers Nigel Hollands (NZ/MPI observer) and Chuma Sijaji (CCAMLR international observer, Capricorn Fisheries) for their dedication of delivering scientific data and for carrying out sample collection. MPI project ANT201901 funded Michael Prasad being onboard of the San Aotea II fishing vessel. Marsden Fast-Start MFP-UOO2116 funded sample processing and sequencing costs. Ministry of Business, Innovation, and Employment Grant/Award Number MBIE ANTA1801 covered sample transport to and from fishing vessel and eDNA facilities at PML, University of Otago.</t>
  </si>
  <si>
    <t>10.1007/s11160-023-09805-3</t>
  </si>
  <si>
    <t>GX8P6</t>
  </si>
  <si>
    <t>WOS:001080349000001</t>
  </si>
  <si>
    <t>Hank, K; Tarasov, L; Mantelli, E</t>
  </si>
  <si>
    <t>Hank, Kevin; Tarasov, Lev; Mantelli, Elisa</t>
  </si>
  <si>
    <t>Modeling sensitivities of thermally and hydraulically driven ice stream surge cycling</t>
  </si>
  <si>
    <t>BASAL MECHANICS; SHEET; HYDROLOGY; DYNAMICS; FLOW</t>
  </si>
  <si>
    <t>Modeling ice sheet instabilities is a numerical challenge of potentially high real-world relevance. Yet, differentiating between the impacts of model physics, numerical implementation choices, and numerical errors is not straightforward. Here, we use an idealized North American geometry and climate representation (similarly to the HEINO (Heinrich Event INtercOmparison) experiments - ) to examine the process and numerical sensitivity of ice stream surge cycling in ice flow models. Through sensitivity tests, we identify some numerical requirements for a more robust model configuration for such contexts. To partly address model-specific dependencies, we use both the Glacial Systems Model (GSM) and the Parallel Ice Sheet Model (PISM). We show that modeled surge characteristics are resolution dependent, though they converge (decreased differences between resolutions) at finer horizontal grid resolutions. Discrepancies between fine and coarse horizontal grid resolutions can be reduced by incorporating sliding at sub-freezing temperatures. The inclusion of basal hydrology increases the ice volume lost during surges, whereas the dampening of basal-temperature changes due to a bed thermal model leads to a decrease.</t>
  </si>
  <si>
    <t>[Hank, Kevin; Tarasov, Lev] Mem Univ Newfoundland, Dept Phys &amp; Phys Oceanog, St John, NF A1B 3X7, Canada; [Mantelli, Elisa] Ludwig Maximillians Universitaet Munich, Dept Earth &amp; Environm Sci, Theresienstr 41, D-80333 Munich, Germany; [Mantelli, Elisa] Alfred Wegener Inst Polar &amp; Marine Res, Alten Hafen 26, D-27568 Bremerhaven, Germany; [Mantelli, Elisa] Univ Tasmania, Inst Marine &amp; Antarctic Studies, 20 Castray Esplanade, Battery Point, TAS 7004, Australia</t>
  </si>
  <si>
    <t>Memorial University Newfoundland; Helmholtz Association; Alfred Wegener Institute, Helmholtz Centre for Polar &amp; Marine Research; University of Tasmania</t>
  </si>
  <si>
    <t>Hank, K (corresponding author), Mem Univ Newfoundland, Dept Phys &amp; Phys Oceanog, St John, NF A1B 3X7, Canada.</t>
  </si>
  <si>
    <t>khank@mun.ca</t>
  </si>
  <si>
    <t>MANTELLI, ELISA/G-4965-2018</t>
  </si>
  <si>
    <t>MANTELLI, ELISA/0000-0001-5096-7998; Hank, Kevin/0000-0002-2559-9238</t>
  </si>
  <si>
    <t>NSERC [RGPIN-2018-06658]; Canadian Foundation for Innovation; German Federal Ministry of Education and Research (BMBF); European Union [101076793]</t>
  </si>
  <si>
    <t>NSERC(Natural Sciences and Engineering Research Council of Canada (NSERC)); Canadian Foundation for Innovation(Canada Foundation for Innovation); German Federal Ministry of Education and Research (BMBF)(Federal Ministry of Education &amp; Research (BMBF)); European Union(European Union (EU))</t>
  </si>
  <si>
    <t>This research has been supported by an NSERC Discovery grant (grant no. RGPIN-2018-06658), the Canadian Foundation for Innovation, and the German Federal Ministry of Education and Research (BMBF) as a Research for Sustainability initiative (FONA) through the PalMod project. Elisa Mantelli was supported by the European Union (ERC-2022-STG, grant no.101076793).</t>
  </si>
  <si>
    <t>OCT 10</t>
  </si>
  <si>
    <t>10.5194/gmd-16-5627-2023</t>
  </si>
  <si>
    <t>IV0Q3</t>
  </si>
  <si>
    <t>WOS:001168998100001</t>
  </si>
  <si>
    <t>Wang, Z; Chung, AL; Steinhage, D; Parrenin, F; Freitag, J; Eisen, O</t>
  </si>
  <si>
    <t>Wang, Zhuo; Chung, Ailsa; Steinhage, Daniel; Parrenin, Frederic; Freitag, Johannes; Eisen, Olaf</t>
  </si>
  <si>
    <t>Mapping age and basal conditions of ice in the Dome Fuji region, Antarctica, by combining radar internal layer stratigraphy and flow modeling</t>
  </si>
  <si>
    <t>DRONNING MAUD LAND; EAST ANTARCTICA; OLD ICE; ACCUMULATION RATE; CORE; TEMPERATURE; SYNCHRONIZATION; STATION; SITES; SHEET</t>
  </si>
  <si>
    <t>The Dome Fuji (DF) region in Antarctica is a potential site for an ice core with a record of over 1 Myr. Here, we combine large-scale internal airborne radar stratigraphy with a 1-D model to estimate the age of basal ice in the DF region. The radar data used in the study were collected in a survey during the 2016-2017 Antarctic season. We transfer the latest age-depth scales from the DF ice core to isochrones traced in radargrams in the surrounding 500 km x 550 km region. At each point of the survey the 1-D model uses the ages of isochrones to construct the age-depth scale at depths where dated isochrones do not exist, the surface accumulation rate and the basal thermal condition, including melt rate and the thickness of stagnant ice. Our resulting age distribution and age density suggest that several promising sites with ice older than 1.5 Myr in the DF region might exist. The deduced melt rates and presence of stagnant ice provide more constraints for locating sites with a cold base. The accumulation rates range from 0.015 to 0.038 m a-1 ice equivalent. Based on sensitivity studies we find that the number and depth of picked isochrones and the timescale of the ice core severely affect the model results. Our study demonstrates that constraints from deep radar isochrones and a trustworthy timescale could improve the model estimation to find old ice in the DF region.</t>
  </si>
  <si>
    <t>[Wang, Zhuo; Steinhage, Daniel; Eisen, Olaf] Helmholtz Zent Polar &amp; Meeresforschung, Alfred Wegener Inst, Bremerhaven, Germany; [Wang, Zhuo] Jilin Univ, Coll Geoexplorat Sci &amp; Technol, Changchun, Peoples R China; [Chung, Ailsa; Parrenin, Frederic; Freitag, Johannes] Univ Grenoble Alpes, CNRS, INRAE, IRD,Grenoble INP,IGE, F-38000 Grenoble, France; [Eisen, Olaf] Univ Bremen, Dept Geosci, Bremen, Germany</t>
  </si>
  <si>
    <t>Helmholtz Association; Alfred Wegener Institute, Helmholtz Centre for Polar &amp; Marine Research; Jilin University; INRAE; Communaute Universite Grenoble Alpes; Universite Grenoble Alpes (UGA); Institut National Polytechnique de Grenoble; Centre National de la Recherche Scientifique (CNRS); Institut de Recherche pour le Developpement (IRD); University of Bremen</t>
  </si>
  <si>
    <t>Eisen, O (corresponding author), Helmholtz Zent Polar &amp; Meeresforschung, Alfred Wegener Inst, Bremerhaven, Germany.;Eisen, O (corresponding author), Univ Bremen, Dept Geosci, Bremen, Germany.</t>
  </si>
  <si>
    <t>olaf.eisen@awi.de</t>
  </si>
  <si>
    <t>Freitag, Johannes/0000-0003-2654-9440; Chung, Ailsa/0000-0003-3822-845X; Eisen, Olaf/0000-0002-6380-962X</t>
  </si>
  <si>
    <t>Horizon 2020; AWI; ENEA; IPEV [DFO-2006+AICC2012]; Swiss Government</t>
  </si>
  <si>
    <t>Horizon 2020(Horizon 2020); AWI; ENEA(ENEA, Italy); IPEV; Swiss Government</t>
  </si>
  <si>
    <t>This publication was generated in the frame of Beyond EPICA-Oldest Ice (BE-OI). It is furthermore supported by national partners and funding agencies in Belgium, Denmark, France, Germany, Italy, Norway, Sweden, Switzerland, the Netherlands and the United Kingdom. Logistic support is mainly provided by the AWI, BAS, ENEA and IPEV. The opinions expressed and arguments employed herein do not necessarily reflect the official views of the European Union funding agency, the Swiss Government or other national funding bodies. We thank the logistics field team and flight crew for support during the expedition. We thank Emerson E&amp;P Software, Emerson Automation Solutions, for providing licenses in the scope of the Emerson Academic Program. We thank Brice Van Liefferinge for providing the locations of the promising old ice in the DF region in his previous study. We thank Nanna B. Karlsson, who offered the detailed locations of the subglacial lakes and the old-ice candidates in her previous study. We thank Kenji Kawamura for the insightful discussions on the DFO-2006+AICC2012 timescale of the Dome Fuji ice core. We thank two anonymous reviewers and editor Benjamin Smith for offering helpful and insightful comments, which significantly improved the manuscript. Thanks go to Zhaofa Zeng for supporting Zhuo Wang in getting her grant and jointly studying abroad as her supervisor at Jilin University.</t>
  </si>
  <si>
    <t>10.5194/tc-17-4297-2023</t>
  </si>
  <si>
    <t>HT5S2</t>
  </si>
  <si>
    <t>WOS:001161777700001</t>
  </si>
  <si>
    <t>Love, E; Bigg, GR</t>
  </si>
  <si>
    <t>Love, Eleanor; Bigg, Grant R.</t>
  </si>
  <si>
    <t>Estimating summer sea ice extent in the Weddell Sea during the early 19th century</t>
  </si>
  <si>
    <t>VARIABILITY; TRENDS; SIMULATIONS; ANTARCTICA</t>
  </si>
  <si>
    <t>Over the past 3 decades, discordant trends in sea ice extent have been observed between the Arctic and Antarctic regions. Arctic sea ice extent has been characterised by a rapid decline, whereas Antarctic sea ice extent, while highly variable interannually, has tended to increase. Climate models have so far failed to capture these trends. Coupled with the limited pre-1970 sea ice dataset, this poses a significant challenge to quantifying the mechanisms responsible for driving such trends. However, historical records from early Antarctic expeditions contain a wealth of information regarding the nature and concentration of sea ice. Such records have been underutilised, and their analysis may enhance our understanding of recent Antarctic sea ice variability. For the purpose of this study, nine records from eight Antarctic expeditions have been examined. Summer sea ice positions recorded during 1820-1843 have been compared to satellite observations from 1987-2017, as well as historical data for the period 1897-1917. Through analysis of these three time series, estimates for the northern limits of summer sea ice in the Weddell Sea during the early 19th century have been produced. The key findings of this study indicate a 19th century average core summer northernmost sea ice latitude in much of the Weddell Sea that was further north than during the modern era, with 19th century February having significantly more sea ice by all measures. However, late summer sea ice was most extensive in the early years of the 20th century.</t>
  </si>
  <si>
    <t>[Love, Eleanor; Bigg, Grant R.] Univ Sheffield, Dept Geog, Winter St, Sheffield S10 2TN, England</t>
  </si>
  <si>
    <t>University of Sheffield</t>
  </si>
  <si>
    <t>Bigg, GR (corresponding author), Univ Sheffield, Dept Geog, Winter St, Sheffield S10 2TN, England.</t>
  </si>
  <si>
    <t>grant.bigg@sheffield.ac.uk</t>
  </si>
  <si>
    <t>Bigg, Grant/0000-0002-1910-0349</t>
  </si>
  <si>
    <t>Leverhulme Trust [EM-2022-042]</t>
  </si>
  <si>
    <t>Leverhulme Trust(Leverhulme Trust)</t>
  </si>
  <si>
    <t>This research has been supported by the Leverhulme Trust (grant no. EM-2022-042).</t>
  </si>
  <si>
    <t>10.5194/cp-19-1905-2023</t>
  </si>
  <si>
    <t>HR5F7</t>
  </si>
  <si>
    <t>WOS:001161239100001</t>
  </si>
  <si>
    <t>Galarza-Muñoz, G; Soto-Morales, SI; Jiao, S; Holmgren, M; Rosenthal, JJC</t>
  </si>
  <si>
    <t>Galarza-Munoz, Gaddiel; Soto-Morales, Sonia I.; Jiao, Song; Holmgren, Miguel; Rosenthal, Joshua J. C.</t>
  </si>
  <si>
    <t>Molecular determinants for cold adaptation in an Antarctic Na+/K+-ATPase</t>
  </si>
  <si>
    <t>Na+/K+-ATPase; temperature adaptation; Antarctica; octopus; ion homeostasis</t>
  </si>
  <si>
    <t>HOMEOVISCOUS ADAPTATION; TEMPERATURE ADAPTATION; PSYCHROPHILIC ENZYMES; LIPID-COMPOSITION; STRUCTURAL BASIS; DEHYDROGENASE; STABILITY; EPISTASIS; MECHANISM; VISCOSITY</t>
  </si>
  <si>
    <t>Enzymes from ectotherms living in chronically cold environments have evolved structural innovations to overcome the effects of temperature on catalysis. Cold adaptation of soluble enzymes is driven by changes within their primary structure or the aqueous milieu. For membrane-embedded enzymes, like the Na+/K+-ATPase, the situation is different because changes to the lipid bilayer in which they operate may also be relevant. Although much attention has been focused on thermal adaptation within lipid bilayers, relatively little is known about the contribution of structural changes within membrane-bound enzymes themselves. The identification of specific mutations that confer temperature compensation is complicated by the presence of neutral mutations, which can be more numerous. In the present study, we identified specific amino acids in a Na+/K+-ATPase from an Antarctic octopus that underlie cold resistance. Our approach was to generate chimeras between an Antarctic clone and a temperate ortholog and then study their temperature sensitivities in Xenopus oocytes using an electrophysiological approach. We identified 12 positions in the Antarctic Na+/K+-ATPase that, when transferred to the temperate ortholog, were sufficient to confer cold tolerance. Furthermore, although all 12 Antarctic mutations were required for the full phenotype, a single leucine in the third transmembrane segment (M3) imparted most of it. Mutations that confer cold resistance are mostly in transmembrane segments, at positions that face the lipid bilayer. We propose that the interface between a transmembrane enzyme and the lipid bilayer is a critical determinant of temperature sensitivity and, accordingly, has been a prime evolutionary target for thermal adaptation.</t>
  </si>
  <si>
    <t>[Galarza-Munoz, Gaddiel; Soto-Morales, Sonia I.; Rosenthal, Joshua J. C.] Univ Puerto Rico, Inst Neurobiol, Med Sci Campus, San Juan, PR 00901 USA; [Jiao, Song; Holmgren, Miguel] NINDS, NIH, Bethesda, MD 20892 USA; [Galarza-Munoz, Gaddiel] Autoimmunity BioSolut Inc, Galveston, TX 77554 USA; [Rosenthal, Joshua J. C.] Eugene Bell Ctr, Marine Biol Lab, Woods Hole, MA 77554 USA</t>
  </si>
  <si>
    <t>University of Puerto Rico; University of Puerto Rico Medical Sciences Campus; National Institutes of Health (NIH) - USA; NIH National Institute of Neurological Disorders &amp; Stroke (NINDS); Marine Biological Laboratory - Woods Hole</t>
  </si>
  <si>
    <t>Rosenthal, JJC (corresponding author), Univ Puerto Rico, Inst Neurobiol, Med Sci Campus, San Juan, PR 00901 USA.;Holmgren, M (corresponding author), NINDS, NIH, Bethesda, MD 20892 USA.</t>
  </si>
  <si>
    <t>holmgren@ninds.nih.gov; jrosenthal@mbl.edu</t>
  </si>
  <si>
    <t>Holmgren, Miguel/0000-0001-8285-4242</t>
  </si>
  <si>
    <t>NIH 2 [U54 NS039405-06, R01 NS064259NIH]; NSF [IBN-0344070, HRD-1137725]; National Center for Research Resources [2G12RR003051]; National Institute on Minority Health and Health Disparities [8G12MD007600]; Intramural Research Program of the National Institute of Neurological Disorders and Stroke</t>
  </si>
  <si>
    <t>NIH 2(United States Department of Health &amp; Human ServicesNational Institutes of Health (NIH) - USA); NSF(National Science Foundation (NSF)); National Center for Research Resources(United States Department of Health &amp; Human ServicesNational Institutes of Health (NIH) - USANIH National Center for Research Resources (NCRR)); National Institute on Minority Health and Health Disparities(United States Department of Health &amp; Human ServicesNational Institutes of Health (NIH) - USANIH National Institute on Minority Health &amp; Health Disparities (NIMHD)); Intramural Research Program of the National Institute of Neurological Disorders and Stroke(United States Department of Health &amp; Human ServicesNational Institutes of Health (NIH) - USANIH National Institute of Neurological Disorders &amp; Stroke (NINDS))</t>
  </si>
  <si>
    <t>This work was supported by NIH 2 U54 NS039405-06, NIH R01 NS064259NIH, and the NSF IBN-0344070 and HRD-1137725 for J.J.C.R. Infrastructure support was provided in part by grants from the National Center for Research Resources (2G12RR003051) and the National Institute on Minority Health and Health Disparities (8G12MD007600). M.H. and S.J. were supported by the Intramural Research Program of the National Institute of Neurological Disorders and Stroke. We thank the section on Instrumentation of the National Institute of Mental Health for technical assistance.</t>
  </si>
  <si>
    <t>e2301207120</t>
  </si>
  <si>
    <t>10.1073/pnas.2301207120</t>
  </si>
  <si>
    <t>AO3L8</t>
  </si>
  <si>
    <t>WOS:001119366600005</t>
  </si>
  <si>
    <t>Sarmiento, JL; Johnson, KS; Arteaga, LA; Bushinsky, SM; Cullen, HM; Gray, AR; Hotinski, RM; Maurer, TL; Mazloff, MR; Riser, SC; Russell, JL; Schofield, OM; Talley, LD</t>
  </si>
  <si>
    <t>Sarmiento, Jorge L.; Johnson, Kenneth S.; Arteaga, Lionel A.; Bushinsky, Seth M.; Cullen, Heidi M.; Gray, Alison R.; Hotinski, Roberta M.; Maurer, Tanya L.; Mazloff, Matthew R.; Riser, Stephen C.; Russell, Joellen L.; Schofield, Oscar M.; Talley, Lynne D.</t>
  </si>
  <si>
    <t>The Southern Ocean carbon and climate observations and modeling (SOCCOM) project: A review</t>
  </si>
  <si>
    <t>Biogeochemical-Argo; Southern Ocean; Carbon cycle; Oxygen; Nitrate; pH</t>
  </si>
  <si>
    <t>ANTARCTIC SEA-ICE; PROFILING FLOATS; BIOGEOCHEMICAL-ARGO; NORTH-ATLANTIC; SURFACE OCEAN; PHYTOPLANKTON BLOOMS; RELATIVE IMPORTANCE; EXPORT EFFICIENCY; OXYGEN; VARIABILITY</t>
  </si>
  <si>
    <t>The Southern Ocean serves as the primary gateway through which the intermediate, deep, and bottom waters of the ocean interact with the surface ocean (and thus the atmosphere), and it has a profound influence on the oceanic uptake of anthropogenic carbon and heat as well as nutrient resupply from the abyss to the surface. Yet it has been the least observed and understood region of the world ocean. The Southern Ocean Carbon and Climate Observations and Modeling (SOCCOM) project was implemented in 2014 with a goal to help remedy this deficit in observations and understanding. The SOCCOM project is based on two major advances that have the potential to transform understanding of the Southern Ocean. The first is the development of new biogeochemical sensors mounted on autonomous profiling floats that allow sampling of ocean biogeochemistry in 3-dimensional space. Floats may detect processes with a temporal resolution that ranges from hours to years. The second is that the climate modeling community finally has the computational resources and physical understanding to develop fully coupled climate models that can represent crucial, mesoscale processes in the Southern Ocean, as well as corresponding models that assimilate observations to produce a state estimate. The observational component, based on deployment of profiling floats with oxygen, nitrate, pH and bio-optical sensors, is generating vast amounts of new biogeochemical data that provide a year-round view of the Southern Ocean from the surface to 2000 m. The modeling effort is applying these observations and enhancing our understanding of the current ocean, and reducing uncertainty in projections of future carbon and nutrient cycles and climate. After nine years of operation, including a project renewal in the sixth year, the SOCCOM project has deployed more than 260 profiling floats. These floats have collected over 27,000 vertical profiles throughout the Southern Ocean. A data assimilating biogeochemical state estimate model has been implemented. Here, the design of the SOCCOM project is reviewed and the scientific results that have been obtained are described. The project's capability to help meet the observing system priorities outlined for a notional UN Decade for Ocean Sciences Southern Ocean observing system is assessed.</t>
  </si>
  <si>
    <t>[Sarmiento, Jorge L.; Hotinski, Roberta M.] Princeton Univ, Program Atmospher &amp; Ocean Sci, Princeton, NJ 08544 USA; [Johnson, Kenneth S.; Cullen, Heidi M.; Maurer, Tanya L.] Monterey Bay Aquarium Res Inst, Moss Landing, CA 95039 USA; [Arteaga, Lionel A.] NASA, Goddard Space Flight Ctr, Global Modeling &amp; Assimilat Off, Greenbelt, MD 20771 USA; [Arteaga, Lionel A.] Univ Maryland Baltimore Cty, Goddard Earth Sci &amp; Technol Ctr, Baltimore, MD 21250 USA; [Bushinsky, Seth M.] Univ Hawaii, Dept Oceanog, Sch Ocean &amp; Earth Sci &amp; Technol, Honolulu, HI 96822 USA; [Gray, Alison R.; Riser, Stephen C.] Univ Washington, Sch Oceanog, Seattle, WA 98195 USA; [Mazloff, Matthew R.; Talley, Lynne D.] Univ Calif San Diego, Scripps Inst Oceanog, La Jolla, CA 92093 USA; [Russell, Joellen L.] Univ Arizona, Dept Geosci, Tucson, AZ 85721 USA; [Schofield, Oscar M.] Rutgers State Univ, Ctr Ocean Observing Leadership, Dept Marine &amp; Coastal Sci, New Brunswick, NJ 08901 USA</t>
  </si>
  <si>
    <t>Princeton University; National Oceanic Atmospheric Admin (NOAA) - USA; Monterey Bay Aquarium Research Institute; National Aeronautics &amp; Space Administration (NASA); NASA Goddard Space Flight Center; University System of Maryland; University of Maryland Baltimore County; National Aeronautics &amp; Space Administration (NASA); NASA Goddard Space Flight Center; University of Hawaii System; University of Washington; University of Washington Seattle; University of California System; University of California San Diego; Scripps Institution of Oceanography; University of Arizona; Rutgers University System; Rutgers University New Brunswick</t>
  </si>
  <si>
    <t>Johnson, KS (corresponding author), Monterey Bay Aquarium Res Inst, Moss Landing, CA 95039 USA.</t>
  </si>
  <si>
    <t>johnson@mbari.org</t>
  </si>
  <si>
    <t>Schofield, Oscar/0000-0003-2359-4131; Maurer, Tanya/0000-0001-5766-1668</t>
  </si>
  <si>
    <t>National Science Foundation, Division of Polar Programs (NSF) [NA20OAR4320271]; NOAA [NNX14AP49G]; NASA [PLR-1425989]; International Argo Program; David and Lucile Packard Foundation; [OPP-1936222]</t>
  </si>
  <si>
    <t>National Science Foundation, Division of Polar Programs (NSF)(National Science Foundation (NSF)); NOAA(National Oceanic Atmospheric Admin (NOAA) - USA); NASA(National Aeronautics &amp; Space Administration (NASA)); International Argo Program; David and Lucile Packard Foundation(The David &amp; Lucile Packard Foundation);</t>
  </si>
  <si>
    <t>The Southern Ocean Carbon and Climate Observations and Modeling (SOCCOM) Project is funded by the National Science Foundation, Division of Polar Programs (NSF PLR-1425989 and OPP-1936222) , supplemented by NOAA Grant NA20OAR4320271, NASA Grant NNX14AP49G, and by the International Argo Program and the national programs that contribute to it (http:// www.argo.ucsd.edu, http://argo. jcommops.org) . The Argo Program is part of the Global Ocean Observing System. Work at MBARI is also supported by the David and Lucile Packard Foundation. We thank all of the personnel who have contrib-uted to the construction of the profiling float array and data system, personnel who have assisted at sea in deployments, and the captains and crew of the vessels that have deployed these floats.</t>
  </si>
  <si>
    <t>10.1016/j.pocean.2023.103130</t>
  </si>
  <si>
    <t>Y5RB7</t>
  </si>
  <si>
    <t>WOS:001105816800001</t>
  </si>
  <si>
    <t>Hasler, SN; Burdanov, AY; de Wit, J; Dransfield, G; Abe, L; Agabi, A; Bendjoya, P; Crouzet, N; Guillot, T; Mékarnia, D; Schmider, FX; Suarez, O; Triaud, AHMJ</t>
  </si>
  <si>
    <t>Hasler, S. N.; Burdanov, A. Y.; de Wit, J.; Dransfield, G.; Abe, L.; Agabi, A.; Bendjoya, P.; Crouzet, N.; Guillot, T.; Mekarnia, D.; Schmider, F. X.; Suarez, O.; Triaud, A. H. M. J.</t>
  </si>
  <si>
    <t>Small body harvest with the Antarctic Search for Transiting Exoplanets (ASTEP) project</t>
  </si>
  <si>
    <t>MONTHLY NOTICES OF THE ROYAL ASTRONOMICAL SOCIETY</t>
  </si>
  <si>
    <t>techniques: image processing; telescopes; minor planets; asteroids: general; software: development; exoplanets</t>
  </si>
  <si>
    <t>DOME C; SOUTH; LSST; TELESCOPE; EVOLUTION; RED</t>
  </si>
  <si>
    <t>Small Solar system bodies serve as pristine records that have been minimally altered since their formation. Their observations provide valuable information regarding the formation and evolution of our Solar system. Interstellar objects can also provide insight on the formation of exoplanetary systems and planetary system evolution as a whole. In this work, we present the application of our framework to search for small Solar system bodies in exoplanet transit survey data collected by the Antarctic Search for Transiting ExoPlanets (ASTEP) project. We analysed data collected during the Austral winter of 2021 by the ASTEP 400 telescope located at the Concordia Station, at Dome C, Antarctica. We identified 20 known objects from dynamical classes ranging from Inner Main-belt asteroids to one comet. Our search recovered known objects down to a magnitude of V = 20.4mag, with a retrieval rate of similar to 80 percent for objects with V &lt;= 20mag. Future work will apply the pipeline to archival ASTEP data that observed fields for periods of longer than a few hours to treat them as deep-drilling data sets and reach fainter limiting magnitudes for slow-moving objects, on the order of V approximate to 23-24mag.</t>
  </si>
  <si>
    <t>[Hasler, S. N.; Burdanov, A. Y.; de Wit, J.] MIT, Dept Earth Atmospher &amp; Planetary Sci, 77 Massachusetts Ave, Cambridge, MA 02139 USA; [Dransfield, G.; Triaud, A. H. M. J.] Univ Birmingham, Sch Phys &amp; Astron, Birmingham B15 2TT, W Midlands, England; [Abe, L.; Agabi, A.; Bendjoya, P.; Guillot, T.; Mekarnia, D.; Schmider, F. X.; Suarez, O.] Univ Cote Azur, Observ Cote Azur, CNRS, Lab Lagrang, Bd Observ,CS 34229, F-06304 Nice 4, France; [Crouzet, N.] European Space Agcy, European Space Res &amp; Technol Ctr ESTEC, Keplerlaan 1, NL-2201 AZ Noordwijk, Netherlands</t>
  </si>
  <si>
    <t>Massachusetts Institute of Technology (MIT); University of Birmingham; Centre National de la Recherche Scientifique (CNRS); Universite Cote d'Azur; Observatoire de la Cote d'Azur; European Space Agency</t>
  </si>
  <si>
    <t>Hasler, SN (corresponding author), MIT, Dept Earth Atmospher &amp; Planetary Sci, 77 Massachusetts Ave, Cambridge, MA 02139 USA.</t>
  </si>
  <si>
    <t>shasler@mit.edu</t>
  </si>
  <si>
    <t>Schmider, François-Xavier/C-5435-2012; Triaud, Amaury/AAT-5603-2021</t>
  </si>
  <si>
    <t>Triaud, Amaury/0000-0002-5510-8751; Dransfield, Georgina/0000-0002-3937-630X; Hasler, Samantha/0000-0002-4894-193X; Guillot, Tristan/0000-0002-7188-8428</t>
  </si>
  <si>
    <t>0035-8711</t>
  </si>
  <si>
    <t>1365-2966</t>
  </si>
  <si>
    <t>MON NOT R ASTRON SOC</t>
  </si>
  <si>
    <t>Mon. Not. Roy. Astron. Soc.</t>
  </si>
  <si>
    <t>10.1093/mnras/stad2943</t>
  </si>
  <si>
    <t>U8JK1</t>
  </si>
  <si>
    <t>WOS:001087206800004</t>
  </si>
  <si>
    <t>Liu, XL; Li, CX; Zhai, X; Chen, K; Liu, L; Wang, BD</t>
  </si>
  <si>
    <t>Liu, Xuan-Li; Li, Cheng-Xuan; Zhai, Xing; Chen, Kan; Liu, Lu; Wang, Bao-Dong</t>
  </si>
  <si>
    <t>Spatial distributions and environmentally-mediated factors of dimethylsulfoxide off the northern Antarctic Peninsula in summer</t>
  </si>
  <si>
    <t>Dimethylsulfoxide (DMSO); Northern Antarctic Peninsula (NAP); Ice-melt water; Environmental factors; Phytoplankton</t>
  </si>
  <si>
    <t>DIMETHYLATED SULFUR-COMPOUNDS; EAST CHINA SEA; DIMETHYLSULFONIOPROPIONATE DMSP; PARTICULATE DIMETHYLSULFOXIDE; PHYTOPLANKTON SUCCESSION; SURFACE WATERS; BOHAI SEA; MARINE; SEAWATER; OCEAN</t>
  </si>
  <si>
    <t>Spatial distributions of dissolved and particulate dimethylsulfoxide (DMSOd and DMSOp) were investigated off the northern Antarctic Peninsula during the austral summer of 2018, an ecologically and climatically important region of the world. In the upper waters, DMSOd was concentrated in the ice-melt zone because DMSO functions physiologically as an intracellular osmolyte and cryoprotectant. DMSOd concentrations had a weak positive correlation with temperature but a negative correlation with nutrients. This highlighted the importance of temperature-dependent biological activities and photolysis in DMSOd production and the important role of the intracellular antioxidation system in phytoplankton cells. The decrease of average DMSOp:Chl-a ratios in upper waters from west to east, along with decreasing temperatures and increasing diatoms proportions in the phytoplankton, illustrates how seawater DMSO production capacities depend on ambient temperatures and the composition of phytoplankton assemblages. DMSOp were accumulated in deep waters through bio-debris accumulation and microbial activity.</t>
  </si>
  <si>
    <t>[Liu, Xuan-Li; Li, Cheng-Xuan; Zhai, Xing; Chen, Kan; Liu, Lu; Wang, Bao-Dong] Minist Nat Resources, Inst Oceanog 1, Key Lab Marine Ecoenvironm Sci &amp; Technol, Qingdao 266061, Peoples R China; [Li, Cheng-Xuan; Wang, Bao-Dong] Laoshan Lab, Lab Marine Ecol &amp; Environm Sci, Qingdao 266237, Peoples R China; [Liu, Xuan-Li; Chen, Kan] Ocean Univ China, Frontiers Sci Ctr Deep Ocean Multispheres &amp; Earth, Minist Educ, Qingdao 266100, Peoples R China; [Liu, Xuan-Li; Chen, Kan] Ocean Univ China, Key Lab Marine Chem Theory &amp; Technol, Minist Educ, Qingdao 266100, Peoples R China</t>
  </si>
  <si>
    <t>Ministry of Natural Resources of the People's Republic of China; First Institute of Oceanography, Ministry of Natural Resources; Laoshan Laboratory; Ocean University of China; Ocean University of China</t>
  </si>
  <si>
    <t>Li, CX; Wang, BD (corresponding author), Minist Nat Resources, Inst Oceanog 1, Key Lab Marine Ecoenvironm Sci &amp; Technol, Qingdao 266061, Peoples R China.</t>
  </si>
  <si>
    <t>Cxli@fio.org.cn; wangbd@fio.org.cn</t>
  </si>
  <si>
    <t>Basic Scientific Fund for National Public Research Institutes of China [01]; National Natural Science Foundation of China [2021S03]; Distinguished Young Scholars Program of Ministry of Natural Resources [42076045, 41676074]; [12110600000018003928]</t>
  </si>
  <si>
    <t>Basic Scientific Fund for National Public Research Institutes of China; National Natural Science Foundation of China(National Natural Science Foundation of China (NSFC)); Distinguished Young Scholars Program of Ministry of Natural Resources;</t>
  </si>
  <si>
    <t>We appreciate the great help and cooperation from the captain and all crews of R/V ' Xiang Yang Hong No.01 ' during the in situ investigation. We gratefully acknowledge Ying Li (the First Institute of Oceanography, Ministry of Natural Resources of China) for providing the CTD data. This work was financially supported by the Basic Scientific Fund for National Public Research Institutes of China (Grant No. 2021S03) , the National Natural Science Foundation of China (Grant Nos. 42076045 and 41676074) , and the Distinguished Young Scholars Program of Ministry of Natural Resources (Grant No. 12110600000018003928) .</t>
  </si>
  <si>
    <t>10.1016/j.marpolbul.2023.115632</t>
  </si>
  <si>
    <t>X5UD3</t>
  </si>
  <si>
    <t>WOS:001099092200001</t>
  </si>
  <si>
    <t>Hydrogen atoms near the exobase are cold: independent observations do not support the hot exosphere concept</t>
  </si>
  <si>
    <t>DENSITY DISTRIBUTIONS; NEUTRAL HYDROGEN; SOLAR MINIMUM</t>
  </si>
  <si>
    <t>[Kotov, Dmytro; Bogomaz, Oleksandr] Inst Ionosphere, Kharkiv, Ukraine; [Bogomaz, Oleksandr] Minist Educ &amp; Sci Ukraine, State Inst Natl Antarctic Sci Ctr, Kiev, Ukraine</t>
  </si>
  <si>
    <t>DK was supported by the National Academy of Sciences of Ukraine (project 0122U000187 Investigation of variations in the ion composition of the topside ionosphere during the weak maximum of the 25th solar cycle). OB was supported by the State Institution [0122U000187]; National Academy of Sciences of Ukraine [0121U112420]; State Institution National Antarctic Scientific Center of the Ministry of Education and Science of Ukraine</t>
  </si>
  <si>
    <t>DK was supported by the National Academy of Sciences of Ukraine (project 0122U000187 Investigation of variations in the ion composition of the topside ionosphere during the weak maximum of the 25th solar cycle). OB was supported by the State Institution; National Academy of Sciences of Ukraine; State Institution National Antarctic Scientific Center of the Ministry of Education and Science of Ukraine</t>
  </si>
  <si>
    <t>The authors are grateful to every Ukrainian soldier, volunteer, medic, and personnel of the emergency and municipal services, and to all the Ukrainians whose fearless resistance to the genocidal war conducted by Russia allows Ukrainian scientists to do their usual peaceful job. DK says great thank you to: The dedicated team at the Institute of Ionosphere for their excellent research and important findings despite the war conditions. Phil Richards, University of Alabama in Huntsville, for his continuous support, and for sharing his expertise and the Field Line Interhemispheric Plasma model. Richard Hodges, Laboratory for Atmospheric and Space Physics, University of Colorado Boulder, for providing expert advice on the exosphere and for his unique works that helped to argue key explanation in this paper. Edwin Mierkiewicz, Embry-Riddle Aeronautical University, and Susan Nossal, University of Wisconsin-Madison, for their support and for the unique investigations that provided key support for the conclusions in this paper. NI whose thorough analysis of the manuscript greatly improved the paper and made it more convincing and interesting.r DK was supported by the National Academy of Sciences of Ukraine (project 0122U000187 Investigation of variations in the ion composition of the topside ionosphere during the weak maximum of the 25th solar cycle). OB was supported by the State Institution National Antarctic Scientific Center of the Ministry of Education and Science of Ukraine (project 0121U112420 Investigation of machine learning applicability for detection of traveling ionospheric disturbances).</t>
  </si>
  <si>
    <t>10.3389/fspas.2023.1200959</t>
  </si>
  <si>
    <t>W3CG6</t>
  </si>
  <si>
    <t>WOS:001090435200001</t>
  </si>
  <si>
    <t>Amélineau, F; Tarroux, A; Lacombe, S; Bråthen, VS; Descamps, S; Ekker, M; Fauchald, P; Johansen, MK; Moe, B; Anker-Nilssen, T; Bogdanova, MI; Bringsvor, IS; Chastel, O; Christensen-Dalsgaard, S; Daunt, F; Dehnhard, N; Erikstad, KE; Ezhov, A; Gavrilo, M; Hansen, ES; Harris, MP; Helgason, HH; Langset, M; Leandri-Breton, DJ; Lorentsen, SH; Merkel, B; Newell, M; Olsen, B; Reiertsen, TK; Systad, GHR; Thorarinsson, TL; Aström, J; Strom, H</t>
  </si>
  <si>
    <t>Amelineau, Francoise; Tarroux, Arnaud; Lacombe, Simon; Brathen, Vegard S.; Descamps, Sebastien; Ekker, Morten; Fauchald, Per; Johansen, Malin K.; Moe, Borge; Anker-Nilssen, Tycho; Bogdanova, Maria I.; Bringsvor, Ingar S.; Chastel, Olivier; Christensen-Dalsgaard, Signe; Daunt, Francis; Dehnhard, Nina; Erikstad, Kjell Einar; Ezhov, Aleksey; Gavrilo, Maria; Hansen, Erpur S.; Harris, Mike P.; Helgason, Halfdan H.; Langset, Magdalene; Leandri-Breton, Don-Jean; Lorentsen, Svein-Hakon; Merkel, Benjamin; Newell, Mark; Olsen, Bergur; Reiertsen, Tone K.; Systad, Geir H. R.; Thorarinsson, Thorkell L.; Astrom, Jens; Strom, Hallvard</t>
  </si>
  <si>
    <t>Multi-colony tracking of two pelagic seabirds with contrasting flight capability illustrates how windscapes shape migratory movements at an ocean-basin scale</t>
  </si>
  <si>
    <t>ECOGRAPHY</t>
  </si>
  <si>
    <t>animal movement; bird flight; Fratercula arctica; migration; Rissa tridactyla; wind</t>
  </si>
  <si>
    <t>LONG-DISTANCE MIGRATION; NORTH-ATLANTIC; PACIFIC-OCEAN; WIND; BEHAVIOR; BIRDS; STRATEGIES; REVEALS; PERFORMANCE; EFFICIENT</t>
  </si>
  <si>
    <t>Migration is a common trait among many animals allowing the exploitation of spatiotemporally variable resources. It often implies high energetic costs to cover large distances, for example between breeding and wintering grounds. For flying or swimming animals, the adequate use of winds and currents can help reduce the associated energetic costs. Migratory seabirds are good models because they dwell in habitats characterized by strong winds while undertaking very long migrations. We tested the hypothesis that seabirds migrate through areas with favourable winds. To that end, we used the SEATRACK dataset, a multi-colony geolocator tracking dataset, for two North Atlantic seabirds with contrasting flight capabilities, the black-legged kittiwake Rissa tridactyla and the Atlantic puffin Fratercula arctica, and wind data from the ERA5 climate reanalysis model. Both species had on average positive wind support during migration. Their main migratory routes were similar and followed seasonally prevailing winds. The general migratory movement had a loop-shape at the scale of the North Atlantic, with an autumn route (southward) along the east coast of Greenland, and a spring route (northward) closer to the British Isles. While migrating, both species had higher wind support in spring than in autumn. Kittiwakes migrated farther and benefited from higher wind support than puffins on average. The variation in wind conditions encountered while migrating was linked to the geographical location of the colonies. Generally, northernmost colonies had a better wind support in autumn while the southernmost colonies had a better wind support in spring, with some exceptions. Our study helps understanding how the physical environment shapes animal migration, which is crucial to further predict how migrants will be impacted by ongoing environmental changes.</t>
  </si>
  <si>
    <t>[Amelineau, Francoise; Descamps, Sebastien; Johansen, Malin K.; Helgason, Halfdan H.; Merkel, Benjamin; Strom, Hallvard] Norwegian Polar Res Inst, Fram Ctr, Tromso, Norway; [Amelineau, Francoise; Tarroux, Arnaud; Lacombe, Simon; Fauchald, Per; Reiertsen, Tone K.] Norwegian Inst Nat Res, Fram Ctr, Tromso, Norway; [Amelineau, Francoise] Univ Rennes, CNRS, ECOBIO, Ecosyst,Biodivers,Evolut,UMR 6553, Rennes, France; [Lacombe, Simon] Univ Lyon, Univ Claude Bernard Lyon I, Ecole Normale Super Lyon, Lyon, France; [Brathen, Vegard S.; Moe, Borge; Anker-Nilssen, Tycho; Christensen-Dalsgaard, Signe; Dehnhard, Nina; Langset, Magdalene; Lorentsen, Svein-Hakon; Astrom, Jens] Norwegian Inst Nat Res, Trondheim, Norway; [Ekker, Morten] Norwegian Environm Agcy, Trondheim, Norway; [Bogdanova, Maria I.; Daunt, Francis; Harris, Mike P.; Newell, Mark] UK Ctr Ecol &amp; Hydrol, Edinburgh, Scotland; [Bringsvor, Ingar S.] Norsk Ornitol Forening More &amp; Romsdal, Sandshamn, Norway; [Chastel, Olivier; Leandri-Breton, Don-Jean] Univ La Rochelle, CNRS, Ctr Etud Biol Chize CEBC, UMR 7372, La Rochelle, France; [Ezhov, Aleksey] Murmansk Marine Biol Inst, Murmansk, Russia; [Gavrilo, Maria] Natl Pk Russian Arctic, Arkhangelsk, Russia; [Gavrilo, Maria] Assoc Maritime Heritage, St Petersburg, Russia; [Gavrilo, Maria] Arctic &amp; Antarctic Res Inst, St Petersburg, Russia; [Hansen, Erpur S.] South Iceland Nat Res Ctr, Vestmannaeyjar, Iceland; [Helgason, Halfdan H.] East Iceland Nat Res Ctr, Neskaupstadur, Iceland; [Leandri-Breton, Don-Jean] McGill Univ, Dept Nat Resource Sci, Ste Anne De Bellevue, PQ, Canada; [Merkel, Benjamin] Akvaplan Niva, Fram Ctr, Tromso, Norway; [Olsen, Bergur] Faroe Marine Res Inst, Torshavn, Falkland Island; [Systad, Geir H. R.] Norwegian Inst Nat Res, Bergen, Norway; [Thorarinsson, Thorkell L.] Northeast Iceland Nat Res Ctr, Husavik, Iceland</t>
  </si>
  <si>
    <t>Norwegian Polar Institute; Norwegian Institute Nature Research; Centre National de la Recherche Scientifique (CNRS); CNRS - Institute of Ecology &amp; Environment (INEE); Universite de Rennes; Universite Claude Bernard Lyon 1; Ecole Normale Superieure de Lyon (ENS de LYON); Norwegian Institute Nature Research; UK Centre for Ecology &amp; Hydrology (UKCEH); Centre National de la Recherche Scientifique (CNRS); CNRS - Institute of Ecology &amp; Environment (INEE); La Rochelle Universite; Russian Academy of Sciences; Arctic &amp; Antarctic Research Institute; McGill University; Akvaplan-niva; Faroe Marine Research Institute (FAMRI); Norwegian Institute Nature Research</t>
  </si>
  <si>
    <t>Amélineau, F (corresponding author), Norwegian Polar Res Inst, Fram Ctr, Tromso, Norway.;Amélineau, F (corresponding author), Norwegian Inst Nat Res, Fram Ctr, Tromso, Norway.;Amélineau, F (corresponding author), Univ Rennes, CNRS, ECOBIO, Ecosyst,Biodivers,Evolut,UMR 6553, Rennes, France.</t>
  </si>
  <si>
    <t>francoise.amelineau@ens-rennes.fr</t>
  </si>
  <si>
    <t>Dehnhard, Nina/H-6160-2016; Hansen, Erpur Snær/V-1858-2018; Moe, Børge/P-2946-2015; Léandri-Breton, Don-Jean/KBQ-0879-2024; Anker-Nilssen, Tycho/AAB-7666-2022; Daunt, Francis/K-6688-2012</t>
  </si>
  <si>
    <t>Dehnhard, Nina/0000-0002-4182-2698; Hansen, Erpur Snær/0000-0001-6899-2817; Anker-Nilssen, Tycho/0000-0002-1030-5524; Johansen, Malin Kjellstadli/0000-0002-0973-8832; Tarroux, Arnaud/0000-0001-8306-6694; Brathen, Vegard Sandoy/0000-0002-7357-6727</t>
  </si>
  <si>
    <t>Norwegian Ministry for Climate and the Environment; Norwegian Ministry of Foreign Affairs; Norwegian Oil and Gas Association; SEAPOP program [192141]; French Polar Institute (IPEV) [330]; Natural Environment Research Council [NE/R016429/1]</t>
  </si>
  <si>
    <t>Norwegian Ministry for Climate and the Environment; Norwegian Ministry of Foreign Affairs; Norwegian Oil and Gas Association; SEAPOP program; French Polar Institute (IPEV); Natural Environment Research Council(UK Research &amp; Innovation (UKRI)Natural Environment Research Council (NERC))</t>
  </si>
  <si>
    <t>The SEATRACK project (www.seapop.no/en/seatrack) was funded by the Norwegian Ministry for Climate and the Environment, the Norwegian Ministry of Foreign Affairs and the Norwegian Oil and Gas Association along with eight oil companies. The SEAPOP program (www.seapop.no, grant no. 192141) supported the fieldwork in Norway (including Svalbard and Jan Mayen). Kittiwake fieldwork in the Kongsfjord was supported by the French Polar Institute (IPEV, prog. 330 to O. Chastel). The work on the Isle of May was also supported by the Natural Environment Research Council (Award NE/R016429/1 as part of the UK-SCaPE programme delivering National Capability).</t>
  </si>
  <si>
    <t>0906-7590</t>
  </si>
  <si>
    <t>1600-0587</t>
  </si>
  <si>
    <t>Ecography</t>
  </si>
  <si>
    <t>10.1111/ecog.06496</t>
  </si>
  <si>
    <t>GQ6T6</t>
  </si>
  <si>
    <t>WOS:001083393100001</t>
  </si>
  <si>
    <t>Renaud, S; Ledevin, R; Dufour, AB; Romestaing, C; Hardouin, EA</t>
  </si>
  <si>
    <t>Renaud, Sabrina; Ledevin, Ronan; Dufour, Anne-Beatrice; Romestaing, Caroline; Hardouin, Emilie A.</t>
  </si>
  <si>
    <t>Molar wear in house mice: insight into diet preferences at an ecological timescale?</t>
  </si>
  <si>
    <t>BIOLOGICAL JOURNAL OF THE LINNEAN SOCIETY</t>
  </si>
  <si>
    <t>geometric morphometrics; Kerguelen Archipelago; mastication; molar crown geometry; Mus musculus domesticus; occlusal relief; Sub-Antarctic environment</t>
  </si>
  <si>
    <t>MUS-MUSCULUS; GUILLOU ISLAND; MOUSE; SHAPE; ERADICATION; ENVIRONMENT; TOPOGRAPHY; GENETICS; GEOMETRY; RABBITS</t>
  </si>
  <si>
    <t>In molars without permanent eruption, wear deeply modifies the geometry of the crown. To test for a signature of diet on wear dynamics, the molar geometry was compared between commensal house mice, relying on an omnivorous-granivorous diet, and Sub-Antarctic relatives, characterized by a switch towards a more 'predatory' behaviour. Laboratory-bred offspring of commensal mice served as a reference by providing mice of known age. Molar geometry was quantified using dense 3D semi-landmark based descriptors of the whole molar row and the upper molar only.Laboratory offspring displayed a decreased rate of wear compared to their commensal relatives, due to reduced mastication in mice fed ad libitum. Sub-Antarctic mice displayed a similarly decreased rate of molar wear, in agreement with an optimization towards incisor biting to seize prey. Laboratory offspring and Sub-Antarctic mice were further characterized by straight molar rows, whereas in commensal mice, the erupting third molar deviated away from the longitudinal alignment with the other molars, due to masticatory loadings.Quantifying changes in molar geometry could thus contribute to trace subtle diet variations, and provide a direct insight into the constraints during mastication, shedding light on the functional role of adaptive changes in molar geometry.</t>
  </si>
  <si>
    <t>[Renaud, Sabrina; Dufour, Anne-Beatrice] Univ Lyon, Univ Claude Bernard Lyon 1, Lab Biometrie &amp; Biol Evolut LBBE, UMR 5558,CNRS, Villeurbanne, France; [Ledevin, Ronan] Univ Bordeaux, UMR 5199, PACEA Prehist Actuel Culture Environm &amp; Anthropol, CNRS, Pessac, France; [Romestaing, Caroline] Univ Claude Bernard Lyon 1, Univ Lyon, ENTPE,Lab Ecol Hydrosyst Nat &amp; Anthropises LEHNA, CNRS,UMR 5023 LEHNA, F-69622 Villeurbanne, France; [Hardouin, Emilie A.] Bournemouth Univ, Fac Sci &amp; Technol, Dept Life &amp; Environm Sci, Christchurch House,Talbot Campus, Poole BH12 5BB, Dorset, England</t>
  </si>
  <si>
    <t>VetAgro Sup; Universite Claude Bernard Lyon 1; Centre National de la Recherche Scientifique (CNRS); CNRS - Institute of Ecology &amp; Environment (INEE); Universite de Bordeaux; Centre National de la Recherche Scientifique (CNRS); CNRS - Institute of Ecology &amp; Environment (INEE); Centre National de la Recherche Scientifique (CNRS); CNRS - Institute of Ecology &amp; Environment (INEE); Universite Claude Bernard Lyon 1; Bournemouth University</t>
  </si>
  <si>
    <t>Renaud, S (corresponding author), Univ Lyon, Univ Claude Bernard Lyon 1, Lab Biometrie &amp; Biol Evolut LBBE, UMR 5558,CNRS, Villeurbanne, France.</t>
  </si>
  <si>
    <t>Sabrina.Renaud@univ-lyon1.fr</t>
  </si>
  <si>
    <t>Ledevin, Ronan/T-1917-2017; Dufour, Anne-Beatrice/I-9475-2016; Renaud, Sabrina/D-4247-2009; romestaing, caroline/O-8794-2017</t>
  </si>
  <si>
    <t>Ledevin, Ronan/0000-0002-1936-9612; Dufour, Anne-Beatrice/0000-0002-9339-4293; Hardouin, Emilie/0000-0002-2031-5160; Renaud, Sabrina/0000-0002-8730-3113; romestaing, caroline/0000-0002-6877-9626</t>
  </si>
  <si>
    <t>Federation de Recherche Bio-Environnement-Sante (BioEnviS, FR3728) of University Claude Bernard Lyon 1</t>
  </si>
  <si>
    <t>We deeply thank contributors who collected mice from the different areas: Jean-Pierre Quere for Tourch, and Benoit Pisanu and Jean-Louis Chapuis for Guillou. Those in charge of the riding stables Les Peupliers (Balan) are thanked for their authorization and support during trapping. Angeline Clair, Laetitia Averty and Julie Ulmann are warmly thanked for their time in breeding the laboratory offspring in the Animalerie Conventionnelle et Sauvage d'Experimentation de la Doua (ACSED, Universite Lyon 1) animal husbandry unit. The specimens from Tourch are stored at the Small Mammal Collection, Centre de Biologie pour la Gestion des Population, Univ Montpellier, CIRAD, INRAE, Institut Agro, IRD, Montpellier, France (https://doi.org/10.15454/WWNUPO). We also acknowledge the contribution of the SFR Biosciences (UMS3444/CNRS, US8/Inserm, ENS de Lyon, UCBL) AniRa-ImmOs facility and the Mateis laboratory (INSA, Lyon, France), and we particularly thank Mathilde Bouchet and Justine Papillon for their kind assistance during scanning sessions. Finally, we thank the anonymous reviewer as well as the editor, Prof. John A. Allen, for their constructive remarks on the manuscript. This work was supported by the Federation de Recherche Bio-Environnement-Sante (BioEnviS, FR3728) of University Claude Bernard Lyon 1.</t>
  </si>
  <si>
    <t>0024-4066</t>
  </si>
  <si>
    <t>1095-8312</t>
  </si>
  <si>
    <t>BIOL J LINN SOC</t>
  </si>
  <si>
    <t>Biol. J. Linnean Soc.</t>
  </si>
  <si>
    <t>10.1093/biolinnean/blad091</t>
  </si>
  <si>
    <t>Evolutionary Biology</t>
  </si>
  <si>
    <t>GH4S5</t>
  </si>
  <si>
    <t>WOS:001080775600001</t>
  </si>
  <si>
    <t>Eger, AM; Aguirre, JD; Altamirano, M; Arafeh-Dalmau, N; Arroyo, NL; Bauer-Civiello, AM; Beas-Luna, R; Bekkby, T; Bennett, S; Bernal, B; Blain, CO; Boada, J; Branigan, S; Bursic, J; Cevallos, B; Choi, C; Connell, SD; Edward, C; Earp, HS; Eddy, N; Matthius, A; Ennis, LA; Falace, A; Ferreira, AM; Filbee-Dexter, K; Forbes, H; Francis, P; Franco, JN; Geisler, KG; Giraldo-Ospina, A; Gonzalez, AV; Hingorani, S; Hohman, R; Ivesa, L; Kaleb, S; Keane, JP; Koch, SJI; Krumhansl, K; Ladah, L; Lafont, DJ; Layton, C; Le, DM; Lee, LC; Ling, SD; Lonhart, SI; Malpica-Cruz, L; Mangialajo, L; McConnell, A; McHugh, TA; Micheli, F; Miller, KI; Monserrat, M; Montes-Herrera, J; Moreno, B; Neufeld, CJ; Orchard, S; Peabody, B; Peleg, O; Pessarrodona, A; Pocklington, JB; Reeves, SE; Ricart, AM; Ross, F; Schanz, FR; Schreider, M; Sedarat, M; Smith, SM; Starko, S; Strain, EMA; Tamburello, L; Timmer, B; Toft, JE; Uribe, RA; van den Burg, SWK; Vásquez, JA; Veenhof, RJ; Wernberg, T; Wood, G; Zepeda-Domínguez, JA; Vergès, A</t>
  </si>
  <si>
    <t>Eger, Aaron Matthius; Aguirre, J. David; Altamirano, Maria; Arafeh-Dalmau, Nur; Arroyo, Nina Larissa; Bauer-Civiello, Anne M.; Beas-Luna, Rodrigo; Bekkby, Trine; Bennett, Scott; Bernal, Blanca; Blain, Caitlin O.; Boada, Jordi; Branigan, Simon; Bursic, Jasmine; Cevallos, Bruno; Choi, Changgeun; Connell, Sean D.; Edward, Christopher; Earp, Hannah Scarlett; Eddy, Norah; Matthius, Aaron; Ennis, Lee-Ann; Falace, Annalisa; Ferreira, Ana Margarida; Filbee-Dexter, Karen; Forbes, Hunter; Francis, Prue; Franco, Joao N.; Geisler, Karen Gray; Giraldo-Ospina, Anita; Gonzalez, Alejandra V.; Hingorani, Swati; Hohman, Rietta; Ivesa, Ljiljana; Kaleb, Sara; Keane, John P.; Koch, Sophie J. I.; Krumhansl, Kira; Ladah, Lydia; Lafont, Dallas J.; Layton, Cayne; Le, Duong Minh; Lee, Lynn Chi; Ling, Scott D.; Lonhart, Steve I.; Malpica-Cruz, Luis; Mangialajo, Luisa; McConnell, Amy; McHugh, Tristin Anoush; Micheli, Fiorenza; Miller, Kelsey Irene; Monserrat, Margalida; Montes-Herrera, Juan; Moreno, Bernabe; Neufeld, Christopher J.; Orchard, Shane; Peabody, Betsy; Peleg, Ohad; Pessarrodona, Albert; Pocklington, Jacqueline B.; Reeves, Simon E.; Ricart, Aurora M.; Ross, Finnley; Schanz, Federica Romina; Schreider, Maria; Sedarat, Mohammad; Smith, Shannen M.; Starko, Samuel; Strain, Elisabeth M. A.; Tamburello, Laura; Timmer, Brian; Toft, Jodie E.; Uribe, Roberto A.; van den Burg, Sander W. K.; Vasquez, Julio A.; Veenhof, Reina J.; Wernberg, Thomas; Wood, Georgina; Zepeda-Dominguez, Jose Alberto; Verges, Adriana</t>
  </si>
  <si>
    <t>The Kelp Forest Challenge: A collaborative global movement to protect and restore 4 million hectares of kelp forests</t>
  </si>
  <si>
    <t>Kelp forest; Restoration; Marine protected areas; Marine conservation; Conservation targets</t>
  </si>
  <si>
    <t>MACROCYSTIS-PYRIFERA; SOUTH; AUSTRALIA; CONSERVATION; GOVERNANCE; SYDNEY; REEFS</t>
  </si>
  <si>
    <t>Marine kelp forests cover 1/3 of our world's coastlines, are heralded as a nature-based solution to address socio-environmental issues, connect hundreds of millions of people with the ocean, and support a rich web of biodiversity throughout our oceans. But they are increasingly threatened with some areas reporting over 90% declines in kelp forest cover in living memory. Despite their importance and the threats they face, kelp forests are entirely absent from the international conservation dialogue. No international laws, policies, or targets focus on kelp forests and very few countries consider them in their national policy. The Kelp Forest Challenge addresses that gap. Together with 252 kelp experts, professionals, and citizens from 25 countries, the Kelp Forest Challenge was developed as a grassroots vision of what the world can achieve for kelp forest conservation. It is a global call to restore 1 million and protect 3 million hectares of kelp forests by 2040. This is a monumental challenge, that will require coordination across multiple levels of society and the mobilization of immense resources. Pledges may therefore include area for protection or restoration, enabling pledges which assist in conservation (funding, equipment, professional expertise, capacity building), or awareness-based pledges which increase awareness or education about kelp forests. Correspondingly, participants may be from government, scientific institutions, private sector, NGOs, community groups, or individuals. This challenge is the beginning of a 17-year mission to save our kelp forests and anyone and any organisation is invited to participate.</t>
  </si>
  <si>
    <t>[Eger, Aaron Matthius; Verges, Adriana] Univ New South Wales, Sydney, NSW 2034, Australia; [Aguirre, J. David] Massey Univeristy, Aguirre Sch Nat Sci, Auckland, New Zealand; [Altamirano, Maria] Univ Malaga, Fac Ciencias, Dept Bot &amp; Fisiol Vegetal, Campus Teatinos S-N, Malaga 29080, Spain; [Arafeh-Dalmau, Nur; Micheli, Fiorenza] Stanford Univ, Oceans Dept, Hopkins Marine Stn, Pacific Grove, CA 93950 USA; [Arafeh-Dalmau, Nur; Micheli, Fiorenza] Stanford Univ, Ctr Ocean Solut, Pacific Grove, CA 93950 USA; [Arroyo, Nina Larissa] CSIC, Ctr Oceanog Stander COST IEO, Santander 39004, Spain; [Bauer-Civiello, Anne M.] Reef Check Fdn, Marina Del Rey, CA 90292 USA; [Beas-Luna, Rodrigo; Zepeda-Dominguez, Jose Alberto] Univ Autonoma Baja Calif, Fac Ciencias Marinas, Fraccionamiento Playitas, Carretera Tijuana Ensenada 3917, Ensenada 22860, Baja California, Mexico; [Bekkby, Trine] Deakin Univ, Deakin Marine Res &amp; Innovat Ctr, Sch Life &amp; Environm Sci, Warrnambool, Vic 3265, Australia; [Bennett, Scott; Forbes, Hunter; Ling, Scott D.; Montes-Herrera, Juan; Strain, Elisabeth M. A.] Univ Tasmania, Inst Marine &amp; Antarctic Studies, Hobart, Tas 7001, Australia; [Bernal, Blanca] Greencollar US, Int Projects, Chicago, IL USA; [Blain, Caitlin O.] Univ Auckland, Inst Marine Sci, Marine Lab, 160 Goat Isl Rd, Leigh 0985, New Zealand; [Boada, Jordi] CEAB CSIC, Ctr Estudis Avancats Blanes, Blanes, Spain; [Branigan, Simon; Reeves, Simon E.] Nature Conservancy, Suite 2-01,60 L Green Bldg,60 Leicester St, Carlton, Vic 3053, Australia; [Bursic, Jasmine; Francis, Prue; Pocklington, Jacqueline B.] Deakin Univ, Sch Life &amp; Environm Sci, Queenscliff, Vic 3225, Australia; [Cevallos, Bruno; Moreno, Bernabe] Univ Cient Sur, Carrera Biol Marina, Lima, Peru; [Choi, Changgeun] Pukyong Natl Univ, Dept Ecol Engn, Busan 48513, South Korea; [Connell, Sean D.] Univeristy Adelaide, Sch Biol Sci, Southern Seas Ecol Labs, Adelaide, SA, Australia; [Edward, Christopher] Victoria Univ Wellington, Cornwall Sch Biol Sci, Wellington 6012, New Zealand; [Edward, Christopher] Victoria Univ Wellington, Coastal People Southern Skies Ctr Res Excellence, Wellington 6012, New Zealand; [Earp, Hannah Scarlett] Newcastle Univ, Sch Nat &amp; Environm Sci, Dove Marine Lab, Newcastle Upon Tyne NE1 7RU, Tyne &amp; Wear, England; [Eddy, Norah; McHugh, Tristin Anoush] Nature Conservancy, 830 S St, Sacramento, CA 95811 USA; [Eger, Aaron Matthius; Matthius, Aaron] Kelp Forest Alliance, Sydney, NSW 2034, Australia; [Ennis, Lee-Ann] BC Conservat Fdn, Vital Kelp Nursery, Sunshine Coast, BC, Canada; [Falace, Annalisa; Kaleb, Sara] Univ Trieste, Dept Life Sci, Trieste, Italy; [Ferreira, Ana Margarida] Cascais Municipal, Praca 5 Outubro 1, P-2750320 Cascais, Portugal; [Filbee-Dexter, Karen; Pessarrodona, Albert; Starko, Samuel; Wernberg, Thomas; Wood, Georgina] Univ Western Australia, UWA Oceans, Inst &amp; Sch Biol Sci, Crawley, WA 6009, Australia; [Franco, Joao N.] Polytech Leiria, MARE Marine &amp; Environm Sci Ctr, ESTM, P-2520641 Peniche, Portugal; [Franco, Joao N.] Polytech Leiria, ARNET Aquat Res Network Associated Lab, ESTM, P-2520641 Peniche, Portugal; [Geisler, Karen Gray] Skybervean, Green Blue Seas, Falmouth TR11 5HL, Cornwall, England; [Giraldo-Ospina, Anita] Univ Calif Santa Barbara, Marine Sci Inst, Santa Barbara, CA 93106 USA; [Gonzalez, Alejandra V.] Univ Chile, Fac Ciencias, Dept Ciencias Ecol, Las Palmeras 3425, Santiago 7800024, Chile; [Hingorani, Swati] Int Union Conservat Nat, Gland, Switzerland; [Hohman, Rietta] Greater Farallones Natl Marine Sanctuary, 991 Marine Dr, Presidio, CA 94129 USA; [Ivesa, Ljiljana] Rudjer Boskovic Inst, Ctr Marine Res, Rovinj, Croatia; [Keane, John P.; Layton, Cayne] Univ Tasmania, Inst Marin &amp; Antarctic Studies IMAS, Private Bag 49, Hobart, Tas 7001, Australia; [Koch, Sophie J. I.; van den Burg, Sander W. K.] Wageningen Econ Res, POB 29703, NL-2502 LS The Hague, Netherlands; [Krumhansl, Kira] Fisheries &amp; Oceans Canada, Bedford Inst Oceanog, Dartmouth, NS, Canada; [Ladah, Lydia] Ctr Invest Cient &amp; Educ Super Ensenada, Dept Biol Oceanog, Carretera Ensenada Tijuana 3918, Ensenada, Baja California, Mexico; [Lafont, Dallas J.; Miller, Kelsey Irene] Univ Auckland, Inst Marine Sci, Leigh Marine Lab, 160 Goat Isl Rd, Leigh 0985, New Zealand; [Le, Duong Minh] Univ Otago, Dept Marine Sci, Dunedin 9054, New Zealand; [Lee, Lynn Chi] Natl Marine Conservat Area Reserve, Gwaii Haanas Natl Pk Reserve, Haida Gwaii, BC, Canada; [Lee, Lynn Chi] Pk Canada, Haida Heritage Site, Haida Gwaii, BC, Canada; [Lonhart, Steve I.] NOAA Monterey Bay Natl Marine Sanctuary, 110 Mcallister Way, Santa Cruz, CA 95060 USA; [Malpica-Cruz, Luis] Univ Autonoma Baja Calif, Inst Invest Oceanol, Fraccionamiento Playitas, Carretera Tijuana Ensenada 3917, Ensenada 22860, Baja California, Mexico; [Mangialajo, Luisa; Monserrat, Margalida] Univ Cote Azur, CNRS, ECOSEAS, Nice, France; [McConnell, Amy] Canadian Kelp Resouces Ltd, Bamfield, BC V0R 1B0, Canada; [Neufeld, Christopher J.] Kelp Rescue Initiat, 100 Pachena Rd, Bamfield, BC, Canada; [Orchard, Shane] Univ Canterbury, Sch Biol Sci, Christchurch 8140, New Zealand; [Peabody, Betsy; Toft, Jodie E.] Puget Sound Restorat Fund, Bainbridge Isl, WA USA; [Peleg, Ohad] Victoria Univ Wellington, Sch Biol Sci, Wellington 6012, New Zealand; [Ricart, Aurora M.] Inst Ciencies Mar ICM CSIC, Barcelona, Spain; [Ross, Finnley] Deakin Univ, Ctr Integrat Ecol, Sch Life &amp; Environm Sci, Burwood, Vic, Australia; [Schanz, Federica Romina] Wageningen Univ &amp; Res, Lab Microbiol, Helix Bldg 124,Stippeneng 4, NL-6708 WE Wageningen, Netherlands; [Schreider, Maria] Phillip Isl Nat Pk, Cowes, Vic, Australia; [Sedarat, Mohammad] Univ Calif San Diego, Scripps Inst Oceanog, La Jolla, CA USA; [Smith, Shannen M.] Inst Ruder Boskovic, Ctr Marine Res, Rovinj, Croatia; [Starko, Samuel] Kelp Rescue Initiat, 100 Pachena Rd, Bamfield, BC, Canada; [Starko, Samuel] Bamfield Marine Sci Ctr, 100 Pachena Rd, Bamfield, BC, Canada; [Tamburello, Laura] Stn Zool Anton Dohrn, Dept Integrat Marine Ecol, Complesso Roosevelt, I-90142 Palermo, Sicily, Italy; [Timmer, Brian] Univ Victoria, Dept Biol, Victoria, BC, Canada; [Uribe, Roberto A.] Inst Mar Peru, Area Macroalgas &amp; Biodiversidad, IMARPE, Ave La Ribera 805, Huanchaco, La Libertad, Peru; [Vasquez, Julio A.] Univ Catolica Norte, Dept Biol Marina, Inst Milenio Socioecol Costera, Antofagasta, Chile; [Veenhof, Reina J.] Southern Cross Univ, Fac Sci &amp; Engn, Natl Marine Sci Ctr, Coffs Harbour, NSW, Australia; [Filbee-Dexter, Karen; Wernberg, Thomas] Inst Marine Res, His, Norway</t>
  </si>
  <si>
    <t>University of New South Wales Sydney; Universidad de Malaga; Stanford University; Stanford University; Consejo Superior de Investigaciones Cientificas (CSIC); Universidad Autonoma de Baja California; Deakin University; University of Tasmania; University of Auckland; Consejo Superior de Investigaciones Cientificas (CSIC); CSIC - Centre d'Estudis Avancats de Blanes (CEAB); Nature Conservancy; Deakin University; Universidad Cientifica del Sur (CIENTIFICA); Pukyong National University; Victoria University Wellington; Victoria University Wellington; Newcastle University - UK; Nature Conservancy; University of Trieste; University of Western Australia; University of California System; University of California Santa Barbara; Universidad de Chile; Rudjer Boskovic Institute; University of Tasmania; Wageningen University &amp; Research; Fisheries &amp; Oceans Canada; Bedford Institute of Oceanography; CICESE - Centro de Investigacion Cientifica y de Educacion Superior de Ensenada; University of Auckland; University of Otago; Universidad Autonoma de Baja California; Universite Cote d'Azur; Centre National de la Recherche Scientifique (CNRS); University of Canterbury; Victoria University Wellington; Consejo Superior de Investigaciones Cientificas (CSIC); CSIC - Centro Mediterraneo de Investigaciones Marinas y Ambientales (CMIMA); CSIC - Instituto de Ciencias del Mar (ICM); Deakin University; Wageningen University &amp; Research; University of California System; University of California San Diego; Scripps Institution of Oceanography; Rudjer Boskovic Institute; Simon Fraser University; Stazione Zoologica Anton Dohrn di Napoli; University of Victoria; Instituto del Mar del Peru; Universidad Catolica del Norte; Southern Cross University; Institute of Marine Research - Norway</t>
  </si>
  <si>
    <t>Eger, AM (corresponding author), Univ New South Wales, Sydney, NSW 2034, Australia.</t>
  </si>
  <si>
    <t>Aaron.eger@unsw.edu.au</t>
  </si>
  <si>
    <t>MontesHerrera, JuanCarlos/KHY-8148-2024; Forbes, Hunter/JHU-7939-2023; Boada, Jordi/U-3934-2017; Franco, Joao N/D-4684-2012; Layton, Cayne/J-8443-2013; Pessarrodona, Albert/I-4850-2019</t>
  </si>
  <si>
    <t>MontesHerrera, JuanCarlos/0000-0002-3471-965X; Forbes, Hunter/0000-0002-4416-0415; Franco, Joao N/0000-0002-8249-5224; Schanz, Federica Romina/0000-0001-9020-1188; Micheli, Fiorenza/0000-0002-6865-1438; Francis, Prudence/0000-0003-3354-0532; Layton, Cayne/0000-0002-3390-6437; Keane, John Patrick/0000-0001-8950-5176; Pessarrodona, Albert/0000-0002-6057-9937; Monserrat, Margalida/0000-0002-7048-4608; Peleg, Ohad/0000-0002-4271-6328; Starko, Samuel/0000-0002-9604-9188; Giraldo Ospina, Ana/0000-0003-4005-3548; Eger, Aaron/0000-0003-0687-7340; Filbee-Dexter, Karen/0000-0001-8413-6797; Ricart, Aurora M/0000-0001-7769-1661</t>
  </si>
  <si>
    <t>The Kelp Forest Alliance would like to recognize support for developing the Kelp Forest Challenge from The Nature Conservancy, The Banner Foundation, The University of New South Wales, The Center for Marine Science and Innovation, the Institute of Marine R; Kelp Forest Alliance would like to recognize support for developing the Kelp Forest Challenge from The Nature Conservancy; Banner Foundation; University of New South Wales; Center for Marine Science and Innovation; Institute of Marine Research in Norway; Van Dyson Foundation</t>
  </si>
  <si>
    <t>The Kelp Forest Alliance would like to recognize support for developing the Kelp Forest Challenge from The Nature Conservancy, The Banner Foundation, The University of New South Wales, The Center for Marine Science and Innovation, the Institute of Marine Research in Norway, and the Van Dyson Foundation. The views presented by the authors here do not necessarily represent the views of their organizations.</t>
  </si>
  <si>
    <t>2023 OCT 9</t>
  </si>
  <si>
    <t>10.1007/s10811-023-03103-y</t>
  </si>
  <si>
    <t>X1QP8</t>
  </si>
  <si>
    <t>WOS:001096266800002</t>
  </si>
  <si>
    <t>Huang, WL; Qian, ZQ; Yan, M; Mulvaney, R; Liu, LB; Dai, HX; An, CL; Xiao, CD; Zhang, YJ</t>
  </si>
  <si>
    <t>Huang, Weilong; Qian, Zuoqin; Yan, Ming; Mulvaney, Robert; Liu, Leibao; Dai, Haixia; An, Chunlei; Xiao, Cunde; Zhang, Yujia</t>
  </si>
  <si>
    <t>Temperature variability over the past three centuries in the coastal region of Princess Elizabeth Land, Antarctica, reconstructed from ice core stable isotope records</t>
  </si>
  <si>
    <t>QUATERNARY INTERNATIONAL</t>
  </si>
  <si>
    <t>Antarctic ice core; Water stable isotopes; Temperature reconstruction; Climate change</t>
  </si>
  <si>
    <t>SURFACE MASS-BALANCE; DRONNING MAUD LAND; SOUTHERN-HEMISPHERE; DEUTERIUM EXCESS; WATER ISOTOPES; FIRN CORES; ZHONGSHAN STATION; EAST ANTARCTICA; CLIMATIC INTERPRETATION; SPATIAL VARIABILITY</t>
  </si>
  <si>
    <t>High-resolution stable isotope records obtained from Antarctic ice cores can be used as proxies to investigate past climatic changes in Antarctica, overcoming the spatiotemporal limitations of observational and instrumental records. Here, we used a new high-resolution ice core stable isotope record (1709-2001 AD) obtained from the Lambert Glacier Basin 69 (LGB69) site and a published stable isotope record (1757-1987 AD) from coastal Princess Elizabeth Land (PEL) to reconstruct temperature variability in the coastal region of PEL over the past three centuries. The dominant moisture source region for coastal PEL is mid-high latitudes of the South Indian Ocean (SIO) and this has remained stable over the past three centuries. Owing to non-climatic noise, no statistically significant isotope-temperature relationship can be evidenced at annual-to-decadal scales. However, the ice core 8D records do enable us to reconstruct multi-decadal temperature variability in the coastal region of PEL. The temperature reconstructions showed a consistent warming trend during the 20th century, whereas the cold periods prior to the 20th century may be related to the Little Ice Age (LIA). Our reconstructions exhibit high reliability, evidenced by their agreement with previous reconstructions from PEL. We also found that annual temperature variability is related to the Southern Annular Mode (SAM), whereas multi-decadal temperature variability is related to the Indian Ocean Dipole (IOD). However, the relationship between the SAM and temperature is unclear before the 1970s. The results of this study are helpful in understanding long-term temperature changes in Antarctica and provide an important reference for the attribution of temperature changes.</t>
  </si>
  <si>
    <t>[Huang, Weilong; Qian, Zuoqin; Zhang, Yujia] Wuhan Univ Technol, Sch Naval Architecture Ocean &amp; Energy Power Engn, Wuhan 430063, Hubei, Peoples R China; [Huang, Weilong; Yan, Ming; Liu, Leibao; An, Chunlei] Polar Res Inst China, Key Lab Polar Sci, MNR, Shanghai 200136, Peoples R China; [Mulvaney, Robert] British Antarctic Survey, High Cross Madingley Rd, Cambridge CB3 0ET, England; [Dai, Haixia] Natl Univ Def Technol, Coll Meteorol &amp; Oceanog, Changsha 410073, Hunan, Peoples R China; [Xiao, Cunde] Beijing Normal Univ, State Key Lab Land Surface Proc &amp; Resource Ecol, Beijing 100875, Peoples R China</t>
  </si>
  <si>
    <t>Wuhan University of Technology; Polar Research Institute of China; UK Research &amp; Innovation (UKRI); Natural Environment Research Council (NERC); NERC British Antarctic Survey; National University of Defense Technology - China; Beijing Normal University</t>
  </si>
  <si>
    <t>Qian, ZQ (corresponding author), Wuhan Univ Technol, Sch Naval Architecture Ocean &amp; Energy Power Engn, Wuhan 430063, Hubei, Peoples R China.;Yan, M (corresponding author), Polar Res Inst China, Key Lab Polar Sci, MNR, Shanghai 200136, Peoples R China.</t>
  </si>
  <si>
    <t>qzq@whut.edu.cn; mingyan@pric.org.cn</t>
  </si>
  <si>
    <t>National Natural Science Foundation of China [41676192, 51676144]; Shanghai Sailing Program [21YF1452000]</t>
  </si>
  <si>
    <t>National Natural Science Foundation of China(National Natural Science Foundation of China (NSFC)); Shanghai Sailing Program</t>
  </si>
  <si>
    <t>This research was supported by the National Natural Science Foundation of China (41676192; 51676144) and the Shanghai Sailing Program (Grant 21YF1452000) .</t>
  </si>
  <si>
    <t>1040-6182</t>
  </si>
  <si>
    <t>1873-4553</t>
  </si>
  <si>
    <t>QUATERN INT</t>
  </si>
  <si>
    <t>Quat. Int.</t>
  </si>
  <si>
    <t>10.1016/j.quaint.2023.08.005</t>
  </si>
  <si>
    <t>X5QD6</t>
  </si>
  <si>
    <t>WOS:001098986100001</t>
  </si>
  <si>
    <t>Kim, S; Lee, JI; Yoo, KC; Lee, MK; Bak, YS; Kang, MI; Kim, S; Park, J</t>
  </si>
  <si>
    <t>Kim, Sunghan; Lee, Jae Il; Yoo, Kyu-Cheul; Lee, Min Kyung; Bak, Young-Suk; Kang, Myung-Il; Kim, Sookwan; Park, Jinku</t>
  </si>
  <si>
    <t>Glacial-interglacial environmental changes in the Drake Passage over the past 600 kyrs</t>
  </si>
  <si>
    <t>Drake Passage; Surface water production; Nutrient utilization; Bottom current; Marine Isotope Stage 9; Warmer interglacial</t>
  </si>
  <si>
    <t>ANTARCTIC ICE-SHEET; SOUTHERN-OCEAN SEDIMENTS; MAJOR DIATOM TAXA; LONG-TERM CHANGES; LATE QUATERNARY; SURFACE NITRATE; GRAIN-SIZE; SEA-ICE; NUTRIENT UTILIZATION; CONTINENTAL-MARGIN</t>
  </si>
  <si>
    <t>Oceanographic conditions in the Southern Ocean are closely related to the oceanic frontal system. Glacial-interglacial changes in cryosphere influence variations in oceanic fronts in the Southern Ocean and vice versa, causing changes in surface water productivity, nutrient utilization, bottom water chemistry, and/or bottom current intensity. Here, we documented geochemical, nitrogen isotope, and grain size records over the last 600 kyrs from the Drake Passage with previously published data to compare between glacial and interglacial oceanic conditions from surface to bottom. Biogenic opal (diatom) and export productions were high during interglacial periods and low during glacial periods. Surface water production was dominated by open ocean species during both glacial and interglacial periods without a clear glacial-interglacial change in sea ice species. After Marine Isotope Stage (MIS) 9, interglacial biogenic opal and diatom abundance increased distinctively with decreased terrestrial influence. Nutrient utilization increased (decreased) during interglacial (glacial) periods with increased (decreased) surface water production, particularly after MIS 9. This indicates that surface water production was regulated by light availability in association with sea ice duration/extent. According to good correlation between sortable silt mean grain size (SS MGS) and %sortable silt, SS MGS can be used for bottom current intensity indicator in this study; increased (decreased) bottom current during glacial (interglacial) periods. Increased glacial bottom current is likely related to southwestward flowing bottom current. Interglacial bottom current intensity became also significantly weakened after MIS 9. However, outstanding interglacial warmth in the Drake Passage occurred from MIS 9, not following the global trend to occur after MIS 11. This implies that more studies from the Southern Ocean in response to the Mid-Brunhes Event are required in the future.</t>
  </si>
  <si>
    <t>[Kim, Sunghan; Lee, Jae Il; Yoo, Kyu-Cheul; Lee, Min Kyung; Kang, Myung-Il; Park, Jinku] Korea Polar Res Inst, Incheon 21990, South Korea; [Kim, Sunghan] Univ Sci Technol UST, Dept Polar Sci, Incheon 21990, South Korea; [Bak, Young-Suk] Jeonbuk Natl Univ, Dept Earth &amp; Environm Sci, Jeonju 54896, South Korea; [Kim, Sookwan] Korea Inst Ocean Sci &amp; Technol, Busan 49111, South Korea</t>
  </si>
  <si>
    <t>Korea Polar Research Institute (KOPRI); University of Science &amp; Technology (UST); Jeonbuk National University; Korea Institute of Ocean Science &amp; Technology (KIOST)</t>
  </si>
  <si>
    <t>Kim, S (corresponding author), Korea Polar Res Inst, Incheon 21990, South Korea.</t>
  </si>
  <si>
    <t>delongksh@kopri.re.kr</t>
  </si>
  <si>
    <t>Kim, Sookwan/JJD-3241-2023</t>
  </si>
  <si>
    <t>Kim, Sookwan/0000-0001-9960-2295</t>
  </si>
  <si>
    <t>KOPRI - Ministry of Oceans and Fisheries [KOPRI PE23090]</t>
  </si>
  <si>
    <t>KOPRI - Ministry of Oceans and Fisheries</t>
  </si>
  <si>
    <t>We would like to thank the crew and scientific party of the R/V Yuzhmorgeologiya for all their help during the gravity coring on board. We would like to thank Korea Polar Research Institute (KOPRI) laboratory members for all their help during experimental measurements. We appreciate the handling editor (Dr. Mary Elliot) and two anonymous reviewers for their important and constructive comments to improve data interpretation and manuscript structure. This work was supported by KOPRI grant funded by the Ministry of Oceans and Fisheries (KOPRI PE23090) . The data presented in this paper can be accessed from the Korea Polar Data Center at https://kpdc.kopri.re.kr.</t>
  </si>
  <si>
    <t>10.1016/j.palaeo.2023.111835</t>
  </si>
  <si>
    <t>X5XT5</t>
  </si>
  <si>
    <t>WOS:001099187200001</t>
  </si>
  <si>
    <t>Piva, SB; Barker, SJ; Iverson, NA; Winton, VHL; Bertler, NAN; Sigl, M; Wilson, CJN; Dunbar, NW; Kurbatov, AV; Carter, L; Charlier, BLA; Newnham, RM</t>
  </si>
  <si>
    <t>Piva, Stephen B.; Barker, Simon J.; Iverson, Nels A.; Winton, V. Holly L.; Bertler, Nancy A. N.; Sigl, Michael; Wilson, Colin J. N.; Dunbar, Nelia W.; Kurbatov, Andrei V.; Carter, Lionel; Charlier, Bruce L. A.; Newnham, Rewi M.</t>
  </si>
  <si>
    <t>Volcanic glass from the 1.8 ka Taupo eruption (New Zealand) detected in Antarctic ice at ∼ 230 CE</t>
  </si>
  <si>
    <t>STRATOSPHERIC SULFUR INJECTIONS; AEROSOL OPTICAL DEPTH; CENTRAL NORTH ISLAND; EXPLOSIVE ERUPTIONS; ROOSEVELT ISLAND; C-14 CALIBRATION; WAIS DIVIDE; CORE; GREENLAND; TEPHRA</t>
  </si>
  <si>
    <t>Chemical anomalies in polar ice core records are frequently linked to volcanism; however, without the presence of (crypto)tephra particles, links to specific eruptions remain speculative. Correlating tephras yields estimates of eruption timing and potential source volcano, offers refinement of ice core chronologies, and provides insights into volcanic impacts. Here, we report on sparse rhyolitic glass shards detected in the Roosevelt Island Climate Evolution (RICE) ice core (West Antarctica), attributed to the 1.8 ka Taupo eruption (New Zealand)-one of the largest and most energetic Holocene eruptions globally. Six shards of a distinctive geochemical composition, identical within analytical uncertainties to proximal Taupo glass, are accompanied by a single shard indistinguishable from glass of the similar to 25.5 ka Oruanui supereruption, also from Taupo volcano. This double fingerprint uniquely identifies the source volcano and helps link the shards to the climactic phase of the Taupo eruption. The englacial Taupo-derived glass shards coincide with a particle spike and conductivity anomaly at 278.84 m core depth, along with trachytic glass from a local Antarctic eruption of Mt. Melbourne. The assessed age of the sampled ice is 230 +/- 19 CE (95% confidence), confirming that the published radiocarbon wiggle-match date of 232 +/- 10 CE (2 SD) for the Taupo eruption is robust.</t>
  </si>
  <si>
    <t>[Piva, Stephen B.; Barker, Simon J.; Wilson, Colin J. N.; Charlier, Bruce L. A.; Newnham, Rewi M.] Victoria Univ Wellington, Sch Geog Environm &amp; Earth Sci, POB 600, Wellington 6140, New Zealand; [Iverson, Nels A.; Dunbar, Nelia W.] New Mexico Inst Min &amp; Technol, New Mexico Bur Geol &amp; Mineral Resources, 801 Leroy Pl, Socorro, NM 87801 USA; [Winton, V. Holly L.; Bertler, Nancy A. N.; Carter, Lionel] Victoria Univ Wellington, Antarctic Res Ctr, POB 600, Wellington 6140, New Zealand; [Bertler, Nancy A. N.] GNS Sci, Natl Isotope Ctr, POB 30-368, Lower Hutt 5040, New Zealand; [Sigl, Michael] Univ Bern, Phys Inst, Climate &amp; Environm Phys, Hochschulstr 4, CH-3012 Bern, Switzerland; [Sigl, Michael] Univ Bern, Oeschger Ctr Climate Change Res, Hochschulstr 4, CH-3012 Bern, Switzerland; [Kurbatov, Andrei V.] Univ Maine, Climate Change Inst, Sch Earth &amp; Climate Sci, 168 Coll Ave, Orono, ME 04469 USA</t>
  </si>
  <si>
    <t>Victoria University Wellington; New Mexico Institute of Mining Technology; Victoria University Wellington; GNS Science - New Zealand; University of Bern; University of Bern; University of Maine System; University of Maine Orono</t>
  </si>
  <si>
    <t>Piva, SB (corresponding author), Victoria Univ Wellington, Sch Geog Environm &amp; Earth Sci, POB 600, Wellington 6140, New Zealand.</t>
  </si>
  <si>
    <t>stephen.piva@vuw.ac.nz</t>
  </si>
  <si>
    <t>; Wilson, Colin/E-9457-2011</t>
  </si>
  <si>
    <t>Winton, Victoria/0000-0001-7112-6768; Barker, Simon/0000-0002-3090-1403; Sigl, Michael/0000-0002-9028-9703; Wilson, Colin/0000-0001-7565-0743; Piva, Stephen/0000-0003-4346-2048; Iverson, Nels/0000-0002-7110-5040</t>
  </si>
  <si>
    <t>USA National Science Foundation [1543454]; New Zealand Antarctic Research Institute [2019-3-1]; Marsden Fund of the Royal Society Te Aparangi [21-VUW-233, 15-VUW-131]; New Zealand Ministry of Business, Innovation and Employment [RTVU1704]; GNS Science Global Change Through Time Programme [540CGT32]; European Research Council under the European Union's Horizon 2020 Research and Innovation Programme [820047]; Royal Society of New Zealand [21-VUW-233] Funding Source: Royal Society of New Zealand</t>
  </si>
  <si>
    <t>USA National Science Foundation(National Science Foundation (NSF)); New Zealand Antarctic Research Institute; Marsden Fund of the Royal Society Te Aparangi(Royal Society of New Zealand); New Zealand Ministry of Business, Innovation and Employment(New Zealand Ministry of Business, Innovation and Employment (MBIE)); GNS Science Global Change Through Time Programme; European Research Council under the European Union's Horizon 2020 Research and Innovation Programme(European Research Council (ERC)); Royal Society of New Zealand(Royal Society of New Zealand)</t>
  </si>
  <si>
    <t>We thank the following for their valuable help in this work. Rebecca Pyne and Roger Tremain for assistance with and advice on sample collection and preparation. David Flynn and Ian Schipper for operational and technical support with SEM-EDS and EMPA-WDS. Kirstin Krueger for discussions about volcanic signals in ice cores and impacts on climate. Richard Holdaway, Ben Kennedy, and David Lowe for discussions about the timing of the Taupo eruption. Mai Winstrup for providing critical data from the RICE ice core to calculate non-sea-salt conductivity for the time interval of interest. The members of the WAIS, SPICEcore, and RICE projects and research communities. The editor and two anonymous reviewers for their insightful comments and suggestions. This work was supported by the USA National Science Foundation (1543454: NWD), New Zealand Antarctic Research Institute (2019-3-1: SJB), the Marsden Fund of the Royal Society Te Ap &amp; amacr;rangi (21-VUW-233: SJB; 15-VUW-131: NANB), the New Zealand Ministry of Business, Innovation and Employment (RTVU1704: CJNW), the GNS Science Global Change Through Time Programme (540CGT32: NANB), and the European Research Council under the European Union's Horizon 2020 Research and Innovation Programme (820047: MS). We also thank the Ice Drilling Program Office, Ice Drilling Design and Operations group, the Ice Coring and Drilling Services drilling team, the Antarctic Research Centre's Science Drilling Office, the National Science Foundation Ice Core Facility, and the New Zealand National Ice Core Research Facility for collection and curation of the WDC06A, SPC14, and RICE ice cores.</t>
  </si>
  <si>
    <t>OCT 9</t>
  </si>
  <si>
    <t>10.1038/s41598-023-42602-3</t>
  </si>
  <si>
    <t>X7BF6</t>
  </si>
  <si>
    <t>WOS:001099954200004</t>
  </si>
  <si>
    <t>Schmider-Martínez, A; Maturana, CS; Poveda, Y; Rosenfeld, S; López-Farrán, Z; Saucède, T; Poulin, E; González-Wevar, C</t>
  </si>
  <si>
    <t>Schmider-Martinez, Andreas; Maturana, Claudia S.; Poveda, Yarleth; Rosenfeld, Sebastian; Lopez-Farran, Zambra; Saucede, Thomas; Poulin, Elie; Gonzalez-Wevar, Claudio</t>
  </si>
  <si>
    <t>Laevilacunaria (Mollusca, Gastropoda) in the Southern Ocean: A comprehensive occurrence dataset</t>
  </si>
  <si>
    <t>Littorinids; Laevilacunaria; Laevilitorininae; Antarctic; sub-Antarctic; Southern Ocean</t>
  </si>
  <si>
    <t>MOLECULAR PHYLOGENY; ANTARCTICA; LITTORINIDAE; BIOGEOGRAPHY; MACROALGAE; DIVERSITY; EVOLUTION; ECOLOGY</t>
  </si>
  <si>
    <t>Background The present dataset is a compilation of georeferenced occurrences of the littorinid genus Laevilacunaria Powell, 1951 (Mollusca, Gastropoda) in the Southern Ocean. Occurrence data were obtained from field expeditions (Antarctic and sub-Antarctic sampling) between 2015 and 2022, together with a review of published literature including records from 1887 to 2022. Three Laevilacunaria species have been recorded from the Southern Ocean: Laevilacunaria bennetti, L. antarctica and L. pumilio.New information The present dataset includes 75 occurrences, representing the most exhaustive database of this Antarctic and sub-Antarctic littorinid genus. The publication of this data paper was funded by the Belgian Science Policy Office (BELSPO, contract n degrees FR/36/AN1/AntaBIS) in the Framework of EU-Lifewatch as a contribution to the SCAR Antarctic biodiversity portal (biodiversity.aq).</t>
  </si>
  <si>
    <t>[Schmider-Martinez, Andreas] Univ Austral Chile, Fac Ciencias, Inst Ciencias Marinas &amp; Limnol ICML, Valdivia, Chile; [Schmider-Martinez, Andreas] Univ Lagos, Ctr i mar, Puerto Montt, Chile; [Maturana, Claudia S.; Rosenfeld, Sebastian; Poulin, Elie; Gonzalez-Wevar, Claudio] Inst Biodivers Ecosistemas Antart &amp; Subantart BASE, Santiago, Chile; [Maturana, Claudia S.] Cape Horn Int Ctr CHIC, Puerto Williams, Chile; [Poveda, Yarleth] Univ Austral Chile, Valdivia, Chile; [Rosenfeld, Sebastian] Univ Magallanes, Ctr Invest Gaia Antart, Punta Arenas, Chile; [Lopez-Farran, Zambra; Gonzalez-Wevar, Claudio] Univ Austral Chile, Ctr Fondap Invest Dinam Ecosistemas Marinos Altas, Valdivia, Chile; [Saucede, Thomas] Univ Bourgougne 6, Biogeosci, UMR CNRS 6282, Dijon, France</t>
  </si>
  <si>
    <t>Universidad Austral de Chile; Universidad de Los Lagos; Universidad Austral de Chile; Universidad de Magallanes; Universidad Austral de Chile; Universite de Bourgogne; Centre National de la Recherche Scientifique (CNRS); CNRS - Institute of Ecology &amp; Environment (INEE)</t>
  </si>
  <si>
    <t>González-Wevar, C (corresponding author), Inst Biodivers Ecosistemas Antart &amp; Subantart BASE, Santiago, Chile.;González-Wevar, C (corresponding author), Univ Austral Chile, Ctr Fondap Invest Dinam Ecosistemas Marinos Altas, Valdivia, Chile.</t>
  </si>
  <si>
    <t>Poulin, Elie/C-2654-2012</t>
  </si>
  <si>
    <t>Poulin, Elie/0000-0001-7736-0969; Maturana, Claudia/0000-0002-4427-8093</t>
  </si>
  <si>
    <t>FONDECYT Regular [1210787]; Postdoc FONDECYT [DG_10-22]; FONDECYT Initiation; Institutos Milenio BASE; PIA CONICYT; Fondap-IDEAL; ANID/BASAL; [3210063]; [11140087]; [ICN2021_002]; [ACT172065]; [15150003]; [FB210018]; [INACH RG_18-17]</t>
  </si>
  <si>
    <t>FONDECYT Regular(Comision Nacional de Investigacion Cientifica y Tecnologica (CONICYT)CONICYT FONDECYT); Postdoc FONDECYT(Comision Nacional de Investigacion Cientifica y Tecnologica (CONICYT)CONICYT FONDECYT); FONDECYT Initiation(Comision Nacional de Investigacion Cientifica y Tecnologica (CONICYT)CONICYT FONDECYT); Institutos Milenio BASE; PIA CONICYT(Comision Nacional de Investigacion Cientifica y Tecnologica (CONICYT)); Fondap-IDEAL; ANID/BASAL; ; ; ; ; ; ;</t>
  </si>
  <si>
    <t>The research was supported by projects FONDECYT Regular 1210787, FONDECYT Initiation 11140087, Institutos Milenio BASE ICN2021_002, PIA CONICYT ACT172065, Fondap-IDEAL 15150003, ANID/BASAL FB210018, INACH RG_18-17 to CGW and INACH DG_10-22 to SR. Postdoc FONDECYT 3210063 for CSM. The authors are thankful to Karin Gerard for helping in collecting individuals of littorinids for the study (SCUBA diving and intertidal work) . A great thank you to the project PROTEKER for the sampling on Crozet and Kerguelen Islands. In addition, many thanks to Valentina Aliaga Vargas for the map designs and Dr. Lafayette Eaton for the English revision. Thanks to the Instituto Antartico Chileno (INACH) and the Universidad Austral de Chile for providing technical support to this project.</t>
  </si>
  <si>
    <t>e111982</t>
  </si>
  <si>
    <t>10.3897/BDJ.11.e111982</t>
  </si>
  <si>
    <t>X3LC6</t>
  </si>
  <si>
    <t>WOS:001097492700003</t>
  </si>
  <si>
    <t>Pietzsch, BW; Schmidt, A; Groeneveld, J; Bahlburg, D; Meyer, B; Berger, U</t>
  </si>
  <si>
    <t>Pietzsch, Bruno Walter; Schmidt, Aaron; Groeneveld, Juergen; Bahlburg, Dominik; Meyer, Bettina; Berger, Uta</t>
  </si>
  <si>
    <t>The impact of salps (Salpa thompsoni) on the Antarctic krill population (Euphausia superba): an individual-based modelling study</t>
  </si>
  <si>
    <t>ECOLOGICAL PROCESSES</t>
  </si>
  <si>
    <t>Euphausia superba; Salpa thompsoni; Individual-based model; Food competition; Population dynamics; DEB theory</t>
  </si>
  <si>
    <t>DYNAMIC ENERGY BUDGET; ATLANTIC SECTOR; SOUTHERN-OCEAN; SEA-ICE; ENVIRONMENTAL VARIABILITY; SALP/KRILL INTERACTIONS; AUSTRAL SUMMER; GENERIC MODEL; ABUNDANCE; ZOOPLANKTON</t>
  </si>
  <si>
    <t>Background Krill (Euphausia superba) and salps (Salpa thompsoni) are key macrozooplankton grazers in the Southern Ocean ecosystem. However, due to differing habitat requirements, both species previously exhibited little spatial overlap. With ongoing climate change-induced seawater temperature increase and regional sea ice loss, salps can now extend their spatial distribution into historically krill-dominated areas and increase rapidly due to asexual reproduction when environmental conditions are favorable. Understanding the potential effects on krill is crucial, since krill is a species of exceptional trophic significance in the Southern Ocean food web. Negative impacts on krill could trigger cascading effects on its predators and prey. To address this question, we combined two individual-based models on salps and krill, which describe the whole life cycle of salp individuals and the dynamic energy budget of individual krill. The resulting new model PEKRIS (PErformance of KRIll vs. Salps) simulates a krill population for 100 years under varying chlorophyll-a concentrations in the presence or absence of salps.Results All of the investigated krill population properties (abundance, mean length, and yearly egg production) were significantly impacted by the presence of salps. On the other hand, salp density was not impacted if krill were present. The medians of krill population properties deviated during variable maximum chlorophyll-a density per year when salps were introduced by - 99.9% (- 234 individuals per 1000 m3) for krill density, - 100% (- 22,062 eggs per 1000 m3) for krill eggs and - 0.9% (- 0.3 mm) for mean length of krill.Conclusions If both species compete for the same food resource in a closed space, salps seem to inhibit krill populations. Further simulation studies should investigate whether this effect prevails if different phytoplankton sizes and consumption preferences of krill are implemented. Furthermore, direct predation of the two species or consumption of krill fecal pellets by salps could change the impact size of the food competition.</t>
  </si>
  <si>
    <t>[Pietzsch, Bruno Walter; Schmidt, Aaron; Bahlburg, Dominik; Berger, Uta] Tech Univ Dresden, Fac Environm Sci, Inst Forest Growth &amp; Forest Comp Sci, D-01062 Dresden, Germany; [Groeneveld, Juergen; Bahlburg, Dominik] UFZ Helmholtz Ctr Environm Res, Dept Ecol Modelling, Leipzig, Germany; [Meyer, Bettina] Alfred Wegener Inst, Helmholtz Ctr Polar &amp; Marine Res, Sect Polar Biol Oceanog, Bremerhaven, Germany; [Meyer, Bettina] Carl von Ossietzky Univ Oldenburg, Inst Chem &amp; Biol Marine Environm ICBM, Oldenburg, Germany; [Meyer, Bettina] Helmholtz Inst Funct Marine Biodivers, Oldenburg, Germany</t>
  </si>
  <si>
    <t>Technische Universitat Dresden; Helmholtz Association; Helmholtz Center for Environmental Research (UFZ); Helmholtz Association; Alfred Wegener Institute, Helmholtz Centre for Polar &amp; Marine Research; Carl von Ossietzky Universitat Oldenburg</t>
  </si>
  <si>
    <t>Pietzsch, BW (corresponding author), Tech Univ Dresden, Fac Environm Sci, Inst Forest Growth &amp; Forest Comp Sci, D-01062 Dresden, Germany.</t>
  </si>
  <si>
    <t>bruno_walter.pietzsch@tu-dresden.de</t>
  </si>
  <si>
    <t>We thank the Center for Information Services and High-Performance Computing (ZIH) at TU Dresden for generous allocations of computer time.</t>
  </si>
  <si>
    <t>2192-1709</t>
  </si>
  <si>
    <t>ECOL PROCESS</t>
  </si>
  <si>
    <t>Ecol. Process.</t>
  </si>
  <si>
    <t>10.1186/s13717-023-00462-9</t>
  </si>
  <si>
    <t>W5SW1</t>
  </si>
  <si>
    <t>WOS:001092233900001</t>
  </si>
  <si>
    <t>Mcintyre, T; Oosthuizen, WC; Bester, MN; Hindell, MA; Reisinger, RR; Tosh, CA; van den Hoff, J; de Bruyn, PJN</t>
  </si>
  <si>
    <t>Mcintyre, Trevor; Oosthuizen, W. Chris; Bester, Marthan N.; Hindell, Mark A.; Reisinger, Ryan R.; Tosh, Cheryl A.; van den Hoff, John; de Bruyn, P. J. Nico</t>
  </si>
  <si>
    <t>Tracking the foraging migrations of Marion Island southern elephant seals (Mirounga leonina) during their first year of life</t>
  </si>
  <si>
    <t>geolocation; habitat selection; marine mammal; ontogeny; Phocidae; tracking</t>
  </si>
  <si>
    <t>ANTARCTIC FUR SEALS; DIVING BEHAVIOR; SEGREGATION; TEMPERATURE; MOVEMENTS; ONTOGENY; AREAS; HABITATS; FIDELITY; SURVIVAL</t>
  </si>
  <si>
    <t>The first year of life is critical for large mammals to acquire foraging and predator avoidance skills. Southern elephant seal (Mirounga leonina) pups wean at approximately three weeks of age and depart on their first foraging trips in midsummer, typically remaining at sea for three to four months before returning to their natal islands. We describe the foraging trips (n = 29) of 16 underyearling southern elephant seals from sub-Antarctic Marion Island and compare these with trips (n = 152) of 94 older seals from the same population. While subadults (prebreeding age) and adult females (breeding age) displayed directional travel, underyearlings traveled in multiple directions from the island with no evidence of repeatability of travel directions within or between individuals and years. Maiden trips took longer to complete than subsequent trips during the first year of life, but we found no evidence for significant changes in other track metrics between the first three foraging trips. The comparatively inconsistent movement patterns of underyearlings suggest that foraging strategies of individuals are influenced by their learning and/or success during the first year of life and that individual level consistency in successful foraging strategies only become apparent in subsequent years.</t>
  </si>
  <si>
    <t>[Mcintyre, Trevor] Univ South Africa, Coll Agr &amp; Environm Sci, Dept Life &amp; Consumer Sci, Roodepoort, South Africa; [Mcintyre, Trevor; Bester, Marthan N.; Tosh, Cheryl A.; de Bruyn, P. J. Nico] Univ Pretoria, Mammal Res Inst, Dept Zool &amp; Entomol, Pretoria, South Africa; [Oosthuizen, W. Chris] Univ Cape Town, Ctr Stat Ecol Environm &amp; Conservat, Dept Stat Sci, Cape Town, South Africa; [Hindell, Mark A.] Univ Tasmania, Inst Marine &amp; Antarctic Studies, Hobart, Tas, Australia; [Reisinger, Ryan R.] Natl Oceanog Ctr, Sch Ocean &amp; Earth Sci, Southampton, England; [van den Hoff, John] Australian Antarctic Div, Kingston, Tas, Australia; [Mcintyre, Trevor] Univ South Africa, Private Bag X6, ZA-1710 Roodepoort, South Africa</t>
  </si>
  <si>
    <t>University of South Africa; University of Pretoria; University of Cape Town; University of Tasmania; NERC National Oceanography Centre; Australian Antarctic Division; University of South Africa</t>
  </si>
  <si>
    <t>Mcintyre, T (corresponding author), Univ South Africa, Private Bag X6, ZA-1710 Roodepoort, South Africa.</t>
  </si>
  <si>
    <t>mcintt@unisa.ac.za</t>
  </si>
  <si>
    <t>de Bruyn, P. J. Nico/E-4176-2010; McIntyre, Trevor/E-6846-2010; Reisinger, Ryan/D-6151-2014</t>
  </si>
  <si>
    <t>de Bruyn, P. J. Nico/0000-0002-9114-9569; McIntyre, Trevor/0000-0001-8395-7550; Reisinger, Ryan/0000-0002-8933-6875; Hindell, Mark/0000-0002-7823-7185</t>
  </si>
  <si>
    <t>We are grateful for the constructive comments and suggestions received from three anonymous reviewers as well as the Editor, Daryl Boness. The South African Department of Science and Innovation through the National Research Foundation provided financial su; South African Department of Science and Innovation through the National Research Foundation; Department of Forestry, Fisheries and the Environment (DFFE) via the South African National Antarctic Programme [040827-023, EC077-15, R04-08]; AUCC</t>
  </si>
  <si>
    <t>We are grateful for the constructive comments and suggestions received from three anonymous reviewers as well as the Editor, Daryl Boness. The South African Department of Science and Innovation through the National Research Foundation provided financial su; South African Department of Science and Innovation through the National Research Foundation; Department of Forestry, Fisheries and the Environment (DFFE) via the South African National Antarctic Programme; AUCC</t>
  </si>
  <si>
    <t>We are grateful for the constructive comments and suggestions received from three anonymous reviewers as well as the Editor, Daryl Boness. The South African Department of Science and Innovation through the National Research Foundation provided financial support and the Department of Forestry, Fisheries and the Environment (DFFE) via the South African National Antarctic Programme provided logistical support in the collection of the data presented here. All research reported here conforms to Antarctic Treaty legislation and to the SCAR code of conduct for the use of animals for scientific purposes in Antarctica (Scientific Committee on Antarctic Research, 2011). We adhered to the ASAB/ABS (1990) guidelines for the use of animals in research and the laws of South Africa, where the research was conducted. All flipper tagging and satellite device deployment/retrieval procedures were reviewed and approved by the Animal Use and Care Committee and more recently the renamed Animal Ethics Committee of the University of Pretoria (AUCC 040827-024; AUCC 040827-023 and EC077-15), and fieldwork was performed under Prince Edward Island &amp; apos;s Research Permits R8-04 and R04-08.</t>
  </si>
  <si>
    <t>10.1111/mms.13078</t>
  </si>
  <si>
    <t>WOS:001080973000001</t>
  </si>
  <si>
    <t>Seag, MC; Nielsen, HEF; Nash, M; Badhe, R</t>
  </si>
  <si>
    <t>Seag, Morgan C.; Nielsen, Hanne E. F.; Nash, Meredith; Badhe, Renuka</t>
  </si>
  <si>
    <t>Towards intersectional approaches to gendered change in Antarctic research</t>
  </si>
  <si>
    <t>Diversity; equity and inclusion; fieldwork cultures; gender; internationalism; meritocracy; women in science</t>
  </si>
  <si>
    <t>SCIENCE; DIVERSITY; WOMEN; GLACIOLOGY; SOUTH</t>
  </si>
  <si>
    <t>Antarctic research remains an enterprise in which people with certain backgrounds and identities have distinct career advantages over others. In this paper, we focus on barriers to women's participation and success in Antarctic research. Drawing on feminist social science literature on gender inequality in science, we identify two foundational, interrelated factors that have hampered progress across global Antarctic research. We propose that these barriers can be effectively addressed through intersectional approaches to change. We synthesize a broad range of multidisciplinary research on intersectionality in scientific workplaces and apply this literature to the unique institutional, historical and geographical contexts of Antarctic research. We argue that an intersectional lens improves understanding of persistent gender inequalities in Antarctic research, and we offer examples of how intersectionality can be practically applied within Antarctic institutions and communities. By embracing intersectional approaches to change, the Antarctic research community has the opportunity to lead in the advancement of equitable global scientific cultures and to fully realize Antarctica's potential as a place for peaceful, scientific collaboration by and for all humanity - not just a privileged few.</t>
  </si>
  <si>
    <t>[Seag, Morgan C.; Nielsen, Hanne E. F.] Univ Tasmania, Inst Marine &amp; Antarctic Studies, Hobart, Tas 7004, Australia; [Nash, Meredith] Australian Natl Univ, Coll Engn &amp; Comp Sci, Acton, ACT 2601, Australia; [Badhe, Renuka] European Polar Board, Laan van Nieuw Oost Indie 300, NL-2593 C The Hague, Netherlands</t>
  </si>
  <si>
    <t>University of Tasmania; Australian National University</t>
  </si>
  <si>
    <t>Nielsen, HEF (corresponding author), Univ Tasmania, Inst Marine &amp; Antarctic Studies, Hobart, Tas 7004, Australia.</t>
  </si>
  <si>
    <t>hanne.nielsen@utas.edu.au</t>
  </si>
  <si>
    <t>Nielsen, Hanne E F/I-4472-2014; Nash, Meredith/D-8217-2014</t>
  </si>
  <si>
    <t>Nielsen, Hanne E F/0000-0002-2761-7727; Badhe, Renuka/0000-0001-5255-744X; Nash, Meredith/0000-0002-7429-4924</t>
  </si>
  <si>
    <t>The authors wish to thank the anonymous reviewers for constructive feedback.</t>
  </si>
  <si>
    <t>10.1017/S0954102023000214</t>
  </si>
  <si>
    <t>W8FI6</t>
  </si>
  <si>
    <t>WOS:001078008700001</t>
  </si>
  <si>
    <t>Sun, SA; Gudmundsson, GH</t>
  </si>
  <si>
    <t>Sun, Sainan; Gudmundsson, G. Hilmar</t>
  </si>
  <si>
    <t>The speedup of Pine Island Ice Shelf between 2017 and 2020: revaluating the importance of ice damage</t>
  </si>
  <si>
    <t>Antarctic glaciology; ice dynamics; ice-sheet modelling</t>
  </si>
  <si>
    <t>FRACTURE; MODEL</t>
  </si>
  <si>
    <t>From 2017 to 2020, three significant calving events took place on Pine Island Glacier, West Antarctica. Ice-shelf velocities changed over this period and the calving events have been suggested as possible drivers. However, satellite observations also show significant changes in the areal extent of fracture zones, especially in the marginal areas responsible for providing lateral support to the ice shelf. Here, we conduct a model study to identify and quantify drivers of recent ice-flow changes of the Pine Island Ice Shelf. In agreement with recent studies, we find that the calving events caused significant velocity changes over the ice shelf. However, calving alone cannot explain observed velocity changes. Changes in the structural rigidity, i.e. ice damage, further significantly impacted ice flow. We suggest that ice damage evolution of the ice-shelf margins may have influenced recent calving events, and these two processes are linked.</t>
  </si>
  <si>
    <t>[Sun, Sainan; Gudmundsson, G. Hilmar] Northumbria Univ, Dept Geog &amp; Environm Sci, Newcastle Upon Tyne, Tyne &amp; Wear, England</t>
  </si>
  <si>
    <t>Northumbria University</t>
  </si>
  <si>
    <t>Sun, SA (corresponding author), Northumbria Univ, Dept Geog &amp; Environm Sci, Newcastle Upon Tyne, Tyne &amp; Wear, England.</t>
  </si>
  <si>
    <t>sainan.sun@northumbria.ac.uk</t>
  </si>
  <si>
    <t>Gudmundsson, Gudmundur Hilmar/0000-0003-4236-5369; Sun, Sainan/0000-0002-1614-2658</t>
  </si>
  <si>
    <t>TiPACCs (European Union) [NE/S006745]; NSFPLR-NERC; PROPHET</t>
  </si>
  <si>
    <t>TiPACCs (European Union)(European Union (EU)Marie Curie Actions); NSFPLR-NERC; PROPHET</t>
  </si>
  <si>
    <t>This work was supported by the TiPACCs (European Union's Horizon 2020 research and innovation programme under grant agreement no. 820575) Tipping Points in Antarctic Climate Components, the NSFgeo-NERC grant (V013319) A new mechanistic framework for modelling rift processes in Antarctic ice shelves, and the NSFPLR-NERC grant (NE/ S006745) PROPHET (Processes, drivers, predictions: Modelling the response of Thwaites Glacier over the next century using ice/ocean coupled models), as a part of the International Thwaites Glacier Collaboration.</t>
  </si>
  <si>
    <t>10.1017/jog.2023.76</t>
  </si>
  <si>
    <t>T4WJ6</t>
  </si>
  <si>
    <t>WOS:001078004400001</t>
  </si>
  <si>
    <t>Bruni, EP; Rusconi, O; Broennimann, O; Adde, A; Jauslin, R; Krashevska, V; Kosakyan, A; du Châtelet, EA; Alcino, JPB; Beyens, L; Blandenier, Q; Bobrov, A; Burdman, L; Duckert, C; Fernández, LD; Souza, MBGE; Heger, TJ; Koenig, I; Lahr, DJG; McKeown, M; Meisterfeld, R; Singer, D; Voelcker, E; Wilmshurst, J; Wohlhauser, S; Wilkinson, DM; Guisan, A; Mitchell, EAD</t>
  </si>
  <si>
    <t>Bruni, Estelle P.; Rusconi, Olivia; Broennimann, Olivier; Adde, Antoine; Jauslin, Raphael; Krashevska, Valentyna; Kosakyan, Anush; du Chatelet, Eric Armynot; Alcino, Joao P. B.; Beyens, Louis; Blandenier, Quentin; Bobrov, Anatoly; Burdman, Luciana; Duckert, Clement; Fernandez, Leonardo D.; Souza, Maria Beatriz Gomes e; Heger, Thierry J.; Koenig, Isabelle; Lahr, Daniel J. G.; McKeown, Michelle; Meisterfeld, Ralf; Singer, David; Voelcker, Eckhard; Wilmshurst, Janet; Wohlhauser, Sebastien; Wilkinson, David M.; Guisan, Antoine; Mitchell, Edward A. D.</t>
  </si>
  <si>
    <t>Global distribution modelling of a conspicuous Gondwanian soil protist reveals latitudinal dispersal limitation and range contraction in response to climate warming</t>
  </si>
  <si>
    <t>Apodera vas; climate change; conservation biogeography; cosmopolitanism; endemism; free-living protists; Gondwana; microbial biogeography; palaeogeography; soil biodiversity; species distribution modelling; testate amoebae</t>
  </si>
  <si>
    <t>SPECIES DISTRIBUTION MODELS; APODERA-VAS CERTES; TESTATE AMEBAS; AMOEBOZOA ARCELLINIDA; CRYPTIC DIVERSITY; CONSERVATION BIOGEOGRAPHY; MACROECOLOGICAL PATTERNS; MICROSCOPIC ANIMALS; CILIATE; ENVIRONMENT</t>
  </si>
  <si>
    <t>Aim: The diversity and distribution of soil microorganisms and their potential for long-distance dispersal (LDD) are poorly documented, making the threats posed by climate change difficult to assess. If microorganisms do not disperse globally, regional endemism may develop and extinction may occur due to environmental changes. Here, we addressed this question using the testate amoeba Apodera vas, a morphologically conspicuous model soil microorganism in microbial biogeography, commonly found in peatlands and forests mainly of former Gondwana. We first documented its distribution. We next assessed whether its distribution could be explained by dispersal (i.e. matching its climatic niche) or vicariance (i.e. palaeogeography), based on the magnitude of potential range expansions or contractions in response to past and on-going climatic changes. Last, we wanted to assess the likelihood of cryptic diversity and its potential threat from climate and land-use changes (e.g. due to limited LDD).Location: Documented records: Southern Hemisphere and intertropical zone; modelling: Global.Methods: We first built an updated global distribution map of A. vas using 401 validated georeferenced records. We next used these data to develop a climatic niche model to predict its past (LGM, i.e. 21 +/- 3 ka BP; PMIP3 IPSL-CM5A-LR), present and future (IPSL-CMP6A-LR predictions for 2071-2100, SSP3 and 5) potential distributions in responses to climate, by relating the species occurrences to climatic and topographic predictors. We then used these predictions to test our hypotheses (dispersal/vicariance, cryptic diversity, future threat from LDD limitation).Results: Our models show that favourable climatic conditions for A. vas currently exist in the British Isles, an especially well-studied region for testate amoebae where this species has never been found. This demonstrates a lack of interhemispheric LDD, congruent with the palaeogeography (vicariance) hypothesis. Longitudinal LDD is, however, confirmed by the presence of A. vas in isolated and geologically young peri-Antarctic islands. Potential distribution maps for past, current and future climates show favourable climatic conditions existing on parts of all southern continents, with shifts to higher land from LGM to current in the tropics and a strong range contraction from current to future (global warming IPSL-CM6A-LR scenario for 2071-2100, SSP3.70 and SSP5.85) with favourable conditions developing on the Antarctic Peninsula.Main Conclusions: This study illustrates the value of climate niche models for research on microbial diversity and biogeography, along with exploring the role played by historical factors and dispersal limitation in shaping microbial biogeography. We assess the discrepancy between latitudinal and longitudinal LDD for A. vas, which is possibly due to contrast in wind patterns and/or likelihood of transport by birds. Our models also suggest that climate change may lead to regional extinction of terrestrial microscopic organisms, thus illustrating the pertinence of including microorganisms in biodiversity conservation research and actions.</t>
  </si>
  <si>
    <t>[Bruni, Estelle P.; Rusconi, Olivia; Blandenier, Quentin; Burdman, Luciana; Duckert, Clement; Koenig, Isabelle; Singer, David; Mitchell, Edward A. D.] Univ Neuchatel, Lab Soil Biodivers, Neuchatel, Switzerland; [Broennimann, Olivier; Guisan, Antoine] Univ Lausanne, Dept Ecol &amp; Evolut, Lausanne, Switzerland; [Broennimann, Olivier; Adde, Antoine; Guisan, Antoine] Univ Lausanne, Inst Earth Surface Dynam, Lausanne, Switzerland; [Jauslin, Raphael] Univ Neuchatel, Inst Stat, Neuchatel, Switzerland; [Krashevska, Valentyna] Univ Gottingen, JF Blumenbach Inst Zool &amp; Anthropol, Gottingen, Germany; [Kosakyan, Anush] Czech Acad Sci, Biol Ctr, Inst Parasitol, Ceske Budejovice, Czech Republic; [Kosakyan, Anush] Univ Modena &amp; Reggio Emilia, Dept Life Sci, Modena, Italy; [Kosakyan, Anush] Natl Biodivers Future Ctr NBFC, Palermo, Italy; [du Chatelet, Eric Armynot] Univ Lille, Univ Littoral Cote Opale, CNRS, UMR 8187,LOG Lab Oceanol &amp; Geosci, Lille, France; [Alcino, Joao P. B.; Souza, Maria Beatriz Gomes e; Lahr, Daniel J. G.; Singer, David] Univ Sao Paulo, Inst Biosci, Dept Zool, Sao Paulo, Brazil; [Beyens, Louis] Univ Antwerp, Dept Biol, ECOSPHERE, Antwerp, Belgium; [Blandenier, Quentin] Mississippi State Univ, Dept Biol Sci, Mississippi State, MS USA; [Bobrov, Anatoly] Lomonosov Moscow State Univ, Fac Soil Sci, Moscow, Russia; [Burdman, Luciana] Ctr Conservat &amp; Sustainable Dev, Missouri Bot Garden, St Louis, MO USA; [Fernandez, Leonardo D.] Univ Bernardo OHiggins, Ctr Invest Recursos Nat &amp; Sustentabilidad CIRENYS, Santiago, Chile; [Fernandez, Leonardo D.] Univ Catolica Maule, Ctr Invest Estudios Avanzados Maule, Talca, Chile; [Heger, Thierry J.; Singer, David] HES SO Univ Appl Sci &amp; Arts Western Switzerland, Soil Sci &amp; Environm Grp, Nyon, Switzerland; [Koenig, Isabelle] Lausanne Univ Hosp CHUV, Serv Malad Infect, Unite Hyg Prevent &amp; Controle Infect HPCI, Lausanne, Switzerland; [McKeown, Michelle; Wilmshurst, Janet] Manaaki Whenua Landcare Res, Long Term Ecol Lab, Lincoln, New Zealand; [Koenig, Isabelle] Univ Coll Cork UCC, Sch Biol Earth &amp; Environm Sci BEES, Cork, Ireland; [Meisterfeld, Ralf] Inst Biol II, Dept Gen Biol &amp; Gen Zool, Aachen, Germany; [Singer, David] Angers Univ, UMR CNRS 6112, LPG BIAF, Angers, France; [Voelcker, Eckhard] Penard Labs, Cape Town, South Africa; [Wohlhauser, Sebastien] Assoc Vahatra, Antananarivo, Madagascar; [Wilkinson, David M.] Univ Lincoln, Life &amp; Environm Sci, Joseph Banks Labs, Lincoln, England</t>
  </si>
  <si>
    <t>University of Neuchatel; University of Lausanne; University of Lausanne; University of Neuchatel; University of Gottingen; Czech Academy of Sciences; Biology Centre of the Czech Academy of Sciences; Universita di Modena e Reggio Emilia; Centre National de la Recherche Scientifique (CNRS); CNRS - National Institute for Earth Sciences &amp; Astronomy (INSU); Universite de Lille; Universidade de Sao Paulo; University of Antwerp; Mississippi State University; Lomonosov Moscow State University; Missouri Botanical Gardens; Universidad Bernardo O'Higgins; Universidad Catolica del Maule; University of Lausanne; Centre Hospitalier Universitaire Vaudois (CHUV); Landcare Research - New Zealand; University College Cork; Centre National de la Recherche Scientifique (CNRS); Universite d'Angers; University of Lincoln</t>
  </si>
  <si>
    <t>Mitchell, EAD (corresponding author), Univ Neuchatel, Inst Biol, Lab Soil Biodivers, Rue Emile Argand 11, CH-2000 Neuchatel, Switzerland.</t>
  </si>
  <si>
    <t>edward.mitchell@unine.ch</t>
  </si>
  <si>
    <t>Kosakyan, Anush/T-9070-2018; Lahr, Daniel/O-4253-2019; Mitchell, Edward/B-7259-2013; Guisan, Antoine/A-1057-2011</t>
  </si>
  <si>
    <t>Kosakyan, Anush/0000-0001-6487-8304; Lahr, Daniel/0000-0002-1049-0635; BRUNI, Estelle P./0000-0002-0800-0254; Krashevska, Valentyna/0000-0002-9765-5833; RUSCONI, Olivia/0000-0002-6706-4629; Heger, Thierry/0000-0003-3614-0964; Broennimann, Olivier/0000-0001-9913-3695; Beyens, Louis/0000-0002-2733-1120; Mitchell, Edward/0000-0003-0358-506X; Singer, David/0000-0002-4116-033X; Adde, Antoine/0000-0003-4388-0880; Jauslin, Raphael/0000-0003-1088-3356; Guisan, Antoine/0000-0002-3998-4815</t>
  </si>
  <si>
    <t>The material compiled here results from innumerable scientific expeditions as well as private travel and associated sampling in many regions of the world and is a tribute to the work of many natural scientists. We thank Dimaris Acosta Mercado, Stuart Bamfo</t>
  </si>
  <si>
    <t>The material compiled here results from innumerable scientific expeditions as well as private travel and associated sampling in many regions of the world and is a tribute to the work of many natural scientists. We thank Dimaris Acosta Mercado, Stuart Bamforth, Alex Fergus, Vassil Golemansky, Enrique Lara, Guillaume Lentendu, Dimitri Mauquoy, Matt McGlone, Milcho Todorov and Jamie Wood for providing samples, assisting with sampling, clarifying the position of geographical records or feedback on the manuscript. We thank Flavien Collart for help with the modelling. We dedicate this study to the memory of two colleagues who have contributed very significantly to the knowledge on soil protist biogeography: The first is Wilhelm Foissner who frequently used the example of Apodera vas when discussing the biogeography of protists-at times in very heated debates-and several co-authors have had many exchanges on this topic with him. The second is Louis Bonnet who described many taxa of soil testate amoebae and contributed much of the existing original data on their geographical distribution. One of us (E.A.D. Mitchell) had the opportunity to discuss the record of A. vas from Nepal with him, which helped clarify its status.</t>
  </si>
  <si>
    <t>10.1111/ddi.13779</t>
  </si>
  <si>
    <t>WOS:001082369700001</t>
  </si>
  <si>
    <t>Dethinne, T; Glaude, Q; Picard, G; Kittel, C; Alexander, P; Orban, A; Fettweis, X</t>
  </si>
  <si>
    <t>Dethinne, Thomas; Glaude, Quentin; Picard, Ghislain; Kittel, Christoph; Alexander, Patrick; Orban, Anne; Fettweis, Xavier</t>
  </si>
  <si>
    <t>Sensitivity of the MAR regional climate model snowpack to the parameterization of the assimilation of satellite-derived wet-snow masks on the Antarctic Peninsula</t>
  </si>
  <si>
    <t>SURFACE MELT; ICE SHELVES; EVOLUTION; BALANCE; TRENDS</t>
  </si>
  <si>
    <t>Both regional climate models (RCMs) and remote sensing (RS) data are essential tools in understanding the response of polar regions to climate change. RCMs can simulate how certain climate variables, such as surface melt, runoff and snowfall, are likely to change in response to different climate scenarios but are subject to biases and errors. RS data can assist in reducing and quantifying model uncertainties by providing indirect observations of the modeled variables on the present climate. In this work, we improve on an existing scheme to assimilate RS wet snow occurrence data with the Modele Atmospherique Regional (MAR) RCM and investigate the sensitivity of the RCM to the parameters of the scheme. The assimilation is performed by nudging the MAR snowpack temperature to match the presence of liquid water observed by satellites. The sensitivity of the assimilation method is tested by modifying parameters such as the depth to which the MAR snowpack is warmed or cooled, the quantity of water required to qualify a MAR pixel as wet (0.1 % or 0.2 % of the snowpack mass being water), and assimilating different RS datasets. Data assimilation is carried out on the Antarctic Peninsula for the 2019-2021 period. The results show an increase in meltwater production (+66.7 % on average, or +95 Gt), along with a small decrease in surface mass balance (SMB) (-4.5 % on average, or -20 Gt) for the 2019-2020 melt season after assimilation. The model is sensitive to the tested parameters, albeit with varying orders of magnitude. The prescribed warming depth has a larger impact on the resulting surface melt production than the liquid water content (LWC) threshold due to strong refreezing occurring within the top layers of the snowpack. The values tested for the LWC threshold are lower than the LWC for typical melt days (approximately 1.2 %) and impact results mainly at the beginning and end of the melting period. The assimilation method will allow for the estimation of uncertainty in MAR meltwater production and will enable the identification of potential issues in modeling near-surface snowpack processes, paving the way for more accurate simulations of snow processes in model projections.</t>
  </si>
  <si>
    <t>[Dethinne, Thomas; Glaude, Quentin; Fettweis, Xavier] Univ Liege, SPHERES Res Unit, Lab Climatol, Liege, Belgium; [Dethinne, Thomas] Univ Liege, SPHERES Res unit, Earth Observat &amp; Ecosyst Monitoring Lab, Liege, Belgium; [Glaude, Quentin; Orban, Anne] Univ Liege, Ctr Spatial Liege, Signal Proc Lab, Liege, Belgium; [Picard, Ghislain] Univ Grenoble Alpes, Inst Geosci Environm IGE, CNRS, UMR 5001, Grenoble, France; [Kittel, Christoph] Univ Grenoble Alpes, Inst Geosci Environm IGE, IRD, CNRS,G INP, Grenoble, France; [Alexander, Patrick] Columbia Univ, Lamont Doherty Earth Observ, Palisades, NY USA; [Alexander, Patrick] NASA Goddard Inst Space Studies, New York, NY 10025 USA</t>
  </si>
  <si>
    <t>University of Liege; University of Liege; University of Liege; Centre National de la Recherche Scientifique (CNRS); CNRS - National Institute for Earth Sciences &amp; Astronomy (INSU); Communaute Universite Grenoble Alpes; Universite Grenoble Alpes (UGA); Communaute Universite Grenoble Alpes; Universite Grenoble Alpes (UGA); Centre National de la Recherche Scientifique (CNRS); Institut de Recherche pour le Developpement (IRD); Columbia University; National Aeronautics &amp; Space Administration (NASA); NASA Goddard Space Flight Center; Goddard Institute for Space Studies</t>
  </si>
  <si>
    <t>Dethinne, T (corresponding author), Univ Liege, SPHERES Res Unit, Lab Climatol, Liege, Belgium.;Dethinne, T (corresponding author), Univ Liege, SPHERES Res unit, Earth Observat &amp; Ecosyst Monitoring Lab, Liege, Belgium.</t>
  </si>
  <si>
    <t>tdethinne@uliege.be</t>
  </si>
  <si>
    <t>Picard, Ghislain/D-4246-2013</t>
  </si>
  <si>
    <t>Picard, Ghislain/0000-0003-1475-5853; Fettweis, Xavier/0000-0002-4140-3813</t>
  </si>
  <si>
    <t>Spheres Research Unit from Liege University</t>
  </si>
  <si>
    <t>This research has been supported by the Spheres Research Unit from Liege University.</t>
  </si>
  <si>
    <t>OCT 6</t>
  </si>
  <si>
    <t>10.5194/tc-17-4267-2023</t>
  </si>
  <si>
    <t>HT6L1</t>
  </si>
  <si>
    <t>WOS:001161796600001</t>
  </si>
  <si>
    <t>Recinos, B; Goldberg, D; Maddison, JR; Todd, J</t>
  </si>
  <si>
    <t>Recinos, Beatriz; Goldberg, Daniel; Maddison, James R.; Todd, Joe</t>
  </si>
  <si>
    <t>A framework for time-dependent ice sheet uncertainty quantification, applied to three West Antarctic ice streams</t>
  </si>
  <si>
    <t>STOCHASTIC NEWTON MCMC; SEA-LEVEL RISE; PINE ISLAND; INVERSE PROBLEMS; HIGHER-ORDER; THWAITES GLACIER; BASAL CONDITIONS; FLOW; RETREAT; MODELS</t>
  </si>
  <si>
    <t>Ice sheet models are the main tool to generate forecasts of ice sheet mass loss, a significant contributor to sea level rise; thus, knowing the likelihood of such projections is of critical societal importance. However, to capture the complete range of possible projections of mass loss, ice sheet models need efficient methods to quantify the forecast uncertainty. Uncertainties originate from the model structure, from the climate and ocean forcing used to run the model, and from model calibration. Here we quantify the latter, applying an error propagation framework to a realistic setting in West Antarctica. As in many other ice sheet modelling studies we use a control method to calibrate grid-scale flow parameters (parameters describing the basal drag and ice stiffness) with remotely sensed observations. Yet our framework augments the control method with a Hessian-based Bayesian approach that estimates the posterior covariance of the inverted parameters. This enables us to quantify the impact of the calibration uncertainty on forecasts of sea level rise contribution or volume above flotation (VAF) due to the choice of different regularization strengths (prior strengths), sliding laws, and velocity inputs. We find that by choosing different satellite ice velocity products our model leads to different estimates of VAF after 40 years. We use this difference in model output to quantify the variance that projections of VAF are expected to have after 40 years and identify prior strengths that can reproduce that variability. We demonstrate that if we use prior strengths suggested by L-curve analysis, as is typically done in ice sheet calibration studies, our uncertainty quantification is not able to reproduce that same variability. The regularization suggested by the L curves is too strong, and thus propagating the observational error through to VAF uncertainties under this choice of prior leads to errors that are smaller than those suggested by our two-member sample of observed velocity fields.</t>
  </si>
  <si>
    <t>[Recinos, Beatriz; Goldberg, Daniel; Todd, Joe] Univ Edinburgh, Sch GeoSci, Edinburgh, Scotland; [Maddison, James R.] Univ Edinburgh, Sch Math, Edinburgh, Scotland; [Maddison, James R.] Univ Edinburgh, Maxwell Inst Math Sci, Edinburgh, Scotland</t>
  </si>
  <si>
    <t>University of Edinburgh; University of Edinburgh; Heriot Watt University; University of Edinburgh</t>
  </si>
  <si>
    <t>Recinos, B (corresponding author), Univ Edinburgh, Sch GeoSci, Edinburgh, Scotland.</t>
  </si>
  <si>
    <t>beatriz.recinos@ed.ac.uk</t>
  </si>
  <si>
    <t>Recinos, Beatriz/HLP-7278-2023</t>
  </si>
  <si>
    <t>Recinos, Beatriz/0000-0002-0647-8131</t>
  </si>
  <si>
    <t>Natural Environment Research Council; University of Edinburgh, Scotland, UK; NERC [NE/T001607/1] Funding Source: UKRI</t>
  </si>
  <si>
    <t>Natural Environment Research Council(UK Research &amp; Innovation (UKRI)Natural Environment Research Council (NERC)); University of Edinburgh, Scotland, UK; NERC(UK Research &amp; Innovation (UKRI)Natural Environment Research Council (NERC))</t>
  </si>
  <si>
    <t>The computations were realized on the computing facilities of the University of Edinburgh, Scotland, UK. We acknowledge the contributions of Conrad Koziol as a developer of the FEniCS_ice software. We calculate that the carbon footprint of the computations is approximately 100.13 kg CO2e (equivalent to two flights from London to Paris); this calculation is done using and is based on the number of times that we ran a complete model workflow on our specific hardware. However, this does not account for permanent storage used.</t>
  </si>
  <si>
    <t>10.5194/tc-17-4241-2023</t>
  </si>
  <si>
    <t>HT6N9</t>
  </si>
  <si>
    <t>WOS:001161799400001</t>
  </si>
  <si>
    <t>Eichinger, R; Rhode, S; Garny, H; Preusse, P; Pisoft, P; Kuchar, A; Jöckel, P; Kerkweg, A; Kern, B</t>
  </si>
  <si>
    <t>Eichinger, Roland; Rhode, Sebastian; Garny, Hella; Preusse, Peter; Pisoft, Petr; Kuchar, Ales; Joeckel, Patrick; Kerkweg, Astrid; Kern, Bastian</t>
  </si>
  <si>
    <t>Emulating lateral gravity wave propagation in a global chemistry-climate model (EMAC v2.55.2) through horizontal flux redistribution</t>
  </si>
  <si>
    <t>WEATHER PREDICTION MODELS; SUBMODEL SYSTEM MESSY; DRAG PARAMETERIZATION; GENERAL-CIRCULATION; LOWER STRATOSPHERE; MIDDLE-ATMOSPHERE; MOMENTUM FLUX; PARAMETRIZATION; ALLEVIATION; FORMULATION</t>
  </si>
  <si>
    <t>The columnar approach of gravity wave (GW) parameterisations in weather and climate models has been identified as a potential reason for dynamical biases in middle-atmospheric dynamics. For example, GW momentum flux (GWMF) discrepancies between models and observations at 60 circle S arising through the lack of horizontal orographic GW propagation are suspected to cause deficiencies in representing the Antarctic polar vortex. However, due to the decomposition of the model domains onto different computing tasks for parallelisation, communication between horizontal grid boxes is computationally extremely expensive, making horizontal propagation of GWs unfeasible for global chemistry-climate simulations.To overcome this issue, we present a simplified solution to approximate horizontal GW propagation through redistribution of the GWMF at one single altitude by means of tailor-made redistribution maps. To generate the global redistribution maps averaged for each grid box, we use a parameterisation describing orography as a set of mountain ridges with specified location, orientation and height combined with a ray-tracing model describing lateral propagation of so-generated mountain waves. In the global chemistry-climate model (CCM) EMAC (ECHAM MESSy Atmospheric Chemistry), these maps then allow us to redistribute the GW momentum flux horizontally at one level, obtaining an affordable overhead of computing resources. The results of our simulations show GWMF and drag patterns that are horizontally more spread out than with the purely columnar approach; GWs are now also present above the ocean and regions without mountains. In this paper, we provide a detailed description of how the redistribution maps are computed and how the GWMF redistribution is implemented in the CCM. Moreover, an analysis shows why 15 km is the ideal altitude for the redistribution. First results with the redistributed orographic GWMF provide clear evidence that the redistributed GW drag in the Southern Hemisphere has the potential to modify and improve Antarctic polar vortex dynamics, thereby paving the way for enhanced credibility of CCM simulations and projections of polar stratospheric ozone.</t>
  </si>
  <si>
    <t>[Eichinger, Roland; Garny, Hella; Joeckel, Patrick; Kern, Bastian] Inst Phys Atmosphare, Deutsch Zentrum Luft &amp; Raumfahrt DLR, Oberpfaffenhofen, Germany; [Eichinger, Roland; Pisoft, Petr] Charles Univ Prague, Fac Math &amp; Phys, Dept Atmospher Phys, Prague, Czech Republic; [Rhode, Sebastian; Preusse, Peter] Forschungszentrum Julich, Inst Energie &amp; Klimaforsch, IEK 7, Julich, Germany; [Garny, Hella] Ludwig Maximilian Univ Munich, Meteorol Inst, Munich, Germany; [Kuchar, Ales] Univ Leipzig, Inst Meteorol, Leipzig, Germany; [Kerkweg, Astrid] Forschungszentrum Julich, Inst Energie &amp; Klimaforsch, IEK 8, Julich, Germany; [Kuchar, Ales] Univ Nat Resources &amp; Life Sci BOKU, Inst Meteorol &amp; Climatol, Vienna, Austria</t>
  </si>
  <si>
    <t>Helmholtz Association; German Aerospace Centre (DLR); Charles University Prague; Helmholtz Association; Research Center Julich; University of Munich; Leipzig University; Helmholtz Association; Research Center Julich; BOKU University</t>
  </si>
  <si>
    <t>Eichinger, R (corresponding author), Inst Phys Atmosphare, Deutsch Zentrum Luft &amp; Raumfahrt DLR, Oberpfaffenhofen, Germany.;Eichinger, R (corresponding author), Charles Univ Prague, Fac Math &amp; Phys, Dept Atmospher Phys, Prague, Czech Republic.</t>
  </si>
  <si>
    <t>roland.eichinger@dlr.de</t>
  </si>
  <si>
    <t>Kern, Bastian/D-2671-2009; Eichinger, Roland/ABH-1018-2020</t>
  </si>
  <si>
    <t>Kern, Bastian/0000-0002-7646-9273; Eichinger, Roland/0000-0001-6872-5700; Rhode, Sebastian/0000-0002-6070-9789</t>
  </si>
  <si>
    <t>Deutsches Klimarechenzentrum (DKRZ, German Climate Computing Centre) [bd1022]</t>
  </si>
  <si>
    <t>Deutsches Klimarechenzentrum (DKRZ, German Climate Computing Centre)</t>
  </si>
  <si>
    <t>The authors want to thank Inna Polichtchouk, Petr Sacha, Sabine Brinkop, Markus Geldenhuys and Chris Kruse for discussions and Robert Reichert as well as two anonymous reviewers for valuable comments on the paper. Moreover, we acknowledge usage of resources from the Deutsches Klimarechenzentrum (DKRZ, German Climate Computing Centre) granted by its Scientific Steering Committee (WLA) under project ID bd1022.</t>
  </si>
  <si>
    <t>10.5194/gmd-16-5561-2023</t>
  </si>
  <si>
    <t>HT7Q3</t>
  </si>
  <si>
    <t>WOS:001161827800001</t>
  </si>
  <si>
    <t>Catalán, M; Negrete-Aranda, R; Martos, YM; Neumann, F; Santamaria, A; Fuentes, K</t>
  </si>
  <si>
    <t>Catalan, M.; Negrete-Aranda, R.; Martos, Y. M.; Neumann, F.; Santamaria, A.; Fuentes, K.</t>
  </si>
  <si>
    <t>On the intriguing subject of the low amplitudes of magnetic anomalies at the Powell Basin</t>
  </si>
  <si>
    <t>heat flow; magnetic anomaly; Bouguer gravity anomaly; asthenospheric channel; geodynamics</t>
  </si>
  <si>
    <t>HEAT-FLOW MEASUREMENTS; TECTONIC EVOLUTION; MARINE; GRAVITY; ANTARCTICA; INVERSION; MODEL; SEA; ARC</t>
  </si>
  <si>
    <t>The Powell Basin is a small oceanic basin bounded by continental blocks that fragmented during break up of Antarctica from South America. This basin bounds the South Orkney Microcontinent to the east, the South Scotia Ridge to the north, and the Antarctic Peninsula to the west. The timing of its opening is poorly constrained due to the low amplitude of the oceanic spreading magnetic anomalies which hampers their identification and interpretation causing large uncertainties in proposed ages that range from the Late Eocene to Early Miocene. This basin has been extensively studied using a variety of geophysical methods including seismic, gravity and magnetics surveys intended to unveil the tectonic domains, the particularities of its magnetic anomalies and the understanding of the thermal regime in this area. Here, we show new magnetic and heat flow data integrated with other geophysical data from international databases (multichannel seismic data, bathymetry and free-air gravity), to analyze the thermal structure of the lithosphere of Powell Basin and the upper mantle dynamics as well as to discuss the probable causes of the abnormally small amplitudes of its magnetic anomalies. Our results show that the low magnetic anomaly amplitudes are not widespread but concentrate in the eastern and southwestern part of the basin. We propose that these small amplitudes result from the thermal dependency of magnetic rocks caused by an asthenospheric branch flow that penetrates the Powell Basin through the northern area.</t>
  </si>
  <si>
    <t>[Catalan, M.] Real Observ La Armada, Dept Geophys, San Fernando, Spain; [Negrete-Aranda, R.; Fuentes, K.] Ctr Invest Cient &amp; Educ Super Ensenada, Dept Geol, Lab Tectonofis &amp; Flujo Calor, Ensenada, Mexico; [Martos, Y. M.] NASA, Planetary Magnetospheres Lab, Goddard Space Flight Ctr, Greenbelt, MD USA; [Martos, Y. M.] Univ Maryland, Dept Astron, College Pk, MD USA; [Neumann, F.] German Res Ctr Geosci, GFZ, Potsdam, Germany; [Santamaria, A.] Univ Zaragoza, Fac Earth Sci, Zaragoza, Spain</t>
  </si>
  <si>
    <t>CICESE - Centro de Investigacion Cientifica y de Educacion Superior de Ensenada; National Aeronautics &amp; Space Administration (NASA); NASA Goddard Space Flight Center; University System of Maryland; University of Maryland College Park; Helmholtz Association; Helmholtz-Center Potsdam GFZ German Research Center for Geosciences; University of Zaragoza</t>
  </si>
  <si>
    <t>Catalán, M (corresponding author), Real Observ La Armada, Dept Geophys, San Fernando, Spain.</t>
  </si>
  <si>
    <t>mcatalan@roa.es</t>
  </si>
  <si>
    <t>This study has been partially funded through project RTI 2018-099615-B-100 entitles Estructura Litosfrica y Geodinmica de Powell Drake-Bransfield Rift under the umbrella of the Programa Estatal de I+D+i Orientada a los Retos de la Socieda [RTI 2018-099615-B-100]; Spanish Ministry of Science</t>
  </si>
  <si>
    <t>This study has been partially funded through project RTI 2018-099615-B-100 entitles Estructura Litosfrica y Geodinmica de Powell Drake-Bransfield Rift under the umbrella of the Programa Estatal de I+D+i Orientada a los Retos de la Socieda; Spanish Ministry of Science(Spanish Government)</t>
  </si>
  <si>
    <t>This study has been partially funded through project RTI 2018-099615-B-100 entitlesEstructura Litosferica y Geodinamica dePowell Drake-Bransfield Riftunder the umbrella of thePrograma Estatal de I+D+i Orientada a los Retos de la Sociedadof the Spanish Ministry of Science.r This study has been partially funded through project RTI 2018-099615-B-100 entitles Estructura Litosferica y Geodinamica de Powell Drake-Bransfield Rift under the umbrella of the Programa Estatal de I+D+i Orientada a los Retos de la Sociedad of the Spanish Ministry of Science.</t>
  </si>
  <si>
    <t>10.3389/feart.2023.1199332</t>
  </si>
  <si>
    <t>U6OD9</t>
  </si>
  <si>
    <t>WOS:001085968200001</t>
  </si>
  <si>
    <t>Gözcelioglu, B; Uras, IS; Sentuerk, M; Konuklugil, B</t>
  </si>
  <si>
    <t>Gozcelioglu, Bulent; Uras, Ibrahim Seyda; Sentuerk, Murat; Konuklugil, Belma</t>
  </si>
  <si>
    <t>Exploring the enzyme inhibitory properties of Antarctic algal extracts</t>
  </si>
  <si>
    <t>TURKISH JOURNAL OF BIOCHEMISTRY-TURK BIYOKIMYA DERGISI</t>
  </si>
  <si>
    <t>cholinesterases; antarctic algae extracts; enzyme inhibition; glutathione reductase; carbonic anhydrases; alpha-glucosidase</t>
  </si>
  <si>
    <t>CARBONIC-ANHYDRASES; BROWN MACROALGAE; PLANT-EXTRACTS; ACETYLCHOLINESTERASE; BUTYRYLCHOLINESTERASE; DERIVATIVES; MECHANISMS; DIVERSITY; MENZIESII; INSULIN</t>
  </si>
  <si>
    <t>Objectives: Marine organisms obtained from Antarctica are prominent sources for many important activities. Algae are known for adapting to various adverse environmental conditions and for producing secondary metabolites with various biological activities. This study examined the enzyme inhibitory properties of six different Antarctic algal extracts.Methods: We investigated the activity of specific enzymes, including acetylcholinesterase (AChE), butyrylcholinesterase (BChE), carbonic anhydrase (CA I/II), glutathione reductase (GR), and alpha-glucosidase (AG), as these enzymes have potential therapeutic applications such as in Alzheimer's disease, malaria, cancer, and diabetes mellitus.Results: The results of the study found that the algal extracts had potent inhibitory effects on these enzymes, with IC50 values ranging from 0.60 to 48.85 mu g/mL, indicating that these extracts could be source of potential new drugs. Monostroma harioti and Cystosphaera jacquinotii extracts demonstrated highest AChE and CA I enzymes inhibiton. M. harioti and Desmarestia antarctica extracts presented highest GR enzyme inhibiton, C. jacquinotii and D. antarctica extracts presented highest inhibitory activity against BChE, CA II and alpha-Glucosidase enzymes.Conclusions: Extracts of algae samples taken from Antarctica have high enzyme inhibitory activity, and further studies are needed to find out which compounds may be responsible for the effect.</t>
  </si>
  <si>
    <t>[Gozcelioglu, Bulent] Sci andTechnol Res Council Turkey, TUBİTAK, TR-06100 Ankara, Turkiye; [Uras, Ibrahim Seyda] Agri Ibrahim Cecen Univ, Fac Pharm, Dept Pharmacognosy, Agri, Turkiye; [Sentuerk, Murat] Agri Ibrahim Cecen Univ, Fac Pharm, Dept Biochem, Agri, Turkiye; [Konuklugil, Belma] Lokman Hekim Univ, Fac Pharm, Dept Pharmacognosy, Ankara, Turkiye</t>
  </si>
  <si>
    <t>Agri Ibrahim Cecen University; Agri Ibrahim Cecen University; Lokman Hekim University</t>
  </si>
  <si>
    <t>Gözcelioglu, B (corresponding author), Sci andTechnol Res Council Turkey, TUBİTAK, TR-06100 Ankara, Turkiye.</t>
  </si>
  <si>
    <t>bulent.gozcelioglu@gmail.com</t>
  </si>
  <si>
    <t>Konuklugil, Belma/HNP-0116-2023; uras, ibrahim seyda/AAQ-3933-2021</t>
  </si>
  <si>
    <t>Konuklugil, Belma/0000-0002-4753-0450; uras, ibrahim seyda/0000-0001-5945-8743; Senturk, Murat/0000-0002-9638-2896; Gozcelioglu, Bulent/0000-0003-1835-2701</t>
  </si>
  <si>
    <t>Ministry of Science, Industry and Technology of the Republic</t>
  </si>
  <si>
    <t>Our study wasfinancially supported by Ministry of Science, Industry and Technology of the Republic.</t>
  </si>
  <si>
    <t>0250-4685</t>
  </si>
  <si>
    <t>1303-829X</t>
  </si>
  <si>
    <t>TURK J BIOCHEM</t>
  </si>
  <si>
    <t>Turk. J. Biochem.</t>
  </si>
  <si>
    <t>10.1515/tjb-2023-0103</t>
  </si>
  <si>
    <t>U5AL9</t>
  </si>
  <si>
    <t>WOS:001080957100001</t>
  </si>
  <si>
    <t>Swanson, N; Vaughan, N; Belling, N; Roman, L</t>
  </si>
  <si>
    <t>Swanson, Narelle; Vaughan, Neil; Belling, Neil; Roman, Lauren</t>
  </si>
  <si>
    <t>Post-fledging survival of wedge-tailed shearwaters is linked to pre-fledge mass, which has decreased over 40 years</t>
  </si>
  <si>
    <t>MARINE ECOLOGY-AN EVOLUTIONARY PERSPECTIVE</t>
  </si>
  <si>
    <t>bird banding; bird ringing; climate change; seabird; shearwater; survival</t>
  </si>
  <si>
    <t>PUFFINUS-PACIFICUS; CLIMATE-CHANGE; MARINE; COLONIES; ADAPTATION; EXPANSION; SEABIRDS; ISLAND</t>
  </si>
  <si>
    <t>Seabird populations are declining across their global range due to a variety of threats, including shifting food webs from climate change. The impact of these threats is exacerbated in long-lived species with low reproductive output and high investment in a few offspring, where juvenile survival is of substantial importance to populations. Changes to post-fledging survival and recruitment of adults are difficult to detect, necessitating better information to forecast juvenile survival before fledglings take to sea. To achieve this goal, we test the hypothesis that there is an ideal mass range for fledglings, outside of which survival is limited, providing an early warning signal for future recruitment failures. Here we present a long-term study of chick banding, weighing and resighting of wedge-tailed shearwaters, Ardenna pacifica, a globally widespread but declining tropical/subtropical seabird in a sea-surface warming hotspot across a span of 43 years. We provide data on 1615 fledgling birds banded most years between 1977 and 2020, with 111 resighted as adults. We found that fledglings weighing 380-470 g have the best chance to survive to adulthood and those weighing 330-540 g have a possible chance of survival. We detected a gradual decline in masses since data collection began, with chicks fledging, on average, 1.6 g lighter each year. This decline has been sharpest since 1996, with fledging masses decreasing at an average rate of 3.8 g annually. Should this 1.6 g decline continue, the average fledgling will cross out of the 'survivable' mass range by 2047/2048. We contextualise these findings with observed declines reported in some populations across the species South Pacific range, adding to the conversation about challenges to seabirds in regions experiencing rapid change.</t>
  </si>
  <si>
    <t>[Swanson, Narelle; Vaughan, Neil; Belling, Neil] Citizen Scientists, Coffs Harbour, NSW, Australia; [Roman, Lauren] CSIRO Environm, Hobart, Tas, Australia; [Roman, Lauren] Univ Tasmania, Inst Marine &amp; Antarctic Studies, Hobart, Tas 7004, Australia</t>
  </si>
  <si>
    <t>Roman, L (corresponding author), Univ Tasmania, Inst Marine &amp; Antarctic Studies, Hobart, Tas 7004, Australia.</t>
  </si>
  <si>
    <t>lauren.roman@utas.edu.au</t>
  </si>
  <si>
    <t>Roman, Lauren/K-3804-2015</t>
  </si>
  <si>
    <t>Roman, Lauren/0000-0003-3591-4905</t>
  </si>
  <si>
    <t>We would like to gratefully acknowledge the staff from the New South Wales (NSW) National Parks and Wildlife Service (NSW Government, Australia), especially the rangers of the Muttonbird Island Nature Reserve, South West Solitary Island Nature Reserve and; New South Wales (NSW) National Parks and Wildlife Service (NSW Government, Australia); North-West Solitary Island Nature Reserve; Wiley - University of Tasmania agreement via the Council of Australian University Librarians</t>
  </si>
  <si>
    <t>We would like to gratefully acknowledge the staff from the New South Wales (NSW) National Parks and Wildlife Service (NSW Government, Australia), especially the rangers of the Muttonbird Island Nature Reserve, South West Solitary Island Nature Reserve and North-West Solitary Island Nature Reserve. We give particular thanks to Kathy Carter and those involved in the boat visits to Solitary Islands over the years including Gerry Saals, Michael Dodkin, Guy Holloway, Dave Lambert and Mal Dwyer. Special thanks to the numerous volunteers who have assisted with collecting these records over the decades, including regular long-term assistants and local residents. We would particularly like to thank the teachers and students Coffs Harbour, Taree and Toormina High Schools, with special thanks to Keith Davy. We gratefully acknowledge those who have assisted with seabird strandings, including recording the masses stranded seabirds, especially the staff and volunteers of NSW Wildlife Information, Rescue and Education Service Inc. (WIRES), with special thanks to Lilly Lucic and the Coffs Harbour branch of WIRES. We also give thanks to the staff of the Australian Bird and Bat Banding Scheme (ABBBS), with special thanks to David Purchase, David Drynan and bird banding expertise and assistance of the late SG (Bill) Lane. Open access publishing facilitated by University of Tasmania, as part of the Wiley - University of Tasmania agreement via the Council of Australian University Librarians.</t>
  </si>
  <si>
    <t>0173-9565</t>
  </si>
  <si>
    <t>1439-0485</t>
  </si>
  <si>
    <t>MAR ECOL-EVOL PERSP</t>
  </si>
  <si>
    <t>Mar. Ecol.-Evol. Persp.</t>
  </si>
  <si>
    <t>e12776</t>
  </si>
  <si>
    <t>10.1111/maec.12776</t>
  </si>
  <si>
    <t>AI9D4</t>
  </si>
  <si>
    <t>WOS:001076137000001</t>
  </si>
  <si>
    <t>Pérez-Pezoa, K; Cárdenas, CA; González-Aravena, M; Gallardo, P; Rivero, A; Arriagada, V; Demianenko, K; Zabroda, P; Santa Cruz, F</t>
  </si>
  <si>
    <t>Perez-Pezoa, Karina; Cardenas, Cesar A.; Gonzalez-Aravena, Marcelo; Gallardo, Pablo; Rivero, Ali; Arriagada, Vicente; Demianenko, Kostiantyn; Zabroda, Pavlo; Santa Cruz, Francisco</t>
  </si>
  <si>
    <t>Trophodynamics of the Antarctic toothfish (Dissostichus mawsoni) in the Antarctic Peninsula: Ontogenetic changes in diet composition and prey fatty acid profiles</t>
  </si>
  <si>
    <t>ROSS SEA; DEMERSAL FISH; ARACHIDONIC-ACID; ECOLOGY; SIZE; FOOD; TRANSESTERIFICATION; ELEGINOIDES; NUTRITION; LIPIDS</t>
  </si>
  <si>
    <t>The Antarctic toothfish (Dissostichus mawsoni) is the largest notothenioid species in the Southern Ocean, playing a keystone role in the trophic web as a food source for marine mammals and a top predator in deep-sea ecosystems. Most ecological knowledge on this species relies on samples from areas where direct fishing is allowed, whereas in areas closed to fishing, such as the Antarctic Peninsula (AP), there are still key ecological gaps to ensure effective conservation, especially regarding our understanding of its trophic relationships within the ecosystem. Here, we present the first comprehensive study of the feeding behavior of Antarctic toothfish caught in the northern tip of the AP, during two consecutive fishing seasons (2019/20 and 2020/21). Stomach content was analyzed according to size-classes, sex and season. Macroscopic morphological analysis was used to identify prey, whereas DNA analysis was used in highly digested prey items. Fatty acid analysis was conducted to determine the prey's nutritional composition. The diet mainly consisted of Macrouridae, Cephalopoda, Anotopteridae, and Channichthyidae. Other prey items found were crustaceans and penguin remains; however, these were rare in terms of their presence in stomach samples. Sex had no effect on diet, whereas size-class and fishing season influenced prey composition. From 27 fatty acid profiles identified, we observed two different prey groups of fishes (integrated by families Anotopteridae, Macrouridae and Channichthyidae) and cephalopods. Our results revealed a narrow range of prey items typical of a generalist predator, which probably consumes the most abundant prey. Understanding the diet and trophic relationships of Antarctic toothfish is critical for a better comprehension of its role in the benthic-demersal ecosystem of the AP, key for ecosystemic fisheries management, and relevant for understanding and predicting the effect of climate change on this species.</t>
  </si>
  <si>
    <t>[Perez-Pezoa, Karina] Pontificia Univ Catolica Chile, Dept Ecol, Santiago, Chile; [Cardenas, Cesar A.; Gonzalez-Aravena, Marcelo; Santa Cruz, Francisco] Inst Antartico Chileno, Dept Cient, Plaza Munoz Gamero, Punta Arenas, Chile; [Cardenas, Cesar A.] Millennium Inst Biodivers Antarctic &amp; Subantarcti, Santiago, Chile; [Gallardo, Pablo; Rivero, Ali] Univ Magallanes, Dept Ciencias Agr &amp; Acuicolas, Punta Arenas, Chile; [Arriagada, Vicente] Univ Concepcion, Dept Microbiol, Concepcion, Chile; [Demianenko, Kostiantyn; Zabroda, Pavlo] Inst Fisheries &amp; Marine Ecol IFME, Berdyansk, Ukraine</t>
  </si>
  <si>
    <t>Pontificia Universidad Catolica de Chile; Universidad de Magallanes; Universidad de Concepcion</t>
  </si>
  <si>
    <t>Santa Cruz, F (corresponding author), Inst Antartico Chileno, Dept Cient, Plaza Munoz Gamero, Punta Arenas, Chile.</t>
  </si>
  <si>
    <t>fsantacruz@inach.cl</t>
  </si>
  <si>
    <t>Arriagada-Moreno, Vicente/KFQ-2113-2024</t>
  </si>
  <si>
    <t>Gallardo, Pablo/0000-0002-8368-9055; Santa Cruz, Francisco/0000-0002-7894-0153; Arriagada-Moreno, Vicente/0009-0000-6701-9636</t>
  </si>
  <si>
    <t>Marine Protected Areas Program of the Instituto Antartico Chileno [24 03 052]; ANID-Millennium Science Initiative Program [ICN2021_002]</t>
  </si>
  <si>
    <t>Marine Protected Areas Program of the Instituto Antartico Chileno; ANID-Millennium Science Initiative Program</t>
  </si>
  <si>
    <t>Funding for this study was provided by the Marine Protected Areas Program (Number 24 03 052) of the Instituto Antartico Chileno. CAC is also funded by ANID-Millennium Science Initiative Program-ICN2021_002</t>
  </si>
  <si>
    <t>OCT 5</t>
  </si>
  <si>
    <t>e0287376</t>
  </si>
  <si>
    <t>10.1371/journal.pone.0287376</t>
  </si>
  <si>
    <t>AE7M9</t>
  </si>
  <si>
    <t>WOS:001116853300034</t>
  </si>
  <si>
    <t>Hirsch, N; Zuhr, A; Muench, T; Hoerhold, M; Freitag, J; Dallmayr, R; Laepple, T</t>
  </si>
  <si>
    <t>Hirsch, Nora; Zuhr, Alexandra; Muench, Thomas; Hoerhold, Maria; Freitag, Johannes; Dallmayr, Remi; Laepple, Thomas</t>
  </si>
  <si>
    <t>Stratigraphic noise and its potential drivers across the plateau of Dronning Maud Land, East Antarctica</t>
  </si>
  <si>
    <t>SURFACE MASS-BALANCE; SNOW ACCUMULATION; STABLE-ISOTOPES; ICE CORES; SPATIAL VARIABILITY; CLIMATE VARIABILITY; KOHNEN STATION; WIND; SIGNAL; FIRN</t>
  </si>
  <si>
    <t>Stable water isotopologues of snow, firn and ice cores provide valuable information on past climate variations. Yet single profiles are generally not suitable for robust climate reconstructions. Stratigraphic noise, introduced by the irregular deposition, wind-driven erosion and redistribution of snow, impacts the utility of high-resolution isotope records, especially in low-accumulation areas. However, it is currently unknown how stratigraphic noise differs across the East Antarctic Plateau and how it is affected by local environmental conditions. Here, we assess the amount and structure of stratigraphic noise at seven sites along a 120 km transect on the plateau of Dronning Maud Land, East Antarctica. Replicated oxygen isotope records of 1 m length were used to estimate signal-to-noise ratios as a measure of stratigraphic noise at sites characterised by different accumulation rates (43-64 mm w.e. a-1), snow surface roughnesses and slope inclinations. While we found a high level of stratigraphic noise at all sites, there was also considerable variation between sites. At sastrugi-dominated sites, greater stratigraphic noise coincided with stronger surface roughnesses, steeper slopes and lower accumulation rates, probably related to increased wind speeds. These results provide a first step to modelling stratigraphic noise and might guide site selection and sampling strategies for future expeditions to improve high-resolution climate reconstructions from low-accumulation regions.</t>
  </si>
  <si>
    <t>[Hirsch, Nora; Zuhr, Alexandra; Muench, Thomas; Laepple, Thomas] Alfred Wegener Inst, Helmholtz Ctr Polar &amp; Marine Res, Potsdam, Germany; [Hirsch, Nora; Laepple, Thomas] Univ Bremen, Fac Geosci, Bremen, Germany; [Hoerhold, Maria; Freitag, Johannes; Dallmayr, Remi] Alfred Wegener Inst, Helmholtz Ctr Polar &amp; Marine Res, Bremerhaven, Germany; [Laepple, Thomas] Univ Bremen, Ctr Marine Environm Sci, MARUM, Bremen, Germany</t>
  </si>
  <si>
    <t>Helmholtz Association; Alfred Wegener Institute, Helmholtz Centre for Polar &amp; Marine Research; University of Bremen; Helmholtz Association; Alfred Wegener Institute, Helmholtz Centre for Polar &amp; Marine Research; University of Bremen</t>
  </si>
  <si>
    <t>Hirsch, N (corresponding author), Alfred Wegener Inst, Helmholtz Ctr Polar &amp; Marine Res, Potsdam, Germany.;Hirsch, N (corresponding author), Univ Bremen, Fac Geosci, Bremen, Germany.</t>
  </si>
  <si>
    <t>nora.hirsch@awi.de</t>
  </si>
  <si>
    <t>Münch, Thomas/AAC-9281-2019; Laepple, Thomas/M-8783-2015</t>
  </si>
  <si>
    <t>Münch, Thomas/0000-0002-5492-7544; Zuhr, Alexandra Mirjam/0000-0002-3861-365X; Freitag, Johannes/0000-0003-2654-9440; Laepple, Thomas/0000-0001-8108-7520</t>
  </si>
  <si>
    <t>European Research Council</t>
  </si>
  <si>
    <t>European Research Council(European Research Council (ERC))</t>
  </si>
  <si>
    <t>We thank the scientists, technicians and support staff at Kohnen Station for their assistance, especially Klaus Trimborn for his skilful support during sample collection. Furthermore, we would like to thank Hanno Meyer and Mikaela Weiner for their work in the isotope laboratory at AWI Potsdam and Christoph Schneider for scientific supervision of the initial draft. Data analysis was performed in R, a language and environment for statistical computing. The Antarctic map is based on Quantarctica datasets in QGIS, kindly provided by the Norwegian Polar Institute .</t>
  </si>
  <si>
    <t>10.5194/tc-17-4207-2023</t>
  </si>
  <si>
    <t>HT7C3</t>
  </si>
  <si>
    <t>WOS:001161813800001</t>
  </si>
  <si>
    <t>Himmich, K; Vancoppenolle, M; Madec, G; Sallée, JB; Holland, PR; Lebrun, M</t>
  </si>
  <si>
    <t>Himmich, Kenza; Vancoppenolle, Martin; Madec, Gurvan; Sallee, Jean-Baptiste; Holland, Paul R.; Lebrun, Marion</t>
  </si>
  <si>
    <t>Drivers of Antarctic sea ice advance</t>
  </si>
  <si>
    <t>UPPER-OCEAN STRATIFICATION; SOUTHERN-OCEAN; MIXED-LAYER; RETREAT; CLOUDS; TRENDS; LENGTH; CYCLE</t>
  </si>
  <si>
    <t>Antarctic sea ice is mostly seasonal. While changes in sea ice seasonality have been observed in recent decades, the lack of process understanding remains a key challenge to interpret these changes. To address this knowledge gap, we investigate the processes driving the ice season onset, known as sea ice advance, using remote sensing and in situ observations. Here, we find that seawater freezing predominantly drives advance in the inner seasonal ice zone. By contrast, in an outer band a few degrees wide, advance is due to the import of drifting ice into warmer waters. We show that advance dates are strongly related to the heat stored in the summer ocean mixed layer. This heat is controlled by the timing of sea ice retreat, explaining the tight link between retreat and advance dates. Such a thermodynamic linkage strongly constrains the climatology and interannual variations, albeit with less influence on the latter. Processes controlling the onset of the Antarctic sea ice season remain unclear. Here, analyses of observations show that ocean solar energy storage and sea ice drift are key drivers, providing insights to understand variations in sea ice season duration.</t>
  </si>
  <si>
    <t>[Himmich, Kenza; Vancoppenolle, Martin; Madec, Gurvan; Sallee, Jean-Baptiste; Lebrun, Marion] Sorbonne Univ, Lab Oceanog &amp; Climat, CNRS, IRD,MNHN, Paris, France; [Madec, Gurvan] Univ Grenoble Alpes, Inria, CNRS, Grenoble INP,LIK, F-38000 Grenoble, France; [Holland, Paul R.] British Antarctic Survey, Cambridge, England; [Lebrun, Marion] Univ Laval, Takuvik, Quebec City, PQ, Canada</t>
  </si>
  <si>
    <t>Sorbonne Universite; Centre National de la Recherche Scientifique (CNRS); Institut de Recherche pour le Developpement (IRD); Museum National d'Histoire Naturelle (MNHN); Communaute Universite Grenoble Alpes; Universite Grenoble Alpes (UGA); Inria; Centre National de la Recherche Scientifique (CNRS); Institut National Polytechnique de Grenoble; UK Research &amp; Innovation (UKRI); Natural Environment Research Council (NERC); NERC British Antarctic Survey; Laval University</t>
  </si>
  <si>
    <t>Himmich, K (corresponding author), Sorbonne Univ, Lab Oceanog &amp; Climat, CNRS, IRD,MNHN, Paris, France.</t>
  </si>
  <si>
    <t>kenza.himmich@locean.ipsl.fr</t>
  </si>
  <si>
    <t>Vancoppenolle, Martin/0000-0002-7573-8582</t>
  </si>
  <si>
    <t>European Union's Horizon 2020 research and innovation program [821001]</t>
  </si>
  <si>
    <t>European Union's Horizon 2020 research and innovation program(Horizon 2020)</t>
  </si>
  <si>
    <t>The authors acknowledge Casimir de Lavergne and Francois Massonnet for their helpful suggestions. J.-B.S. has received funding from the European Union's Horizon 2020 research and innovation program under grant agreement no. 821001.</t>
  </si>
  <si>
    <t>10.1038/s41467-023-41962-8</t>
  </si>
  <si>
    <t>U4MP0</t>
  </si>
  <si>
    <t>gold, Green Published, Green Accepted, Green Submitted</t>
  </si>
  <si>
    <t>WOS:001084559200008</t>
  </si>
  <si>
    <t>Tian, TR; Fraser, AD; Lavergne, T; Fiddes, SL; Zhao, C; Heil, P</t>
  </si>
  <si>
    <t>Tian, Tian R.; Fraser, Alexander D.; Lavergne, Thomas; Fiddes, Sonya L.; Zhao, Chen; Heil, Petra</t>
  </si>
  <si>
    <t>Linking timescale-dependent Antarctic sea ice kinematic observations to ice thickness</t>
  </si>
  <si>
    <t>Antarctic sea ice; Passive microwave; Ice thickness; Ice kinematics</t>
  </si>
  <si>
    <t>SNOW; DEFORMATION; MODEL; MOTION; WIND; CRYOSAT-2; STRENGTH; DRIFT; PACK; SIZE</t>
  </si>
  <si>
    <t>Sea ice kinematics impacts the global ocean-atmosphere system in numerous ways: modification of albedo, ice cover, and ice mass; heat transmission between atmosphere and ocean; and ice thickness distribution. Such research is often conducted using in situ and remotely-sensed observations of ice motion. In recent work, an ice motion product generated from overlapping sections of multiple individual swath pairs - the so-called swath-to-swath (S2S) approach - has been favourably evaluated by buoys in the Arctic. This new product better able to represent drifting buoy trajectories, however, it has yet to be applied to ice kinematics research. In this study, we investigate the Antarctic sea ice differential kinematic parameters (DKPs) represented by divergence and maximum shear rate computed from the new S2S ice motion product, and compare these with the daily-map (DM)-derived DKP magnitudes. Results indicate that S2S-derived DKP magnitudes are highly timescale-dependent and well represented by an exponential relationship. Furthermore, the exponential DKP curve parameters in this work are shown to correspond well to ice thickness, thus enabling a new class of Antarctic ice thickness proxy observations. This technique lays the groundwork for the possibility of new proxy measurement of ice thickness back to at least 1991, when the high-accuracy S2S measurements of ice motion become available.</t>
  </si>
  <si>
    <t>[Tian, Tian R.] Univ Tasmania, Inst Marine &amp; Antarctic Studies, Hobart, Tas 7001, Australia; [Tian, Tian R.; Fraser, Alexander D.; Fiddes, Sonya L.; Zhao, Chen; Heil, Petra] Univ Tasmania, Inst Marine &amp; Antarctic Studies, Australian Antarctic Program Partnership, Hobart, Tas 7001, Australia; [Lavergne, Thomas] Norwegian Meteorol Inst, Res &amp; Dev Dept, Oslo, Norway; [Heil, Petra] Australian Antarctic Div, 203 Channel Highway, Kingston, Tas 7050, Australia</t>
  </si>
  <si>
    <t>University of Tasmania; University of Tasmania; Norwegian Meteorological Institute; Australian Antarctic Division</t>
  </si>
  <si>
    <t>Tian, TR (corresponding author), Univ Tasmania, Inst Marine &amp; Antarctic Studies, Hobart, Tas 7001, Australia.</t>
  </si>
  <si>
    <t>tian.tian@utas.edu.au</t>
  </si>
  <si>
    <t>Fiddes, Sonya L./HKM-5559-2023</t>
  </si>
  <si>
    <t>Fiddes, Sonya L./0000-0002-2752-0845; Zhao, Chen/0000-0003-0368-1334; Heil, Petra/0000-0003-2078-0342; Tian, Tian/0000-0002-8639-8448; Lavergne, Thomas/0000-0002-9498-4551</t>
  </si>
  <si>
    <t>Australian government as part of the Antarctic Science Collaboration Initiative program; Australian Government Research Training Program (RTP) scholarship; University of Tasmania; Australian Antarctic Science [4496, 4506, 4625]; International Space Science Institute (Bern, Switzerland) [405]</t>
  </si>
  <si>
    <t>Australian government as part of the Antarctic Science Collaboration Initiative program(Australian Government); Australian Government Research Training Program (RTP) scholarship(Australian GovernmentDepartment of Industry, Innovation and Science); University of Tasmania; Australian Antarctic Science; International Space Science Institute (Bern, Switzerland)</t>
  </si>
  <si>
    <t>This research was carried out under grant funding from the Australian government as part of the Antarctic Science Collaboration Initiative program. Tian R. Tian received funding through an Australian Government Research Training Program (RTP) scholarship at the Institute for Marine and Antarctic Studies, University of Tasmania. The Antarctic Science Foundation (ASF) provided generous support and funding to Tian R. Tian during the COVID-19 pandemic. Petra Heil is supported through the Australian Antarctic Science projects 4496, 4506 and 4625 and the International Space Science Institute (Bern, Switzerland) project no. 405.</t>
  </si>
  <si>
    <t>10.1016/j.rse.2023.113813</t>
  </si>
  <si>
    <t>W0OA9</t>
  </si>
  <si>
    <t>WOS:001088699800001</t>
  </si>
  <si>
    <t>Unsalan, O; Yilmaz, B; Reva, I</t>
  </si>
  <si>
    <t>Unsalan, Ozan; Yilmaz, Berguzar; Reva, Igor</t>
  </si>
  <si>
    <t>Computed Vibrational Spectra and Structure of the Extraterrestrial Meteoritic Iron-Bearing Cyano-Carbonyl Complex [FeII(CN)4(CO)2]2-</t>
  </si>
  <si>
    <t>iron-cyano-carbonyl complex; DFT computations; infrared spectra; Raman spectra; solvation effects; anharmonic computations</t>
  </si>
  <si>
    <t>MOLECULAR-ORBITAL METHODS; GAUSSIAN-BASIS SETS; RAMAN-SPECTRA; AB-INITIO; GEOMETRY OPTIMIZATION; ELECTRONIC-PROPERTIES; DENSITY; ENERGIES; SPIN; STABILITY</t>
  </si>
  <si>
    <t>Here, we report the first detailed computational characterization of a hexacoordinated iron-cyano-carbonyl (ICC) complex bearing four cyano (CN-) and two carbonyl (CO) ligands, having the general formula [Fe-II(CN)(4)(CO)(2)](2-) that was previously detected in Lewis Cliff 85311 Antarctic carbonaceous chondrite. The computations have been carried out using model chemistries including over ten combinations of four components: (i) density functional theory, (ii) basis set, (iii) dispersion correction, and (iv) dielectric constant, which was studied using the polarizable continuum model (PCM). Among these, the change in the polarity of the medium produced the most dramatic effect on the results of calculations. The complex may exist in two configurations: trans-ICC and cis-ICC. For the isolated complex in vacuum, the trans-ICC isomer is systematically the most stable at all theory levels, whereas the cis-ICC is higher in energy by more than 12 kJ mol(-1). Using water as a polar solvent leads to a considerable stabilization of cis-ICC, so that it becomes slightly lower in energy than trans-ICC (by 1 kJ mol(-1)). The vibrational characterization of the two isomers was carried out both for the ICC in a vacuum and in the PCM. We found that the computed vibrational wavenumbers are similar in both cases (vacuum vs PCM) and for both isomers, except the CO stretching mode (nu CO). The nu CO wavenumbers increase by ca. 20 cm(-1) for trans-ICC, and by 30 cm(-1) for cis-ICC in the polar media (compared to vacuum). These spectral manifestations were correlated with the changes in the bond lengths of the studied complex.</t>
  </si>
  <si>
    <t>[Yilmaz, Berguzar] Ege Univ, Dept Biotechnol, Nat &amp; Appl Sci, TR-35100 Izmir, Turkiye; [Unsalan, Ozan] Ege Univ, Fac Sci, Dept Phys, TR-35100 Izmir, Turkiye; [Reva, Igor] Univ Coimbra, Dept Chem Engn, CIEPQPF, P-3030790 Coimbra, Portugal</t>
  </si>
  <si>
    <t>Ege University; Ege University; Universidade de Coimbra</t>
  </si>
  <si>
    <t>Unsalan, O (corresponding author), Ege Univ, Fac Sci, Dept Phys, TR-35100 Izmir, Turkiye.;Reva, I (corresponding author), Univ Coimbra, Dept Chem Engn, CIEPQPF, P-3030790 Coimbra, Portugal.</t>
  </si>
  <si>
    <t>ozan.unsalan@ege.edu.tr; reva@eq.uc.pt</t>
  </si>
  <si>
    <t>Unsalan, Ozan/AAG-4343-2019; Reva, Igor/B-2866-2008</t>
  </si>
  <si>
    <t>Unsalan, Ozan/0000-0001-5736-7530; Reva, Igor/0000-0001-5983-7743</t>
  </si>
  <si>
    <t>Ege University Scientific Research Projects Coordination Unit [FYL-2020-22523]; Portuguese Science Foundation (Fundacao para a Ciencia e a Tecnologia, FCT) [UIDB/EQU/00102/2020, UIDP/EQU/00102/2020]</t>
  </si>
  <si>
    <t>Ege University Scientific Research Projects Coordination Unit(Ege University); Portuguese Science Foundation (Fundacao para a Ciencia e a Tecnologia, FCT)(Fundacao para a Ciencia e a Tecnologia (FCT))</t>
  </si>
  <si>
    <t>This work was supported by Ege University Scientific Research Projects Coordination Unit. Project Number: FYL-2020-22523. (Part of the M.Sc. thesis project of B.Y.). The Chemical Process Engineering and Forest Products Research Centre (CIEPQPF) is supported by the Portuguese Science Foundation (Fundacao para a Ciencia e a Tecnologia, FCT) through projects UIDB/EQU/00102/2020 and UIDP/ EQU/00102/2020 (National Funds).</t>
  </si>
  <si>
    <t>10.1021/acsearthspacechem.3c00108</t>
  </si>
  <si>
    <t>U2MG1</t>
  </si>
  <si>
    <t>WOS:001079415700001</t>
  </si>
  <si>
    <t>Kukla, T; Ibarra, DE; Lau, KV; Rugenstein, JKC</t>
  </si>
  <si>
    <t>Kukla, Tyler; Ibarra, Daniel E.; Lau, Kimberly V.; Rugenstein, Jeremy K. C.</t>
  </si>
  <si>
    <t>All aboard! Earth system investigations with the CH2O-CHOO TRAIN v1.0</t>
  </si>
  <si>
    <t>ANTARCTIC ICE-SHEET; ATMOSPHERIC CO2; CARBON-CYCLE; WEATHERING RATES; CLIMATE MODEL; TEMPERATURE; FEEDBACKS; RELEASE; UNCERTAINTIES; CONSTRAINTS</t>
  </si>
  <si>
    <t>Models of the carbon cycle and climate on geologic (&gt;10(4)-year) timescales have improved tremendously in the last 50 years due to parallel advances in our understanding of the Earth system and the increase in computing power to simulate its key processes. Still, balancing the Earth system's complexity with a model's computational expense is a primary challenge in model development. Simulations spanning hundreds of thousands of years or more generally require a reduction in the complexity of the climate system, omitting features such as radiative feedbacks, shifts in atmospheric circulation, and the expansion and decay of ice sheets, which can have profound effects on the long-term carbon cycle. Here, we present a model for climate and the long-term carbon cycle that captures many fundamental features of global climate while retaining the computational efficiency needed to simulate millions of years of time. The Carbon-H2O Coupled HydrOlOgical model with Terrestrial Runoff And INsolation, or CH2O-CHOO TRAIN, couples a one-dimensional (latitudinal) moist static energy balance model of climate with a model for rock weathering and the long-term carbon cycle. The CH2O-CHOO TRAIN is capable of running million-year-long simulations in about 30 min on a laptop PC. The key advantages of this framework are (1) it simulates fundamental climate forcings and feedbacks; (2) it accounts for geographic configuration; and (3) it is flexible, equipped to easily add features, change the strength of feedbacks, and prescribe conditions that are often hard-coded or emergent properties of more complex models, such as climate sensitivity and the strength of meridional heat transport. We show how climate variables governing temperature and the water cycle can impact long-term carbon cycling and climate, and we discuss how the magnitude and direction of this impact can depend on boundary conditions like continental geography. This paper outlines the model equations, presents a sensitivity analysis of the climate responses to varied climatic and carbon cycle perturbations, and discusses potential applications and next stops for the CH2O-CHOO TRAIN.</t>
  </si>
  <si>
    <t>[Kukla, Tyler; Rugenstein, Jeremy K. C.] Colorado State Univ, Dept Geosci, Ft Collins, CO 80523 USA; [Ibarra, Daniel E.] Brown Univ, Dept Earth Environm &amp; Planetary Sci, Providence, RI USA; [Ibarra, Daniel E.] Brown Univ, Inst Brown Environm &amp; Soc, Providence, RI USA; [Lau, Kimberly V.] Penn State Univ, Dept Geosci, Dept Geosci &amp; Earth, University Pk, PA USA; [Lau, Kimberly V.] Penn State Univ, Earth &amp; Environm Syst Inst, University Pk, PA USA; [Rugenstein, Jeremy K. C.] Max Planck Inst Meteorol, Hamburg, Germany</t>
  </si>
  <si>
    <t>Colorado State University; Brown University; Brown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 Max Planck Society</t>
  </si>
  <si>
    <t>Kukla, T; Rugenstein, JKC (corresponding author), Colorado State Univ, Dept Geosci, Ft Collins, CO 80523 USA.;Rugenstein, JKC (corresponding author), Max Planck Inst Meteorol, Hamburg, Germany.</t>
  </si>
  <si>
    <t>tykukla@colostate.edu; jeremy.rugenstein@colostate.edu</t>
  </si>
  <si>
    <t>Ibarra, Daniel E/E-6141-2013; Rugenstein, Jeremy/I-4743-2015</t>
  </si>
  <si>
    <t>Ibarra, Daniel E/0000-0002-9980-4599; Rugenstein, Jeremy/0000-0003-4123-3305; Kukla, Tyler/0000-0002-3413-0925</t>
  </si>
  <si>
    <t>Alexander von Humboldt Foundation; UC Berkeley Miller Institute; UC President's Postdoctoral Fellowship; Agouron Geobiology Postdoctoral Fellowship</t>
  </si>
  <si>
    <t>Alexander von Humboldt Foundation(Alexander von Humboldt Foundation); UC Berkeley Miller Institute; UC President's Postdoctoral Fellowship; Agouron Geobiology Postdoctoral Fellowship</t>
  </si>
  <si>
    <t>Jeremy K. C. Rugenstein was supported bypostdoctoral funding from the Alexander von Humboldt Foundation. Daniel E. Ibarra received postdoctoral funding from the UC Berkeley Miller Institute and UC President's Postdoctoral Fellowship. Kimberly V. Lau received partial support from the Agouron Geobiology Postdoctoral Fellowship. This is EHGoS contribution no. 17521.</t>
  </si>
  <si>
    <t>OCT 4</t>
  </si>
  <si>
    <t>10.5194/gmd-16-5515-2023</t>
  </si>
  <si>
    <t>HV7M5</t>
  </si>
  <si>
    <t>WOS:001162348600001</t>
  </si>
  <si>
    <t>Chmiel, RJ; Kell, RM; Rao, DP; Moran, DM; DiTullio, GR; Saito, MA</t>
  </si>
  <si>
    <t>Chmiel, Rebecca J.; Kell, Riss M.; Rao, Deepa; Moran, Dawn M.; DiTullio, Giacomo R.; Saito, Mak A.</t>
  </si>
  <si>
    <t>Low cobalt inventories in the Amundsen and Ross seas driven by high demand for labile cobalt uptake among native phytoplankton communities</t>
  </si>
  <si>
    <t>DISSOLVED COBALT; ORGANIC COMPLEXATION; CO-LIMITATION; WATER COLUMN; IRON; ZINC; ANTARCTICA; VITAMIN-B-12; MANGANESE; CADMIUM</t>
  </si>
  <si>
    <t>Cobalt (Co) is a scarce but essential micronutrient for marine plankton in the Southern Ocean and coastal Antarctic seas, where dissolved cobalt (dCo) concentrations can be extremely low. This study presents total dCo and labile dCo distributions measured via shipboard voltammetry in the Amundsen Sea, the Ross Sea and Terra Nova Bay during the CICLOPS (Cobalamin and Iron Co-Limitation of Phytoplankton Species) expedition. A significantly smaller dCo inventory was observed during the 2017/2018 CICLOPS expedition compared to two 2005/2006 expeditions to the Ross Sea conducted over a decade earlier. The dCo inventory loss (similar to 10-20 pM) was present in both the surface and deep ocean and was attributed to the loss of labile dCo, resulting in the near-complete complexation of dCo by strong ligands in the photic zone. A changing dCo inventory in Antarctic coastal seas could be driven by the alleviation of iron (Fe) limitation in coastal areas, where the flux of Fe-rich sediments from melting ice shelves and deep sediment resuspension may have shifted the region towards vitamin B-12 and/or zinc (Zn) limitation, both of which are likely to increase the demand for Co among marine plankton. High demand for Zn by phytoplankton can result in increased Co and cadmium (Cd) uptake because these metals often share the same metal uptake transporters. This study compared the magnitudes and ratios of Zn, Cd and Co uptake (rho) across upper-ocean profiles and the observed order-of-magnitude uptake trends (rho Zn &gt; rho Cd &gt; rho Co) that paralleled the trace metal concentrations in seawater. High rates of Co and Zn uptake were observed throughout the region, and the speciation of available Co and Zn appeared to influence trends in dissolved metal : phosphate stoichiometry and uptake rates over depth. Multi-year loss of the dCo inventory throughout the water column may be explained by an increase in Co uptake into particulate organic matter and subsequently an increased flux of Co into sediments via sinking and burial. This perturbation of the Southern Ocean Co biogeochemical cycle could signal changes in the nutrient limitation regimes, phytoplankton bloom composition and carbon sequestration sink of the Southern Ocean.</t>
  </si>
  <si>
    <t>[Chmiel, Rebecca J.; Kell, Riss M.; Rao, Deepa] MIT WHOI Joint Program Oceanog Appl Ocean Sci &amp; En, 266 Woods Hole Rd, Woods Hole, MA 02543 USA; [Chmiel, Rebecca J.; Kell, Riss M.; Rao, Deepa; Moran, Dawn M.; Saito, Mak A.] Woods Hole Oceanog Inst, Dept Marine Chem &amp; Geochem, 266 Woods Hole Rd, Woods Hole, MA 02543 USA; [DiTullio, Giacomo R.] Hollings Marine Lab, 331 Ft Johnson Rd, Charleston, SC 29412 USA</t>
  </si>
  <si>
    <t>Woods Hole Oceanographic Institution</t>
  </si>
  <si>
    <t>Saito, MA (corresponding author), Woods Hole Oceanog Inst, Dept Marine Chem &amp; Geochem, 266 Woods Hole Rd, Woods Hole, MA 02543 USA.</t>
  </si>
  <si>
    <t>msaito@whoi.edu</t>
  </si>
  <si>
    <t>Saito, Mak/0000-0001-6040-9295</t>
  </si>
  <si>
    <t>Office of Polar Programs [OPP-1643684, OPP-1644073, OPP-1643845]</t>
  </si>
  <si>
    <t>This research has been supported by the Office of Polar Programs (grant nos. OPP-1643684, OPP-1644073 and OPP-1643845).</t>
  </si>
  <si>
    <t>10.5194/bg-20-3997-2023</t>
  </si>
  <si>
    <t>HV7T5</t>
  </si>
  <si>
    <t>WOS:001162355600001</t>
  </si>
  <si>
    <t>Liu, ZM; Vinh, LB; Tuan, NQ; Lee, H; Kim, E; Kim, YC; Sohn, JH; Yim, JH; Lee, HJ; Lee, DS; Oh, H</t>
  </si>
  <si>
    <t>Liu, Zhiming; Vinh, Le Ba; Tuan, Nguyen Quoc; Lee, Hwan; Kim, Eunae; Kim, Youn-Chul; Sohn, Jae Hak; Yim, Joung Han; Lee, Ha-Jin; Lee, Dong-Sung; Oh, Hyuncheol</t>
  </si>
  <si>
    <t>Macrosphelides from Antarctic fungus Pseudogymnoascus sp. (strain SF-7351) and their neuroprotective effects on BV2 and HT22 cells</t>
  </si>
  <si>
    <t>CHEMICO-BIOLOGICAL INTERACTIONS</t>
  </si>
  <si>
    <t>Antarctic fungi; Macrosphelides; Nrf2; Neuroprotection; Molecular docking; NF-kappa B</t>
  </si>
  <si>
    <t>NF-KAPPA-B; NEUROINFLAMMATION; PATHWAYS</t>
  </si>
  <si>
    <t>Strategies for reducing inflammation in neurodegenerative diseases have attracted increasing attention. Herein, we discovered and evaluated the neuroprotective potential of fungal metabolites isolated from the Antarctic fungus Pseudogymnoascus sp. (strain SF-7351). The chemical investigation of the EtOAc extract of the fungal strain isolate revealed a novel naturally occurring epi-macrosphelide J (1), a novel secondary metabolite macrosphelide N (2), and three known compounds, namely macrosphelide A (3), macrosphelide B (4), and macrosphelide J (5). Their structures were established unambiguously using spectroscopic methods, such as onedimensional and two-dimensional nuclear magnetic resonance (1D and 2D-NMR) spectroscopy, highresolution electrospray ionization mass spectrometry (HR-ESI-MS), and gauge-including atomic orbital (GIAO) NMR chemical shift calculations, with the support of the advanced statistical method DP4+. Among the isolated metabolites, the absolute configuration of epi-macrosphelide J (1) was further confirmed using single-crystal Xray diffraction analysis. The neuroprotective effects of the isolated metabolites were evaluated in lipopolysaccharide (LPS)-induced BV2 and glutamate-stimulated HT22 cells. Only macrosphelide B (4) displayed substantial protective effects in both BV2 and HT22 cells. Molecular mechanisms underlying this activity were investigated using western blotting and molecular docking studies. Macrosphelide B (4) inhibited the inflammatory response by reducing the nuclear translocation of NF-kappa B (p65) in LPS-induced BV2 cells and induced the Nrf2/HO-1 signaling pathway in both BV2 and HT22 cells. The neuroprotective effect of macrosphelide B (4) is related to the interaction between Keap1 and p65. These results suggest that macrosphelide B (4), present in the fungus Pseudogymnoascus sp. (strain SF-7351), may serve as a candidate for the treatment of neurodegenerative diseases.</t>
  </si>
  <si>
    <t>[Liu, Zhiming; Lee, Hwan; Kim, Eunae; Lee, Dong-Sung] Chosun Univ, Coll Pharm, Gwangju 61452, South Korea; [Vinh, Le Ba; Tuan, Nguyen Quoc; Kim, Youn-Chul; Oh, Hyuncheol] Wonkwang Univ, Inst Pharmaceut Res &amp; Dev, Coll Pharm, Iksan 54538, South Korea; [Vinh, Le Ba; Tuan, Nguyen Quoc; Oh, Hyuncheol] Wonkwang Univ, Hanbang Cardiorenal Syndrome Res Ctr, Iksan 54538, South Korea; [Sohn, Jae Hak] Silla Univ, Coll Med &amp; Life Sci, Busan 46958, South Korea; [Yim, Joung Han] Korea Polar Res Inst, Div Polar Life Sci, Incheon 21990, South Korea; [Lee, Ha-Jin] Seoul Womens Univ, Div Chem &amp; Bioenvironm Sci, Seoul 01797, South Korea</t>
  </si>
  <si>
    <t>Chosun University; Wonkwang University; Wonkwang University; Silla University; Korea Polar Research Institute (KOPRI); Seoul Women's University</t>
  </si>
  <si>
    <t>Lee, DS (corresponding author), Chosun Univ, Coll Pharm, Gwangju 61452, South Korea.;Oh, H (corresponding author), Wonkwang Univ, Inst Pharmaceut Res &amp; Dev, Coll Pharm, Iksan 54538, South Korea.</t>
  </si>
  <si>
    <t>lzmqust@126.com; vinhrooney@gmail.com; quoctuan301281@gmail.com; eunaekim@chosun.ac.kr; yckim@wku.ac.kr; jhsohn@silla.ac.kr; jhyim@kopri.re.kr; hajinlee@swu.ac.kr; dslee2771@chosun.ac.kr; hoh@wku.ac.kr</t>
  </si>
  <si>
    <t>Ministry of Oceans and Fisheries, Korea [20210633]; National Research Foundation of Korea (NRF) - Korean government (MSIP) [2017R1A5A2015805]</t>
  </si>
  <si>
    <t>Ministry of Oceans and Fisheries, Korea; National Research Foundation of Korea (NRF) - Korean government (MSIP)(National Research Foundation of Korea)</t>
  </si>
  <si>
    <t>This research was funded by the Ministry of Oceans and Fisheries, Korea (20210633) . Additional research support was provided through the National Research Foundation of Korea (NRF) grant funded by the Korean government (MSIP) [No. 2017R1A5A2015805] .</t>
  </si>
  <si>
    <t>ELSEVIER IRELAND LTD</t>
  </si>
  <si>
    <t>CLARE</t>
  </si>
  <si>
    <t>ELSEVIER HOUSE, BROOKVALE PLAZA, EAST PARK SHANNON, CO, CLARE, 00000, IRELAND</t>
  </si>
  <si>
    <t>0009-2797</t>
  </si>
  <si>
    <t>1872-7786</t>
  </si>
  <si>
    <t>CHEM-BIOL INTERACT</t>
  </si>
  <si>
    <t>Chem.-Biol. Interact.</t>
  </si>
  <si>
    <t>10.1016/j.cbi.2023.110718</t>
  </si>
  <si>
    <t>Biochemistry &amp; Molecular Biology; Pharmacology &amp; Pharmacy; Toxicology</t>
  </si>
  <si>
    <t>W5MV4</t>
  </si>
  <si>
    <t>WOS:001092075500001</t>
  </si>
  <si>
    <t>Herath, IK; Shi, GT; Zhao, Q; Li, YL; Wang, DH; Jiang, S; Li, YJ; Chen, ZL; Bargagli, R</t>
  </si>
  <si>
    <t>Herath, Imali Kaushalya; Shi, Guitao; Zhao, Qian; Li, Yilan; Wang, Danhe; Jiang, Su; Li, Yangjie; Chen, Zhenlou; Bargagli, Roberto</t>
  </si>
  <si>
    <t>Isotopic constraints on nitrate sources and cycling in Antarctic soils</t>
  </si>
  <si>
    <t>Antarctic soils; Nitrate; Nitrate isotopes; Occurrence; Sources; Cycling</t>
  </si>
  <si>
    <t>MCMURDO DRY VALLEYS; ATMOSPHERIC NITRATE; NITROGEN; ORIGIN; DYNAMICS; O-18; N-15; DENITRIFICATION; INPUTS</t>
  </si>
  <si>
    <t>While nitrate (NO3-) serves as a vital nutrient for soil organisms, the lack of knowledge on its sources and cycling in Antarctic soils does not allow to predict the possible effects of climate and environmental changes on the functioning of terrestrial ecosystems. Thus, the NO3- and its stable isotopes of Delta O-17(NO3), delta N-15(NO3,) and delta O-18(NO3) were analyzed in Antarctic soils, collected in coastal ice-free areas of East Antarctica and the tip of the northern Antarctic Peninsula. The soil NO3- concentrations and isotopic values of Delta O-17(NO3), delta N-15(NO3,) and delta O-18(NO3) were comparable across the latitudinal gradient except for soils collected beneath moss cushions in the Fildes Peninsula. The proportional calculation of Delta O-17(NO3) indicated that 93-97% of soil NO3- derived from nitrification process, whereas atmospheric deposition probably contributed to the NO3- budget for a fraction &lt;10 %. The linear relationship between delta O-18(NO3) and delta N-15(NO3) suggested the occurrence in Antarctic soils of denitrification process and active cycling between NO3- and nitrite (NO2-). The NO3- assimilation in soil likely occurred, but at minimal rates. These findings provide new insights in the biogeochemical cycle of nitrogen (N) in Antarctic terrestrial ecosystems and seem to indicate that despite climatic and environmental changes along the wide latitudinal gradient, the sources and cycling of NO3- maintain a rather consistent pattern along coastal ice-free areas. The noteworthy increase of NO3- concentrations and delta N-15(NO3), delta O-18(NO3), and Delta O-17(NO3) values in soils collected under moss in the Fildes Peninsula could also suggest that the warming and the increased availability of liquid water will likely favor the developments of soil biotic communities and changes in the biogeochemical cycle of N in Antarctic terrestrial ecosystems.</t>
  </si>
  <si>
    <t>[Shi, Guitao] East China Normal Univ, Sch Geog Sci, Key Lab Geog Informat Sci, Minist Educ, Shanghai 200241, Peoples R China; [Wang, Danhe; Jiang, Su] Minist Nat Resources, Key Lab Spatial temporal Big Data Anal &amp; Applicat, Shanghai, Peoples R China; [Li, Yangjie] Polar Res Inst China, MNR Key Lab Polar Sci, Shanghai 200136, Peoples R China; [Bargagli, Roberto] Minist Nat Resources, Inst Oceanog 2, Key Lab Marine Ecosyst Dynam, Hangzhou 310012, Peoples R China; Univ Siena, Dept Phys Earth &amp; Environm Sci, Via PA Mattioli 4, IT-53100 Siena, Italy</t>
  </si>
  <si>
    <t>East China Normal University; Ministry of Natural Resources of the People's Republic of China; Polar Research Institute of China; Ministry of Natural Resources of the People's Republic of China; University of Siena</t>
  </si>
  <si>
    <t>Shi, GT (corresponding author), East China Normal Univ, Sch Geog Sci, Key Lab Geog Informat Sci, Minist Educ, Shanghai 200241, Peoples R China.</t>
  </si>
  <si>
    <t>Li, Yilan/GZK-3206-2022</t>
  </si>
  <si>
    <t>Li, Yilan/0000-0003-0976-4288; Shi, Guitao/0000-0003-1702-6322; Herath, Imali Kaushalya/0000-0003-1675-2330</t>
  </si>
  <si>
    <t>National Science Foundation of China [42250410324, 42276243, 41922046]; Pro-gram of Shanghai Academic/Technology Research Leader [20XD1421600]; Fundamental Research Funds for the Central Universities</t>
  </si>
  <si>
    <t>National Science Foundation of China(National Natural Science Foundation of China (NSFC)); Pro-gram of Shanghai Academic/Technology Research Leader; Fundamental Research Funds for the Central Universities(Fundamental Research Funds for the Central Universities)</t>
  </si>
  <si>
    <t>This work was supported by the National Science Foundation of China (Grant Nos. 42250410324, 42276243, and 41922046) , the Pro-gram of Shanghai Academic/Technology Research Leader (Grant No. 20XD1421600) , and the Fundamental Research Funds for the Central Universities. The authors are grateful to CHINARE members for their support and assistance in soil sampling. The authors would like to thank all the editors and anonymous reviewers for their constructive com-ments and suggestions to improve this manuscript.</t>
  </si>
  <si>
    <t>10.1016/j.gca.2023.09.020</t>
  </si>
  <si>
    <t>W4LJ6</t>
  </si>
  <si>
    <t>WOS:001091352800001</t>
  </si>
  <si>
    <t>Lian, KY; Liu, FL; Li, Y; Wang, C; Zhang, CY; McMinn, A; Wang, M; Wang, HL</t>
  </si>
  <si>
    <t>Lian, Kaiyue; Liu, Feilong; Li, Yi; Wang, Can; Zhang, Chuyu; McMinn, Andrew; Wang, Min; Wang, Hualong</t>
  </si>
  <si>
    <t>Environmental gradients shape microbiome assembly and stability in the East China sea</t>
  </si>
  <si>
    <t>Community stability; Assembly processes; Microbiomes; Environmental heterogeneity; East China sea</t>
  </si>
  <si>
    <t>TELLURITE RESISTANCE; DISPERSAL LIMITATION; BACTERIAL DIVERSITY; ECOLOGICAL NETWORKS; COMMUNITY STRUCTURE; CHANGJIANG ESTUARY; MARINE BACTERIAL; RIVER; SURFACE; SEDIMENTS</t>
  </si>
  <si>
    <t>Microbiomes play a key role in marine ecosystem functioning and sustainability. Their organization and stability in coastal areas, particularly in anthropogenic-influenced regions, however, remains unclear compared with an understanding of how microbial community shifts respond to marine environmental gradients. Here, the assembly and community associations across vertical and horizontal gradients in the East China Sea are systematically researched. The seawater microbial communities possessed higher robustness and lower fragmentation and vulnerability compared to the sediment microbiomes. Spatial gradients act as a deterministic filtering factor for microbiome organization. Microbial communities had lower phylogenetic distance and higher niche breadth in the nearshore and offshore areas compared to intermediate areas. The phylogenetic distance of microbiomes decreased from the surface to the bottom but the niche breadth was enhanced in surface and bottom environments. Vertical gradients destabilized microbial associations, while the community diversity was enhanced. Multivariate regression tree analysis and canonical correspondence analysis indicated that depth, distance from shore, nutrient availability, temperature, salinity, and chlorophyll a, affected the distribution and co-occurrence of microbial groups. Our results highlight the crucial roles of environmental gradients in determining microbiome association and stability. These results improve our understanding of the survival strategies/adaptive mechanisms of microbial communities in response to environmental variation and provide new insights for protecting the ecosystems and maintaining the sustainability of ecological functions.</t>
  </si>
  <si>
    <t>[Lian, Kaiyue; Liu, Feilong; Li, Yi; Wang, Can; Zhang, Chuyu; Wang, Min; Wang, Hualong] Ocean Univ China, Inst Evolut &amp; Marine Biodivers, Coll Marine Life Sci, Frontiers Sci Ctr Deep Ocean Multispheres &amp; Earth, Qingdao 266003, Peoples R China; [Lian, Kaiyue; Liu, Feilong; Li, Yi; Wang, Can; Zhang, Chuyu; Wang, Min; Wang, Hualong] Ocean Univ China, Key Lab Polar Oceanog &amp; Global Ocean Change, Qingdao 266003, Peoples R China; [Lian, Kaiyue; Liu, Feilong; Li, Yi; Wang, Can; Zhang, Chuyu; Wang, Min; Wang, Hualong] UMT OUC Joint Ctr Marine Studies, Qingdao 266003, Peoples R China; [McMinn, Andrew] Univ Tasmania, Inst Marine &amp; Antarctic Studies, Hobart, Tas 7005, Australia; [Wang, Hualong] Ocean Univ China, Inst Evolut &amp; Marine Biodivers, Coll Marine Life Sci, Qingdao 266003, Peoples R China</t>
  </si>
  <si>
    <t>Ocean University of China; Ocean University of China; University of Tasmania; Ocean University of China</t>
  </si>
  <si>
    <t>Wang, HL (corresponding author), Ocean Univ China, Inst Evolut &amp; Marine Biodivers, Coll Marine Life Sci, Qingdao 266003, Peoples R China.</t>
  </si>
  <si>
    <t>wanghualong@ouc.edu.cn</t>
  </si>
  <si>
    <t>McMinn, Andrew/A-9910-2008; Wang, Hualong/AAX-2049-2020</t>
  </si>
  <si>
    <t>McMinn, Andrew/0000-0002-2133-3854; Lian, Kaiyue/0009-0005-2759-7462; Wang, Hualong/0000-0002-4891-1431</t>
  </si>
  <si>
    <t>Laoshan Laboratory [LSKJ202203201]; National Key Research and Development Program of China [2022YFC2807500]; National Natural Science Foundation of China [42120104006, 41976117, 42176111, 42206147]; Natural Science Foundation of Shandong Province [ZR2022QD046]</t>
  </si>
  <si>
    <t>Laoshan Laboratory; National Key Research and Development Program of China; National Natural Science Foundation of China(National Natural Science Foundation of China (NSFC)); Natural Science Foundation of Shandong Province(Natural Science Foundation of Shandong Province)</t>
  </si>
  <si>
    <t>This study was supported by the Laoshan Laboratory (No. LSKJ202203201) , National Key Research and Development Program of China (2022YFC2807500) , the National Natural Science Foundation of China (No. 42120104006, 41976117, 42176111 and 42206147) , the Natural Science Foundation of Shandong Province [ZR2022QD046] . We thank you for the support of the high-performance servers of the Center for High Performance Computing and System Simulation, Pilot National Laboratory for Marine Science and Technology (Qingdao) , the Marine Big Data Center of the Institute for Advanced Ocean Study of the Ocean University of China, the IEMB-1, a high-performance computing cluster operated by the Institute of Evolution and Marine Biodiversity, and Marine Big Data Center of Institute for Advanced Ocean Study of Ocean University of China.</t>
  </si>
  <si>
    <t>10.1016/j.envres.2023.117197</t>
  </si>
  <si>
    <t>U7VX3</t>
  </si>
  <si>
    <t>WOS:001086855900001</t>
  </si>
  <si>
    <t>Yu, YW; Liu, Y; Zhu, GP; Wang, CC</t>
  </si>
  <si>
    <t>Yu, Yewei; Liu, Yang; Zhu, Guoping; Wang, Congcong</t>
  </si>
  <si>
    <t>Development and validation of 105 SNP markers in Chionodraco rastrospinosus</t>
  </si>
  <si>
    <t>CONSERVATION GENETICS RESOURCES</t>
  </si>
  <si>
    <t>Chionodraco rastrospinosus; Single nucleotide polymorphism (SNP); Double digest restriction site-associated DNA sequencing (dd-RAD)</t>
  </si>
  <si>
    <t>ICEFISH</t>
  </si>
  <si>
    <t>Ocellated icefish (Chionodraco rastrospinosus, C. rastrospinosu), plays an essential role in the Antarctic food web, and is mainly distributed at depths of 200-1,000 m in the Southern Ocean. The abundance of this species has been drastically reduced due to various impacts, including overfishing and climate change. Therefore, in order to develop, sustainably exploit and protect this species, it is urgent to understand the state of its population resources. However, there is little information available regarding its genetic structure and a lack of effective molecular markers of this species. In this study, 105 novel single nucleotide polymorphism (SNP) markers were developed using double digest restriction site-associated DNA sequencing (ddRAD-Seq). The observed heterozygosity (Ho) and expected heterozygosity (He) ranged from 0 to 1 and 0.2188 to 0.5, respectively. The polymorphism information content (PIC) value ranged from 0.194824 to 0.375. After Bonferroni correction, none of the loci deviated significantly from Hardy-Weinberg equilibrium (p &gt; 0.05). The development of these SNP markers will be useful for the genetic analysis and scientific management of C. rastrospinosus.</t>
  </si>
  <si>
    <t>[Yu, Yewei; Liu, Yang; Zhu, Guoping; Wang, Congcong] Shanghai Ocean Univ, Coll Marine Sci, 999 Huchenghuan Rd, Shanghai 201306, Peoples R China; [Liu, Yang; Zhu, Guoping; Wang, Congcong] Minist Educ, Key Lab Sustainable Exploitat Ocean Fisheries Reso, Shanghai 201306, Peoples R China; [Liu, Yang; Zhu, Guoping; Wang, Congcong] Shanghai Ocean Univ, Natl Distant water Fisheries Engn Res Ctr, Shanghai 201306, Peoples R China; [Liu, Yang; Zhu, Guoping; Wang, Congcong] Minist Agr &amp; Rural Affairs, Key Lab Ocean Fisheries Exploitat, Shanghai 201306, Peoples R China; [Liu, Yang; Wang, Congcong] Minist Agr &amp; Rural Affairs, Sci Observing &amp; Expt Stn Ocean Fishery Resources, Shanghai 201306, Peoples R China</t>
  </si>
  <si>
    <t>Shanghai Ocean University; Shanghai Ocean University; Ministry of Agriculture &amp; Rural Affairs; Ministry of Agriculture &amp; Rural Affairs</t>
  </si>
  <si>
    <t>Zhu, GP; Wang, CC (corresponding author), Shanghai Ocean Univ, Coll Marine Sci, 999 Huchenghuan Rd, Shanghai 201306, Peoples R China.;Zhu, GP; Wang, CC (corresponding author), Minist Educ, Key Lab Sustainable Exploitat Ocean Fisheries Reso, Shanghai 201306, Peoples R China.;Zhu, GP; Wang, CC (corresponding author), Shanghai Ocean Univ, Natl Distant water Fisheries Engn Res Ctr, Shanghai 201306, Peoples R China.;Zhu, GP; Wang, CC (corresponding author), Minist Agr &amp; Rural Affairs, Key Lab Ocean Fisheries Exploitat, Shanghai 201306, Peoples R China.;Wang, CC (corresponding author), Minist Agr &amp; Rural Affairs, Sci Observing &amp; Expt Stn Ocean Fishery Resources, Shanghai 201306, Peoples R China.</t>
  </si>
  <si>
    <t>gpzhu@shou.edu.cn; ccwang@shou.edu.cn</t>
  </si>
  <si>
    <t>International Science and Technology Cooperation Key Special Project of the National Key Research and Development Program [2023YFE0104500]; National Natural Science Foundation of China [31702312, 41776185]; National Key R&amp;D Program of China [2018YFC1406801]; China Scholarship Council [2021 - 109]</t>
  </si>
  <si>
    <t>International Science and Technology Cooperation Key Special Project of the National Key Research and Development Program; National Natural Science Foundation of China(National Natural Science Foundation of China (NSFC)); National Key R&amp;D Program of China; China Scholarship Council(China Scholarship Council)</t>
  </si>
  <si>
    <t>This research was supported by the International Science and Technology Cooperation Key Special Project of the National Key Research and Development Program (grant no 2023YFE0104500); the National Natural Science Foundation of China (Grant No. 31702312); the National Natural Science Foundation of China (Grant No. 41776185); the National Key R&amp;D Program of China (Grant No. 2018YFC1406801); China Scholarship Council (Grant No. 2021 - 109).</t>
  </si>
  <si>
    <t>1877-7252</t>
  </si>
  <si>
    <t>1877-7260</t>
  </si>
  <si>
    <t>CONSERV GENET RESOUR</t>
  </si>
  <si>
    <t>Conserv. Genet. Resour.</t>
  </si>
  <si>
    <t>10.1007/s12686-023-01318-2</t>
  </si>
  <si>
    <t>Biodiversity Conservation; Genetics &amp; Heredity</t>
  </si>
  <si>
    <t>Biodiversity &amp; Conservation; Genetics &amp; Heredity</t>
  </si>
  <si>
    <t>X4WC4</t>
  </si>
  <si>
    <t>WOS:001081696000001</t>
  </si>
  <si>
    <t>Krause, DJ; Brownell, RL Jr; Bonin, CA; Woodman, SM; Shaftel, D; Watters, GM</t>
  </si>
  <si>
    <t>Krause, Douglas J.; Brownell Jr, Robert L.; Bonin, Carolina A.; Woodman, Samuel M.; Shaftel, Douglas; Watters, George M.</t>
  </si>
  <si>
    <t>Evaluating threats to South Shetland Antarctic fur seals amidst population collapse</t>
  </si>
  <si>
    <t>MAMMAL REVIEW</t>
  </si>
  <si>
    <t>Arctocephalus gazella; bycatch; entanglement; incidental mortality; leopard seal; persistent organic pollutants; population dynamics</t>
  </si>
  <si>
    <t>BOTTOM-UP CONTROL; MAN-MADE DEBRIS; ARCTOCEPHALUS-GAZELLA; PERFLUORINATED COMPOUNDS; MARINE MAMMALS; CLIMATE-CHANGE; KRILL FISHERY; TOP PREDATOR; BIRD ISLAND; ENTANGLEMENT</t>
  </si>
  <si>
    <t>Antarctic fur seals (Arctocephalus gazella) are an iconic marine mammal, an important component of Antarctic ecosystems, and a key indicator species for regional fisheries management. Recent studies have demonstrated Arctocephalus gazella is composed of at least four distinct subpopulations, including one breeding on the South Shetland Islands. These South Shetland Antarctic fur seals (SSAFS) are the highest latitude population of otariids in the world. As such, this subpopulation faces a unique array of environmental and ecological challenges, harbours a disproportionately large reservoir of genetic diversity for the species, and has experienced catastrophic population decline in the last 15 years (2008-2023).We review the array of current and potential threats to the successful recovery of SSAFS.If decision makers wish to promote resilience and support a robust population of this species with future recovery potential, actions are needed to address threats ranging from uncertain to critical, including debris entanglement, climate change, incidental mortality, and resource competition with the krill fishery.In particular, the risks associated with overlap in the spatial and temporal distribution of the young of the year and the krill fishery should be addressed carefully.There is an urgent need for updated population estimates for all Antarctic fur seal subpopulations, analysis on the population viability of the SSAFS, and further characterising summer and winter foraging behaviours to better inform potential conservation actions.</t>
  </si>
  <si>
    <t>[Krause, Douglas J.; Woodman, Samuel M.; Watters, George M.] NOAA Fisheries, Southwest Fisheries Sci Ctr, Antarctic Ecosyst Res Div, 8901 Jolla Shores Dr, La Jolla, CA 92037 USA; [Brownell Jr, Robert L.] NOAA Fisheries, Southwest Fisheries Sci Ctr, Marine Mammal &amp; Turtle Div, 8901 Jolla Shores Dr, La Jolla, CA USA; [Bonin, Carolina A.] Hampton Univ, Marine &amp; Environm Sci Dept, 3 Shore Rd, Hampton, VA USA; [Shaftel, Douglas] Univ Calif San Diego, Scripps Inst Oceanog, La Jolla, CA USA</t>
  </si>
  <si>
    <t>National Oceanic Atmospheric Admin (NOAA) - USA; National Oceanic Atmospheric Admin (NOAA) - USA; Hampton University; University of California System; University of California San Diego; Scripps Institution of Oceanography</t>
  </si>
  <si>
    <t>Krause, DJ (corresponding author), NOAA Fisheries, Southwest Fisheries Sci Ctr, Antarctic Ecosyst Res Div, 8901 Jolla Shores Dr, La Jolla, CA 92037 USA.</t>
  </si>
  <si>
    <t>douglas.krause@noaa.gov; robert.brownell@noaa.gov; CAROLINA.LEWALLEN@hamptonu.edu; sam.woodman@noaa.gov; dshaftel@ucsd.edu; george.watters@noaa.gov</t>
  </si>
  <si>
    <t>Bonin Lewallen, Carolina/0000-0003-1162-7290; Watters, George/0000-0002-6989-1273; Woodman, Samuel/0000-0001-6071-8186</t>
  </si>
  <si>
    <t>We appreciate support from the NOAA Fisheries U.S. Antarctic Marine Living Resources Program, information about IUCN definitions and procedures from B. Taylor, and editorial feedback on this manuscript from J. Hinke. We thank a) Jay Wright, b) McKenzie Mud [16472, 20599, 25786]; NOAA Fisheries U.S. Antarctic Marine Living Resources Program</t>
  </si>
  <si>
    <t>We appreciate support from the NOAA Fisheries U.S. Antarctic Marine Living Resources Program, information about IUCN definitions and procedures from B. Taylor, and editorial feedback on this manuscript from J. Hinke. We thank a) Jay Wright, b) McKenzie Mud; NOAA Fisheries U.S. Antarctic Marine Living Resources Program</t>
  </si>
  <si>
    <t>We appreciate support from the NOAA Fisheries U.S. Antarctic Marine Living Resources Program, information about IUCN definitions and procedures from B. Taylor, and editorial feedback on this manuscript from J. Hinke. We thank a) Jay Wright, b) McKenzie Mudge, and c) Sergio Morales for providing photos of SSAFS for Fig. 2. We also thank Debra Losey for library and reference research support. All original data and photographs within were obtained in accordance with U.S. Marine Mammal Protection Act Permit Nos. 16472, 20599, and 25786.</t>
  </si>
  <si>
    <t>0305-1838</t>
  </si>
  <si>
    <t>1365-2907</t>
  </si>
  <si>
    <t>MAMMAL REV</t>
  </si>
  <si>
    <t>Mammal Rev.</t>
  </si>
  <si>
    <t>10.1111/mam.12327</t>
  </si>
  <si>
    <t>Ecology; Zoology</t>
  </si>
  <si>
    <t>Environmental Sciences &amp; Ecology; Zoology</t>
  </si>
  <si>
    <t>GP8W8</t>
  </si>
  <si>
    <t>WOS:001077282000001</t>
  </si>
  <si>
    <t>Ochoa-Sánchez, M; Gomez, EPA; Ramírez-Fenández, L; Eguiarte, LE; Souza, V</t>
  </si>
  <si>
    <t>Ochoa-Sanchez, Manuel; Acuna Gomez, Eliana Paola; Ramirez-Fenandez, Lia; Eguiarte, Luis E.; Souza, Valeria</t>
  </si>
  <si>
    <t>Current knowledge of the Southern Hemisphere marine microbiome in eukaryotic hosts and the Strait of Magellan surface microbiome project</t>
  </si>
  <si>
    <t>Cetacean microbiome; Crustacean microbiome; Macroalgae microbiome; Marine host microbiome; Marine invertebrate; Seabird microbiome; Sponge microbiome; Seal microbiome; Marine microbial diversity; Epibiotic microbiome</t>
  </si>
  <si>
    <t>ANTARCTIC KRILL; BACTERIAL COMMUNITIES; CLIMATE-CHANGE; DIVERSITY; MACROALGAE; EVOLUTION; GROWTH; IDENTIFICATION; PHYLOGENY; PATTERNS</t>
  </si>
  <si>
    <t>Host-microbe interactions are ubiquitous and play important roles in host biology, ecology, and evolution. Yet, host-microbe research has focused on inland species, whereas marine hosts and their associated microbes remain largely unexplored, especially in developing countries in the Southern Hemisphere. Here, we review the current knowledge of marine host microbiomes in the Southern Hemisphere. Our results revealed important biases in marine host species sampling for studies conducted in the Southern Hemisphere, where sponges and marine mammals have received the greatest attention. Sponge-associated microbes vary greatly across geographic regions and species. Nevertheless, besides taxonomic heterogeneity, sponge microbiomes have functional consistency, whereas geography and aging are important drivers of marine mammal microbiomes. Seabird and macroalgal microbiomes in the Southern Hemisphere were also common. Most seabird microbiome has focused on feces, whereas macroalgal microbiome has focused on the epibiotic community. Important drivers of seabird fecal microbiome are aging, sex, and species-specific factors. In contrast, host-derived deterministic factors drive the macroalgal epibiotic microbiome, in a process known as microbial gardening. In turn, marine invertebrates (especially crustaceans) and fish microbiomes have received less attention in the Southern Hemisphere. In general, the predominant approach to study host marine microbiomes has been the sequencing of the 16S rRNA gene. Interestingly, there are some marine holobiont studies (i.e., studies that simultaneously analyze host (e.g., genomics, transcriptomics) and microbiome (e.g., 16S rRNA gene, metagenome) traits), but only in some marine invertebrates and macroalgae from Africa and Australia. Finally, we introduce an ongoing project on the surface microbiome of key species in the Strait of Magellan. This is an international project that will provide novel microbiome information of several species in the Strait of Magellan. In the short-term, the project will improve our knowledge about microbial diversity in the region, while long-term potential benefits include the use of these data to assess host-microbial responses to the Anthropocene derived climate change.</t>
  </si>
  <si>
    <t>[Ochoa-Sanchez, Manuel; Acuna Gomez, Eliana Paola; Souza, Valeria] Centro Estudios Cuaternario Fuego Patagonia &amp; Ant, Punta Arenas, Chile; [Ochoa-Sanchez, Manuel; Eguiarte, Luis E.; Souza, Valeria] Univ Nacl Autonoma Mexico, Inst Ecol, Mexico City, DF, Mexico; [Ochoa-Sanchez, Manuel] Univ Nacl Autonoma Mexico, Posgrad Ciencias Biol, Mexico City, DF, Mexico; [Eguiarte, Luis E.] Univ Arturo Prat, Fac Recursos Nat Renovables, Iquique, Chile; [Eguiarte, Luis E.] Ctr Desarrollo Biotecnol Ind &amp; Bioprod, Antofagasta, Chile</t>
  </si>
  <si>
    <t>Universidad Nacional Autonoma de Mexico; Universidad Nacional Autonoma de Mexico; Universidad Arturo Prat</t>
  </si>
  <si>
    <t>Souza, V (corresponding author), Centro Estudios Cuaternario Fuego Patagonia &amp; Ant, Punta Arenas, Chile.;Souza, V (corresponding author), Univ Nacl Autonoma Mexico, Inst Ecol, Mexico City, DF, Mexico.</t>
  </si>
  <si>
    <t>souza.valeria2@gmail.com</t>
  </si>
  <si>
    <t>Ochoa-Sánchez, Manuel/JXX-5538-2024; Ramírez-Fernández, Lía/KGK-8759-2024</t>
  </si>
  <si>
    <t>CEQUA [RS0F0009 ANID]; CONACYT Fellowship [CVU: 917392]; ANID [R20F0009]</t>
  </si>
  <si>
    <t>CEQUA(Comision Nacional de Investigacion Cientifica y Tecnologica (CONICYT)CONICYT Regional/CEQUA); CONACYT Fellowship(Consejo Nacional de Ciencia y Tecnologia (CONACyT)); ANID</t>
  </si>
  <si>
    <t>Financing was granted by CEQUA, project number RS0F0009 ANID, and a CONACYT Fellowship (CVU: 917392). This work was supported by ANID project number R20F0009. The funders had no role in study design, data collection and analysis, decision to publish, or preparation of the manuscript.</t>
  </si>
  <si>
    <t>OCT 3</t>
  </si>
  <si>
    <t>e15978</t>
  </si>
  <si>
    <t>10.7717/peerj.15978</t>
  </si>
  <si>
    <t>AF1P1</t>
  </si>
  <si>
    <t>WOS:001116961300004</t>
  </si>
  <si>
    <t>Mancuso, M; Nibali, VC; Porcino, N; Branca, C; Natale, S; Smedile, F; Azzaro, M; D'Angelo, G; Bottari, T</t>
  </si>
  <si>
    <t>Mancuso, Monique; Nibali, Valeria Conti; Porcino, Nunziatina; Branca, Caterina; Natale, Sabrina; Smedile, Francesco; Azzaro, Maurizio; D'Angelo, Giovanna; Bottari, Teresa</t>
  </si>
  <si>
    <t>Monitoring of anthropogenic microplastic pollution in antarctic fish (emerald rockcod) from the Terranova Bay after a quarter of century</t>
  </si>
  <si>
    <t>Trematomus bernacchii; Marine pollution; Anthropogenic microfiber; Ross Sea; Antarctica</t>
  </si>
  <si>
    <t>ROSS SEA; SURFACE WATERS; SEDIMENTS; RAMAN</t>
  </si>
  <si>
    <t>Monitoring the occurrence of microplastic contamination in the Antarctic area is the key to implement policy measures for waste regulations in the research stations. Antarctic fish Trematomus bernachii is a suitable species for establishing microplastic contamination and for investigating changes over time in the concentration and type of microplastics in the Antarctic region. In this paper a total of 78 fish, caught during the 37th Italian Antarctic expedition (2021-2022) in the Ross Sea (Antarctica) were analysed. Different microfibers and dyes were identified by Raman spectroscopy and the results were compared with those obtained for fish sampled in 1998. Differences in polymer type emerged with a predominance of synthetic fibers with respect to natural ones. These changes appear to be related to the increased human activities in the Antarctica over the last twenty years and highlights the need to improve the environmental sustainability of the numerous research stations operating throughout that area.</t>
  </si>
  <si>
    <t>[Mancuso, Monique; Porcino, Nunziatina; Natale, Sabrina; Bottari, Teresa] Inst Marine Biol Resources &amp; Biotechnol IRBIM CNR, Messina, Italy; [Mancuso, Monique; Bottari, Teresa] Sicily Marine Ctr, Natl Inst Biol Ecol &amp; Marine Biotechnol, Stn Zool Anton Dohrn, Dept Integrat Marine Ecol EMI, Messina, Italy; [Nibali, Valeria Conti; Branca, Caterina; D'Angelo, Giovanna] Univ Messina, Dept Math &amp; Computat Sci, Phys Sci &amp; Earth Sci, Messina, Italy; [Smedile, Francesco; Azzaro, Maurizio] Inst Polar Sci ISP CNR, Messina, Italy; [D'Angelo, Giovanna] Natl Res Council Italy CNR, Inst Chem Phys Proc IPCF, Messina, Italy</t>
  </si>
  <si>
    <t>Stazione Zoologica Anton Dohrn di Napoli; University of Messina; Consiglio Nazionale delle Ricerche (CNR); Istituto di Scienze Polari (ISP-CNR); Consiglio Nazionale delle Ricerche (CNR); Istituto per i Processi Chimico-Fisici (IPCF-CNR)</t>
  </si>
  <si>
    <t>Bottari, T (corresponding author), Inst Marine Biol Resources &amp; Biotechnol IRBIM CNR, Messina, Italy.;D'Angelo, G (corresponding author), Univ Messina, Dept Math &amp; Computat Sci, Phys Sci &amp; Earth Sci, Messina, Italy.</t>
  </si>
  <si>
    <t>giovanna.dangelo@unime.it; teresa.bottari@irbim.cnr.it</t>
  </si>
  <si>
    <t>10.1016/j.scitotenv.2023.167244</t>
  </si>
  <si>
    <t>HK6Q4</t>
  </si>
  <si>
    <t>WOS:001159440000001</t>
  </si>
  <si>
    <t>Casas, G; Iriarte, J; D'Agostino, LA; Roscales, JL; Martinez-Varela, A; Vila-Costa, M; Martin, JW; Jiménez, B; Dachs, J</t>
  </si>
  <si>
    <t>Casas, Gemma; Iriarte, Jon; D'Agostino, Lisa A.; Roscales, Jose L.; Martinez-Varela, Alicia; Vila-Costa, Maria; Martin, Jonathan W.; Jimenez, Begona; Dachs, Jordi</t>
  </si>
  <si>
    <t>Inputs, amplification and sinks of perfluoroalkyl substances at coastal Antarctica</t>
  </si>
  <si>
    <t>PFAS; PFAAs; PFOA; PFOS; POPs; Southern ocean; Coastal; Antarctica; Long-range transport; Lakes; Snow; Seawater; Amplification; Degradation; Marine bacteria</t>
  </si>
  <si>
    <t>PERSISTENT ORGANIC POLLUTANTS; KING GEORGE ISLAND; PERFLUORINATED COMPOUNDS; POLYFLUOROALKYL SUBSTANCES; SNOW DEPOSITION; GLOBAL SURVEY; OCEAN; ACIDS; TRANSPORT; CHEMISTRY</t>
  </si>
  <si>
    <t>The sources, biogeochemical controls and sinks of perfluoroalkyl substances, such as perfluoroalkyl acids (PFAAs), in polar coastal regions are largely unknown. These were evaluated by measuring a large multicompartment dataset of PFAAs concentrations at coastal Livingston and Deception Islands (maritime Antarctica) during three austral summers. PFAAs were abundant in atmospheric-derived samples (aerosols, rain, snow), consistent with the importance of atmospheric deposition as an input of PFAAs to Antarctica. Such PFAAs deposition was unequivocally demonstrated by the occurrence of PFAAs in small Antarctic lakes. Several lines of evidence supported the relevant amplification of PFAAs concentrations in surface waters driven by snow scavenging of sea-spray aerosol-bound PFAAs followed by snow-melting. For example, vertical profiles showed higher PFAAs concentrations at lower-salinity surface seawaters, and PFAAs concentrations in snow were significantly higher than in seawater. The higher levels of PFAAs at Deception Island than at Livingston Island are consistent with the semi-enclosed nature of the bay. Concentrations of PFOS decreased from 2014 to 2018, consistent with observations in other oceans. The sink of PFAAs due to the biological pump, transfer to the food web, and losses due to sea-spray aerosols alone are unlikely to have driven the decrease in PFOS concentrations. An exploratory assessment of the potential sinks of PFAAs suggests that microbial degradation of perfluoroalkyl sulfonates should be a research priority for the evaluation of PFAAs persistence in the coming decade.</t>
  </si>
  <si>
    <t>[Casas, Gemma; Iriarte, Jon; Martinez-Varela, Alicia; Vila-Costa, Maria; Dachs, Jordi] Spanish Natl Res Council IDAEA CSIC, Inst Environm Assessment &amp; Water Res, Catalonia, Barcelona, Spain; [Casas, Gemma; Roscales, Jose L.] Spanish Natl Res Council IQOG CSIC, Inst Organ Chem, Dept Instrumental Anal &amp; Environm Chem, Madrid, Spain; [D'Agostino, Lisa A.; Martin, Jonathan W.] Stockholm Univ, Dept Environm Sci ACES Exposure &amp; Effects, Sci Life Lab, S-10691 Stockholm, Sweden; [Casas, Gemma] Univ Vic, BETA Tech Ctr, Catalonia, Vic, Spain</t>
  </si>
  <si>
    <t>Consejo Superior de Investigaciones Cientificas (CSIC); CSIC - Centro de Investigacion y Desarrollo Pascual Vila (CID-CSIC); CSIC - Instituto de Diagnostico Ambiental y Estudios del Agua (IDAEA); Consejo Superior de Investigaciones Cientificas (CSIC); CSIC - Instituto de Quimica Organica General (IQOG); Stockholm University; Universitat de Vic - Universitat Central de Catalunya (UVic-UCC)</t>
  </si>
  <si>
    <t>Dachs, J (corresponding author), Spanish Natl Res Council IDAEA CSIC, Inst Environm Assessment &amp; Water Res, Catalonia, Barcelona, Spain.</t>
  </si>
  <si>
    <t>jordi.dachs@idaea.csic.es</t>
  </si>
  <si>
    <t>Roscales, Jose L/H-6716-2015; Iriarte, Jon/HZI-0369-2023; Vila-Costa, Maria/L-4833-2014</t>
  </si>
  <si>
    <t>Iriarte, Jon/0000-0003-2315-1920; Vila-Costa, Maria/0000-0003-1730-8418; Gemma, Casas/0000-0002-4197-2151; Jimenez, Begona/0000-0002-2401-4648</t>
  </si>
  <si>
    <t>Spanish Ministry of Science and Innovation (MCIN) [CTM2012-34673]; SENTINEL [CTM2015-70535]; ANTOM [PGC2018-096612-B-100]; Catalan Government [2017SGR800]; Centre of Excellence Severo Ochoa (Spanish Ministry of Science and Innovation) [CEX2018-000794-S]</t>
  </si>
  <si>
    <t>Spanish Ministry of Science and Innovation (MCIN)(Spanish Government); SENTINEL; ANTOM; Catalan Government; Centre of Excellence Severo Ochoa (Spanish Ministry of Science and Innovation)</t>
  </si>
  <si>
    <t>This work has been supported by the Spanish Ministry of Science and Innovation (MCIN) through projects REMARCA (CTM2012-34673) , SENTINEL (CTM2015-70535) and ANTOM (PGC2018-096612-B-100) . The research group of Global Change and Genomic Biogeochemistry receives support from the Catalan Government (2017SGR800) . IDAEA- CSIC is a Centre of Excellence Severo Ochoa (Spanish Ministry of Science and Innovation, Project CEX2018-000794-S) .</t>
  </si>
  <si>
    <t>10.1016/j.envpol.2023.122608</t>
  </si>
  <si>
    <t>GQ7G4</t>
  </si>
  <si>
    <t>WOS:001154194800001</t>
  </si>
  <si>
    <t>Heil, P; Stevens, C; Lee, WS; Eayrs, C; Shin, HC; Alexander, SP; Rack, W</t>
  </si>
  <si>
    <t>Heil, Petra; Stevens, Craig; Lee, Won Sang; Eayrs, Clare; Shin, Hyoung Chul; Alexander, Simon P.; Rack, Wolfgang</t>
  </si>
  <si>
    <t>Bridging the gap for ice-ocean-ecosystem processes: integrated observing system for the Ross Sea-far East Antarctic Region</t>
  </si>
  <si>
    <t>Antarctic Earth-system science; Ross Sea-far East Antarctic Region; cross-disciplinary observing system; sea ice; hydrography; biogeochemistry; atmosphere; coastal processes</t>
  </si>
  <si>
    <t>SNOW DEPTH; VARIABILITY; HEAT; COVER</t>
  </si>
  <si>
    <t>Our understanding of cross-disciplinary connections for Antarctica's role in the Earth system remains incomplete, especially around its coastal margins. The focus here is on sea-ice, oceanic, and atmospheric drivers in the joint Ross Sea-far East Antarctic Region (RSfEAR)-one which spans a large longitudinal range and connects a number of ice shelves and polynyas promoting sea-ice growth and underpinning a diverse and rich ecosystem. Here, we present a minireview of recent case studies and how these inform the design for a future integrated ocean-sea ice-atmosphere observing system. The review is built around five themes: i) regional setting, ii) recent studies in the region and current strategies, iii) gap analysis, iv) future observing system design, and v) wider implications for stakeholders.</t>
  </si>
  <si>
    <t>[Heil, Petra; Alexander, Simon P.] Australian Antarctic Div, Kingston, Tas, Australia; [Heil, Petra; Alexander, Simon P.] Univ Tasmania, Australian Antarctic Program Partnership, Hobart, Tas, Australia; [Stevens, Craig] Natl Inst Water &amp; Atmospher Res, Ocean Observat Grp, Wellington, New Zealand; [Stevens, Craig] Univ Auckland, Dept Phys, Auckland, New Zealand; [Lee, Won Sang; Eayrs, Clare] Korea Polar Res Inst, Div Glacial Environm Res, Incheon, South Korea; [Shin, Hyoung Chul] Korea Polar Res Inst, Vice Presidents Off, Incheon, South Korea; [Rack, Wolfgang] Univ Canterbury, Sch Earth &amp; Environm, Christchurch, New Zealand</t>
  </si>
  <si>
    <t>Australian Antarctic Division; University of Tasmania; National Institute of Water &amp; Atmospheric Research (NIWA) - New Zealand; University of Auckland; Korea Polar Research Institute (KOPRI); Korea Polar Research Institute (KOPRI); University of Canterbury</t>
  </si>
  <si>
    <t>Heil, P (corresponding author), Australian Antarctic Div, Kingston, Tas, Australia.;Heil, P (corresponding author), Univ Tasmania, Australian Antarctic Program Partnership, Hobart, Tas, Australia.</t>
  </si>
  <si>
    <t>petra.heil@utas.edu.au</t>
  </si>
  <si>
    <t>Rack, Wolfgang/U-8898-2017; Eayrs, Clare/T-7969-2019</t>
  </si>
  <si>
    <t>Eayrs, Clare/0000-0003-3129-7604; Heil, Petra/0000-0003-2078-0342</t>
  </si>
  <si>
    <t>Australian Antarctic Science Projects [4496, 4506, 4625]; International Space Science Institute ( Bern, Switzerland) [405]; MBIE Antarctic Science Platform [ANTA1801]; Korea Institute of Marine Science and Technology Promotion (KIMST) - Ministry of Oceans and Fisheries [RS-202300256677, PM23020]; KOPRI project - Korea Polar Research Institute by the Korean Ministry of Oceans and Fisheries [PE23110]</t>
  </si>
  <si>
    <t>Australian Antarctic Science Projects; International Space Science Institute ( Bern, Switzerland); MBIE Antarctic Science Platform(New Zealand Ministry of Business, Innovation and Employment (MBIE)); Korea Institute of Marine Science and Technology Promotion (KIMST) - Ministry of Oceans and Fisheries(Korea Institute of Marine Science &amp; Technology Promotion (KIMST)); KOPRI project - Korea Polar Research Institute by the Korean Ministry of Oceans and Fisheries</t>
  </si>
  <si>
    <t>PH and SA received support through the Australian Antarctic Science Projects 4496, 4506, and 4625, and PH also received support through the International Space Science Institute ( Bern, Switzerland) project #405. Aotearoa New Zealand contributions (CS and WR) are supported by the MBIE Antarctic Science Platform (ANTA1801). WL and CE were supported by a Korea Institute of Marine Science and Technology Promotion (KIMST) grant funded by the Ministry of Oceans and Fisheries (RS-202300256677; PM23020). HS was supported by KOPRI project PE23110 funded through Korea Polar Research Institute by the Korean Ministry of Oceans and Fisheries.</t>
  </si>
  <si>
    <t>10.3389/fmars.2023.1206119</t>
  </si>
  <si>
    <t>U7LA0</t>
  </si>
  <si>
    <t>WOS:001086572100001</t>
  </si>
  <si>
    <t>Madani, Z; Shibata, A</t>
  </si>
  <si>
    <t>Madani, Zia; Shibata, Akiho</t>
  </si>
  <si>
    <t>International law, climate change and the Antarctic Treaty System: re-contemplating governance questions apropos of the mounting challenges</t>
  </si>
  <si>
    <t>Antarctic legal regime; Antarctic Treaty System (ATS); climate change; governance; international law; polar law</t>
  </si>
  <si>
    <t>CONSERVATION; PROTECTION</t>
  </si>
  <si>
    <t>More than 60 years since it entered into force in 1961, the Antarctic Treaty is experiencing significant challenges. These challenges also affect its associated instruments known as the Antarctic Treaty System (ATS). These are mostly external dynamics that are increasingly challenging the ATS from outside of the Antarctic region. They encompass a spectrum of issues relating to global legal regimes and to what extent they are applicable in the Antarctic context. Climate change appears to be the most significant of these challenges, as the tangible planetary impacts of global warming and the perception of its urgency and seriousness by states have prompted additional challenges to the ATS. The physical changes that continue to be scientifically unveiled in the Antarctic are manifesting severe impacts on a planetary scale, and this fact has underscored the need for broader and more rapid international engagement within the Antarctic governance discourse. Nevertheless, the existing decision-making mechanisms compounded by the adversarial atmosphere within the ATS due to external factors have become challenges of themselves. Such challenges call for the re-contemplation and reassessment of the legal regime of the Antarctic in general, and the ATS in particular, to find ways forward for an otherwise historically effective international legal system. This paper utilizes both scientific and legal lenses to underscore the urgent need to achieve better communication between the ATS generally, the Antarctic Treaty Consultative Meetings specifically and the UN Framework Convention on Climate Change and Intergovernmental Panel on Climate Change regimes and to overcome the multiple barriers that stand in the way of achieving that objective.</t>
  </si>
  <si>
    <t>[Madani, Zia; Shibata, Akiho] Kobe Univ, Polar Cooperat Res Ctr PCRC, Grad Sch Int Cooperat Studies, Kobe, Japan</t>
  </si>
  <si>
    <t>Kobe University</t>
  </si>
  <si>
    <t>Madani, Z (corresponding author), Kobe Univ, Polar Cooperat Res Ctr PCRC, Grad Sch Int Cooperat Studies, Kobe, Japan.</t>
  </si>
  <si>
    <t>madani.zia@gmail.com</t>
  </si>
  <si>
    <t>Madani, Zia/0000-0002-2787-7844; Shibata, Akiho/0000-0002-8201-9412</t>
  </si>
  <si>
    <t>This research effort was supported by the Japan Society for the Promotion of Science (JSPS), for which the authors are grateful. The authors would like to express their sincere gratitude to the three esteemed anonymous reviewers for their invaluable commen; Japan Society for the Promotion of Science (JSPS)</t>
  </si>
  <si>
    <t>This research effort was supported by the Japan Society for the Promotion of Science (JSPS), for which the authors are grateful. The authors would like to express their sincere gratitude to the three esteemed anonymous reviewers for their invaluable commen; Japan Society for the Promotion of Science (JSPS)(Ministry of Education, Culture, Sports, Science and Technology, Japan (MEXT)Japan Society for the Promotion of Science)</t>
  </si>
  <si>
    <t>This research effort was supported by the Japan Society for the Promotion of Science (JSPS), for which the authors are grateful. The authors would like to express their sincere gratitude to the three esteemed anonymous reviewers for their invaluable comments and suggestions, which have greatly enhanced the quality and clarity of this manuscript. They are also grateful for the thorough and rigorous copyediting efforts of John Marr, the copyeditor for Antarctic Science, on the final version of the manuscript. Finally, the authors also wish to extend their appreciation to Professor Timo Koivurova for his valuable comments on the original manuscript, and to Helen McKenna for her meticulous editing and wordsmithing efforts. The responsibility for any errors or omissions rests solely with the authors.</t>
  </si>
  <si>
    <t>10.1017/S0954102023000226</t>
  </si>
  <si>
    <t>WOS:001075450700001</t>
  </si>
  <si>
    <t>Leek, M; Alexander, C</t>
  </si>
  <si>
    <t>Leek, Michael; Alexander, C.</t>
  </si>
  <si>
    <t>The Endurance: Shackleton's legendary Antarctic expedition</t>
  </si>
  <si>
    <t>MARINERS MIRROR</t>
  </si>
  <si>
    <t>[Leek, Michael] STRONE, Dunoon, England</t>
  </si>
  <si>
    <t>Leek, M (corresponding author), STRONE, Dunoon, England.</t>
  </si>
  <si>
    <t>0025-3359</t>
  </si>
  <si>
    <t>2049-680X</t>
  </si>
  <si>
    <t>Mar. Mirror</t>
  </si>
  <si>
    <t>OCT 2</t>
  </si>
  <si>
    <t>10.1080/00253359.2023.2260256</t>
  </si>
  <si>
    <t>History</t>
  </si>
  <si>
    <t>Arts &amp; Humanities Citation Index (A&amp;HCI)</t>
  </si>
  <si>
    <t>X6UU6</t>
  </si>
  <si>
    <t>WOS:001099787200017</t>
  </si>
  <si>
    <t>McCulloch, RD; Mansilla, CA; Roberts, SJ; Tisdall, EW</t>
  </si>
  <si>
    <t>McCulloch, Robert D.; Mansilla, Claudia A.; Roberts, Stephen J.; Tisdall, Eileen W.</t>
  </si>
  <si>
    <t>Late Quaternary climatic inferences from southern Patagonia (-53°S): A holistic palaeoecological approach to tracking the behaviour of the southern westerly winds</t>
  </si>
  <si>
    <t>Pollen analysis; Pollen preservation; Peat bogs; Nothofagus; Forest-steppe ecotone</t>
  </si>
  <si>
    <t>TIERRA-DEL-FUEGO; HOLOCENE PALEOENVIRONMENTAL CHANGE; ANTARCTIC PENINSULA; POSTGLACIAL VEGETATION; ULTIMA ESPERANZA; CENTRAL STRAIT; LEVEL CHANGES; BAHIA INUTIL; ICE-SHELF; HISTORY</t>
  </si>
  <si>
    <t>The glacial and vegetation patterns of Patagonia are strongly correlated to the behaviour of the Southern westerly winds (SWWs) with palaeoenvironmental evidence for the behaviour of the SWWs interpreted as past changes in southern hemisphere climate and ocean currents. To fully define shifts in the position and intensity of the SWWs palaeoenvironmental data sets must be generated from climate sensitive proxies with sites located in regions that are responsive to changes in effective moisture. Here we present a c. 15,700 yr-old record from a peat bog at Punta Arenas (53 degrees 09 ' S) which was analysed for pollen, pollen preservation, charcoal and organic content to reconstruct changes in the surrounding vegetation, fire history and mire surface wetness. The peat bog lies in a closed basin and so environmental changes likely reflect changes in effective moisture primarily driven by fluctuations in precipitation. During the Late glacial the landscape was virtually treeless and dominated by cold-tolerant steppe/tundra vegetation. This was followed by substantial vegetation changes as Nothofagus woodland expanded and the local site transitioned from a small lake to a fen and later a raised mire. The Early and Mid-Holocene (11,600-6000 cal a BP) was marked by a period of sustained drier conditions evidenced by reduced pollen preservation and increased fire activity. After c. 4600 cal a BP there was a shift to increased effective moisture superimposed with higher magnitude and higher frequency changes in precipitation. The palaeoenvironmental record presented here is used to better define the nature and timing of latitudinal shifts in the position of the SWWs. Careful interpretation of the Nothofagus pollen signal is required as during drier periods small increases in humidity can drive large woodland responses in the pollen record while during periods of higher humidity the woodland may appear to be unresponsive to climatic changes.</t>
  </si>
  <si>
    <t>[McCulloch, Robert D.] Univ Edinburgh, Sch GeoSci, Edinburgh, Scotland; [McCulloch, Robert D.; Mansilla, Claudia A.] Cape Horn Int Ctr CHIC, Puerto Williams, Chile; [Mansilla, Claudia A.] Univ Magallanes, Ctr Invest Gaia Antart CIGA, Punta Arenas, Chile; [Mansilla, Claudia A.] Univ Magallanes, Network Extreme Environm Res NEXER, Punta Arenas, Chile; [Roberts, Stephen J.] NERC, British Antarctic Survey, Madingley Rd, Cambridge, England; [Tisdall, Eileen W.] Univ Stirling, Biol &amp; Environm Sci, Stirling, Scotland</t>
  </si>
  <si>
    <t>University of Edinburgh; Universidad de Magallanes; Universidad de Magallanes; UK Research &amp; Innovation (UKRI); Natural Environment Research Council (NERC); NERC British Antarctic Survey; University of Stirling</t>
  </si>
  <si>
    <t>McCulloch, RD (corresponding author), Univ Edinburgh, Sch GeoSci, Edinburgh, Scotland.</t>
  </si>
  <si>
    <t>v1rmccul@ed.ac.uk</t>
  </si>
  <si>
    <t>McCulloch, Robert/0000-0001-5542-3703; Mansilla, Claudia A./0000-0003-4840-2845</t>
  </si>
  <si>
    <t>Chilean National Agency for Research and Development: FONDECYT [1200727]; Agencia Nacional de Investigacion y Desarrollo de Chile (ANID); ANID/BASAL [FB210018]; ANID [SIA/PAI 77180002]</t>
  </si>
  <si>
    <t>Chilean National Agency for Research and Development: FONDECYT; Agencia Nacional de Investigacion y Desarrollo de Chile (ANID); ANID/BASAL; ANID</t>
  </si>
  <si>
    <t>This research was supported by the Chilean National Agency for Research and Development: FONDECYT 1200727 Agencia Nacional de Investigacion y Desarrollo de Chile (ANID) . RMcC and CAM were funded by the ANID/BASAL FB210018 and CAM was supported by SIA/PAI 77180002 ANID. The University of Stirling provided additional support for the preparation of pollen samples and tephra samples for the Electron Microprobe analyses. We are grateful to Dr. Chris Hayward for assistance in our use of the Cameca SX100 Electron Microprobe in the School of GeoSciences, The University of Edinburgh. We are grateful to the NERC Radiocarbon Laboratory, East Kilbride, for advice and support with radiocarbon dating (Allocation No. 789/0599). We thank Dr. Mary McCulloch, Professor Mike Bentley and Sr Jorge Teneb for their assis-tance with the field sampling.</t>
  </si>
  <si>
    <t>10.1016/j.palaeo.2023.111822</t>
  </si>
  <si>
    <t>W3BG7</t>
  </si>
  <si>
    <t>WOS:001090409000001</t>
  </si>
  <si>
    <t>García-Laviña, CX; Morel, MA; García-Gabarrot, G; Castro-Sowinski, S</t>
  </si>
  <si>
    <t>Garcia-Lavina, Cesar X.; Morel, Maria A.; Garcia-Gabarrot, Gabriela; Castro-Sowinski, Susana</t>
  </si>
  <si>
    <t>Phenotypic and resistome analysis of antibiotic and heavy metal resistance in the Antarctic bacterium Pseudomonas sp. AU10</t>
  </si>
  <si>
    <t>Antarctica; Pseudomonas; Genome analysis; Heavy metal resistance; Antibiotic resistance</t>
  </si>
  <si>
    <t>COPPER RESISTANCE; SCIENTIFIC BASE; EFFLUX SYSTEM; MECHANISMS; CR(VI); GENES; OPRM</t>
  </si>
  <si>
    <t>Resistance to antibiotics and heavy metals in Antarctic bacteria has been investigated due to anthropogenic impact on the continent. However, there is still much to learn about the genetic determinants of resistance in native bacteria. In this study, we investigated antibiotic, heavy metal, and metalloid resistance in Pseudomonas sp. AU10, isolated from King George Island (Antarctica), and analyzed its genome to look for all the associated genetic determinants (resistome). We found that AU10 displayed resistance to Cr(VI), Cu(II), Mn(II), Fe(II), and As(V), and produced an exopolysaccharide with high Cr(VI)-biosorption capacity. Additionaly, the strain showed resistance to aminopenicillins, cefotaxime, aztreonam, azithromycin, and intermediate resistance to chloramphenicol. Regarding the resistome, we did not find resistance genes in AU10's natural plasmid or in a prophage context. Only a copper resistance cluster indicated possible horizontal acquisition. The mechanisms of resistance found were mostly efflux systems, several sequestering proteins, and a few enzymes, such as an AmpC beta-lactamase or a chromate reductase, which would account for the observed phenotypic profile. In contrast, the presence of a few gene clusters, including the terZABCDE operon for tellurite resistance, did not correlate with the expected phenotype. Despite the observed resistance to multiple antibiotics and heavy metals, the lack of resistance genes within evident mobile genetic elements is suggestive of the preserved nature of AU10's Antarctic habitat. As Pseudomonas species are good bioindicators of human impact in Antarctic environments, we consider that our results could help refine surveillance studies based on monitoring resistances and associated resistomes in these populations.</t>
  </si>
  <si>
    <t>[Garcia-Lavina, Cesar X.; Castro-Sowinski, Susana] Univ Republica, Fac Ciencias, Secc Bioquim, Igua 4225, Montevideo 11400, Uruguay; [Morel, Maria A.] Univ Republica, Fac Ciencias, Lab Microbiol Suelos, Igua 4225, Montevideo 11400, Uruguay; [Morel, Maria A.; Castro-Sowinski, Susana] Inst Invest Biol Clemente Estable IIBCE, Lab Microbiol Mol, Dept BIOGEM, Ave Italia 3318, Montevideo 11600, Uruguay; [Garcia-Gabarrot, Gabriela] Minist Salud Publ, Dept Labs, Alfredo Navarro 3051, Montevideo 11600, Uruguay</t>
  </si>
  <si>
    <t>Universidad de la Republica, Uruguay; Universidad de la Republica, Uruguay; Instituto de Investigaciones Biologicas Clemente Estable Uruguay</t>
  </si>
  <si>
    <t>Castro-Sowinski, S (corresponding author), Univ Republica, Fac Ciencias, Secc Bioquim, Igua 4225, Montevideo 11400, Uruguay.;Castro-Sowinski, S (corresponding author), Inst Invest Biol Clemente Estable IIBCE, Lab Microbiol Mol, Dept BIOGEM, Ave Italia 3318, Montevideo 11600, Uruguay.</t>
  </si>
  <si>
    <t>s.castro.sow@gmail.com</t>
  </si>
  <si>
    <t>Programa de Desarrollo de las Ciencias Basicas (PEDECIBA, Uruguay); Comision Sectorial de Investigacion Cientifica (CSIC) from the Universidad de la Republica (UdelaR, Uruguay) [C335-348]; Comision Academica de Posgrado (CAP, UdelaR); ANII</t>
  </si>
  <si>
    <t>Programa de Desarrollo de las Ciencias Basicas (PEDECIBA, Uruguay); Comision Sectorial de Investigacion Cientifica (CSIC) from the Universidad de la Republica (UdelaR, Uruguay); Comision Academica de Posgrado (CAP, UdelaR); ANII</t>
  </si>
  <si>
    <t>The authors thank the Instituto Antartico Uruguayo (IAU) for the logistic support during the stay in the Antarctic Artigas Base. CXGL, MAM and SCS are members of the Sistema Nacional de Investigadores (SNI) from the Agencia Nacional de Investigacion e Innovacion (ANII, Uruguay). This work was partially supported by the Programa de Desarrollo de las Ciencias Basicas (PEDECIBA, Uruguay) and the Comision Sectorial de Investigacion Cientifica (CSIC) from the Universidad de la Republica (UdelaR, Uruguay), project C335-348 (Iniciacion a la investigacion). The work of CXGL was supported by the Comision Academica de Posgrado (CAP, UdelaR) and ANII.</t>
  </si>
  <si>
    <t>10.1007/s42770-023-01135-7</t>
  </si>
  <si>
    <t>CD7H7</t>
  </si>
  <si>
    <t>WOS:001082377900001</t>
  </si>
  <si>
    <t>Michailova, P; Kovalenko, PA; Serga, S; Parnikoza, I; Kozeretska, I; Convey, P</t>
  </si>
  <si>
    <t>Michailova, Paraskeva; Kovalenko, Pavlo A.; Serga, Svitlana; Parnikoza, Ivan; Kozeretska, Iryna; Convey, Peter</t>
  </si>
  <si>
    <t>A chromosome map of Belgica antarctica Jacobs (Diptera: Chironomidae) from Antarctica, including chromosome variability</t>
  </si>
  <si>
    <t>Antarctic midge; chromosome aberrations; polytene chromosomes</t>
  </si>
  <si>
    <t>HEAVY-METAL POLLUTION; INVERSIONS; POPULATIONS; EVOLUTION; MIDGES; GENOME; LIMITS; SOUTH; RNA</t>
  </si>
  <si>
    <t>Belgica antarctica Jacobs (Diptera: Chironomidae) is the only endemic insect found in the Antarctic Peninsula region and has stimulated considerable research interest. Due to recent rapid changes in regional climate in Antarctica, there is growing interest in studying the responses of this species to environmental changes, in particular at the chromosomal level. Chromosomal inversions are known to play an important role in speciation and adaptation in many insect species, but their frequencies in natural populations are poorly understood. In the current study, we provide the first standard polytene chromosome map for B. antarctica, which will enable the precise location of chromosomal abnormalities in future studies. We further analysed chromosomal polymorphisms in fourth-instar larvae collected from two different locations on Galindez Island, Argentine Islands, western coast of the Antarctic Peninsula. We found four previously reported and two new inherited inversions, and we discuss their possible adaptive role in response to environmental stressors in the Antarctic Peninsula region. Our data provide a foundation for future studies exploring the potential role of B. antarctica chromosomal polymorphisms in adaptation to the changing environment.</t>
  </si>
  <si>
    <t>[Michailova, Paraskeva] Bulgarian Acad Sci, Inst Biodivers &amp; Ecosyst Res, Sofia 1000, Bulgaria; [Kovalenko, Pavlo A.] Natl Acad Sci Ukraine, Inst Evolutionary Ecol, UA-03143 Kiev, Ukraine; [Kovalenko, Pavlo A.; Serga, Svitlana; Parnikoza, Ivan; Kozeretska, Iryna] Natl Antarctic Sci Ctr Ukraine, UA-01601 Kiev, Ukraine; [Serga, Svitlana] Taras Shevchenko Natl Univ Kyiv, UA-01601 Kiev, Ukraine; [Serga, Svitlana] Univ Montpellier, CBGP, INRAE, CIRAD,IRD,SupAgro, F-34980 Montpellier, France; [Parnikoza, Ivan] Natl Acad Sci Ukraine, Inst Mol Biol &amp; Genet, UA-03143 Kiev, Ukraine; [Convey, Peter] NERC, British Antarctic Survey, Cambridge CB3 0ET, England; [Convey, Peter] Univ Johannesburg, Dept Zool, Auckland Pk, ZA-2006 Johannesburg, South Africa; [Convey, Peter] Millennium Inst Biodivers Antarctic &amp; Subantarct E, Santiago, Chile</t>
  </si>
  <si>
    <t>Bulgarian Academy of Sciences; National Academy of Sciences Ukraine; Ministry of Education &amp; Science of Ukraine; State Institution National Antarctic Scientific Center; Ministry of Education &amp; Science of Ukraine; Taras Shevchenko National University of Kyiv; CIRAD; Institut de Recherche pour le Developpement (IRD); INRAE; Universite de Montpellier; Institut Agro; Montpellier SupAgro; National Academy of Sciences Ukraine; Institute of Molecular Biology &amp; Genetics of NASU; UK Research &amp; Innovation (UKRI); Natural Environment Research Council (NERC); NERC British Antarctic Survey; University of Johannesburg</t>
  </si>
  <si>
    <t>Kovalenko, PA (corresponding author), Natl Acad Sci Ukraine, Inst Evolutionary Ecol, UA-03143 Kiev, Ukraine.;Kovalenko, PA (corresponding author), Natl Antarctic Sci Ctr Ukraine, UA-01601 Kiev, Ukraine.</t>
  </si>
  <si>
    <t>pavlo.kovalenko97@yahoo.com</t>
  </si>
  <si>
    <t>Kovalenko, Pavlo Andriiovych/AAZ-5679-2021; Kozeretska, Iryna/F-1383-2010</t>
  </si>
  <si>
    <t>Kovalenko, Pavlo Andriiovych/0000-0002-9533-3080; Kozeretska, Iryna/0000-0002-6485-1408; Serga, Svitlana/0000-0003-1875-3185; Ivan, Parnikoza/0000-0002-0490-8134</t>
  </si>
  <si>
    <t>We are sincerely grateful to Ina Aneva, Anna Ganeva, Snezhana Grozeva, Peter Ostoich, Petar Zhelev, Roumiana Metcheva and Mila Ihtimanska (Bulgarian Academy of Sciences) for their support and assistance. We also thank the participants of the 26th Ukrainian</t>
  </si>
  <si>
    <t>We are sincerely grateful to Ina Aneva, Anna Ganeva, Snezhana Grozeva, Peter Ostoich, Petar Zhelev, Roumiana Metcheva and Mila Ihtimanska (Bulgarian Academy of Sciences) for their support and assistance. We also thank the participants of the 26th Ukrainian Antarctic expedition for technical and logistical support in the organization of the sample collection. We certify that this work was made possible thanks to brave Ukrainian soldiers and the support of the entire progressive world in countering Russian aggression. The authors thank the reviewers and the editorial board for the recommendations that helped to improve the text and make it more accessible to readers.</t>
  </si>
  <si>
    <t>10.1017/S0954102023000202</t>
  </si>
  <si>
    <t>WOS:001075709500001</t>
  </si>
  <si>
    <t>Li, JM</t>
  </si>
  <si>
    <t>Li, Jingming</t>
  </si>
  <si>
    <t>Atmospheric rivers load Antarctic crust</t>
  </si>
  <si>
    <t>ASTRONOMY &amp; GEOPHYSICS</t>
  </si>
  <si>
    <t>[Li, Jingming] Southwest Forestry Univ, State Key Lab Geo Informat Engn, Xian &amp; Sch Civil Engn, Kunming, Yunnan, Peoples R China</t>
  </si>
  <si>
    <t>Southwest Forestry University - China</t>
  </si>
  <si>
    <t>1366-8781</t>
  </si>
  <si>
    <t>1468-4004</t>
  </si>
  <si>
    <t>ASTRON GEOPHYS</t>
  </si>
  <si>
    <t>Astron. Geophys.</t>
  </si>
  <si>
    <t>Astronomy &amp; Astrophysics; Geochemistry &amp; Geophysics</t>
  </si>
  <si>
    <t>LN9O9</t>
  </si>
  <si>
    <t>WOS:001187602500026</t>
  </si>
  <si>
    <t>Ali, AF; Phillips, RA; Anderson, RC</t>
  </si>
  <si>
    <t>Ali, A. Farhath; Phillips, Richard A.; Anderson, R. Charles</t>
  </si>
  <si>
    <t>LESSER NODDY ANOUS TENUIROSTRIS MIGRATION FROM A NON-BREEDING AREA IN THE NORTHERN MALDIVES TO A BREEDING SITE IN THE SEYCHELLES</t>
  </si>
  <si>
    <t>MARINE ORNITHOLOGY</t>
  </si>
  <si>
    <t>Anous tenuirostris; Lesser Noddy; Maldives; satellite-tracking; Seychelles</t>
  </si>
  <si>
    <t>TROPICAL SEABIRD COMMUNITY; TERNS STERNA-PARADISAEA; TRACKING; ISLAND</t>
  </si>
  <si>
    <t>The Lesser Noddy Anous tenuirostris occurs in large numbers in the northern Maldives during the northeast monsoon season (December to April). These birds do not breed in the Maldives, but their breeding site(s) are unknown. We attached GPS Argos satellite transmitters to seven Lesser Noddies roosting on Gallandhoo Island (Haa Alifu Atoll, northern Maldives) on 25 March 2022. Only one transmitter provided data, but it tracked the migration of one Lesser Noddy to the Seychelles, where the bird first roosted on the island of Poivre before moving to the large nesting colony on Cousine. The tracked bird departed the Maldives on 02 April and arrived in the Seychelles on 10 April, covering approximately 2 400 km in eight days. Our results highlight the potential benefit of enhanced cooperation and knowledge exchange between the Seychelles and Maldives for improving conservation of Lesser Noddies in the Indian Ocean.</t>
  </si>
  <si>
    <t>[Ali, A. Farhath] Maldives Wetlands Fdn, Male, Maldives; [Phillips, Richard A.] NERC, British Antarctic Survey, Madingley Rd, Cambridge CB3 0ET, England; [Anderson, R. Charles] Manta Marine, POB 2074, Male, Maldives</t>
  </si>
  <si>
    <t>Anderson, RC (corresponding author), Manta Marine, POB 2074, Male, Maldives.</t>
  </si>
  <si>
    <t>anderson@dhivehinet.net.mv</t>
  </si>
  <si>
    <t>PACIFIC SEABIRD GROUP</t>
  </si>
  <si>
    <t>Olympia</t>
  </si>
  <si>
    <t>c/o PSG Treasurer Pam Michael, PO Box 1292, Olympia, WA, UNITED STATES</t>
  </si>
  <si>
    <t>1018-3337</t>
  </si>
  <si>
    <t>2074-1235</t>
  </si>
  <si>
    <t>MAR ORNITHOL</t>
  </si>
  <si>
    <t>Mar. Ornithol.</t>
  </si>
  <si>
    <t>Marine &amp; Freshwater Biology; Ornithology</t>
  </si>
  <si>
    <t>KR8Z3</t>
  </si>
  <si>
    <t>WOS:001181797800005</t>
  </si>
  <si>
    <t>Dykyy, IV; Salganskiy, OO; Chernov, AP; Trokhymets, VM</t>
  </si>
  <si>
    <t>Dykyy, Ihor V.; Salganskiy, Olexander O.; Chernov, Anatolii P.; Trokhymets, Vladlen M.</t>
  </si>
  <si>
    <t>LONG-TERM DYNAMICS OF SEABIRD SPECIES COMPOSITION ACROSS THE DRAKE PASSAGE</t>
  </si>
  <si>
    <t>Drake Passage; ocean climate; seabirds; species composition</t>
  </si>
  <si>
    <t>COUNTING SEABIRDS; SEA</t>
  </si>
  <si>
    <t>We present standardized, quantitative information on the avifauna of the Drake Passage obtained during six crossings between Patagonia and the South Shetland Islands during the summer-autumn period, 1998- 2020. We compare inter-annual and seasonal patterns of species occurrence, adding to previous, published surveys, and we discuss species association with the different zones and water masses of the region.</t>
  </si>
  <si>
    <t>[Dykyy, Ihor V.] Ivan Franko Natl Univ Lviv, Univ St 1, UA-79000 Lvov, Ukraine; [Salganskiy, Olexander O.] Natl Univ Life &amp; Environm Sci Ukraine, Heroiv Oborony St 15, UA-03041 Kiev, Ukraine; [Chernov, Anatolii P.] Natl Antarctic Sci Ctr Ukraine, Taras Shevchenko Blvd 16, UA-01601 Kiev, Ukraine; [Trokhymets, Vladlen M.] Taras Shevchenko Natl Univ Kyiv, Hlushkova Ave 2, UA-03127 Kiev, Ukraine</t>
  </si>
  <si>
    <t>Ministry of Education &amp; Science of Ukraine; Ivan Franko National University Lviv; National University of Life &amp; Environmental Sciences of Ukraine; Ministry of Education &amp; Science of Ukraine; State Institution National Antarctic Scientific Center; Ministry of Education &amp; Science of Ukraine; Taras Shevchenko National University of Kyiv</t>
  </si>
  <si>
    <t>Trokhymets, VM (corresponding author), Taras Shevchenko Natl Univ Kyiv, Hlushkova Ave 2, UA-03127 Kiev, Ukraine.</t>
  </si>
  <si>
    <t>trokhymetsvladlen@gmail.com</t>
  </si>
  <si>
    <t>Trokhymets, Vladlen/0000-0001-6367-1897</t>
  </si>
  <si>
    <t>National Antarctic Scientific Center of Ukraine (Ministry of Education and Science of Ukraine); Taras Shevchenko National University of Kyiv; Ivan Franko National University of Lviv; National University of Life and Environmental Sciences of Ukraine</t>
  </si>
  <si>
    <t>The authors of this study express their gratitude to the National Antarctic Scientific Center of Ukraine (Ministry of Education and Science of Ukraine) for funding and organizing the Ukrainian Antarctic Expeditions, during which environmental monitoring was conducted. The authors are also grateful to the Taras Shevchenko National University of Kyiv, Ivan Franko National University of Lviv, and the National University of Life and Environmental Sciences of Ukraine for the full support of the original study. Thank you, too, to reviewers of our initial drafts.</t>
  </si>
  <si>
    <t>WOS:001181797800013</t>
  </si>
  <si>
    <t>Edney, AJ; Hart, T; Jessopp, MJ; Banks, A; Clarke, LE; Cugniere, L; Elliot, KH; Martinez, IJ; Kilcoyne, A; Murphy, M; Nager, RG; Ratcliffe, N; Thompson, DL; Ward, RM; Wood, MJ</t>
  </si>
  <si>
    <t>Edney, Alice J.; Hart, Tom; Jessopp, Mark J.; Banks, Alex; Clarke, Lucy E.; Cugniere, Laure; Elliot, Kyle H.; Martinez, Ignacio Juarez; Kilcoyne, Alexandra; Murphy, Matthew; Nager, Ruedi G.; Ratcliffe, Norman; Thompson, Danielle L.; Ward, Robin M.; Wood, Matt J.</t>
  </si>
  <si>
    <t>BEST PRACTICES FOR USING DRONES IN SEABIRD MONITORING AND RESEARCH</t>
  </si>
  <si>
    <t>drones; seabirds; remote sensing; monitoring; disturbance</t>
  </si>
  <si>
    <t>UNMANNED AERIAL VEHICLES; DISTURBANCE; WILDLIFE; SIZE; POPULATION; AIRCRAFT; COLONY; ISLAND; COUNT; PENGUINS</t>
  </si>
  <si>
    <t>Over the past decade, drones have become increasingly popular in environmental biology and have been used to study wildlife on all continents. Drones have become of global importance for surveying breeding seabirds by providing opportunities to transform monitoring techniques and allow new research on some of the most threatened birds. However, such fast-changing and increasingly available technology presents challenges to regulators responding to requests to carry out surveys and to researchers ensuring their work follows best practices and meets legal and ethical standards. Following a workshop convened at the 14th International Seabird Group Conference and a subsequent literature search, we collate information from over 100 studies and present a framework to ensure drone-seabird surveys are safe, effective, and within the law. The framework comprises eight steps: (1) Objectives and Feasibility; (2) Technology and Training; (3) Site Assessment and Permission; (4) Disturbance Mitigation; (5) Pre-deployment Checks; (6) Flying; (7) Data Handling and Analysis; and (8) Reporting. The audience is wide-ranging with sections having relevance for different users, including prospective and experienced drone-seabird pilots, landowners, and licensors. Regulations vary between countries and are frequently changing, but common principles exist. Taking-off, landing, and conducting in-flight changes in altitude and speed at &gt;= 50 m from the study area, and flying at &gt;= 50 m above ground-nesting seabirds/horizontal distance from vertical colonies, should have limited disturbance impact on many seabird species; however, surveys should stop if disturbance occurs. Compared to automated methods, manual or semi-automated image analyses are, at present, more suitable for infrequent drone surveys and surveys of relatively small colonies. When deciding if drone-seabird surveys are an appropriate monitoring method long-term, the cost, risks, and results obtained should be compared to traditional field monitoring where possible. Accurate and timely reporting of surveys is essential to developing adaptive guidelines for this increasingly common technology.</t>
  </si>
  <si>
    <t>[Edney, Alice J.; Martinez, Ignacio Juarez] Univ Oxford, Dept Biol, Oxford OX1 3SZ, Oxon, England; [Hart, Tom; Cugniere, Laure] Oxford Brookes Univ, Gypsy Lane, Oxford OX3 0BP, Oxon, England; [Jessopp, Mark J.] Univ Coll Cork, Sch Biol Earth &amp; Environm Sci, Cork T23 N73K, Ireland; [Jessopp, Mark J.] Univ Coll Cork, Environm Res Inst, MaREI Ctr, Cork P43 C573, Ireland; [Banks, Alex] Nat England, Exeter EX1 1QA, Devon, England; [Clarke, Lucy E.; Wood, Matt J.] Univ Gloucestershire, Sch Nat &amp; Social Sci, Cheltenham GL50 4AT, Glos, England; [Elliot, Kyle H.] McGill Univ, Dept Nat Resource Sci, Montreal, PQ H9X 3V9, Canada; [Kilcoyne, Alexandra] Nat England, Leeds LS11 9AT, W Yorkshire, England; [Murphy, Matthew] Nat Resources Wales, Bangor LL57 2DW, Gwynedd, Wales; [Nager, Ruedi G.] Univ Glasgow, Inst Biodivers Anim Hlth &amp; Comparat Med, Glasgow G12 8QQ, Lanark, Scotland; [Ratcliffe, Norman] British Antarctic Survey, Div Biol Sci, Cambridge CB3 0ET, Cambs, England; [Thompson, Danielle L.] Univ Aberdeen, Aberdeen AB24 3FX, Aberdeen, Scotland; [Ward, Robin M.] NIRAS UK, Cambridge CB3 0AJ, Cambs, England</t>
  </si>
  <si>
    <t>University of Oxford; Oxford Brookes University; University College Cork; University College Cork; University of Gloucestershire; McGill University; University of Glasgow; UK Research &amp; Innovation (UKRI); Natural Environment Research Council (NERC); NERC British Antarctic Survey; University of Aberdeen</t>
  </si>
  <si>
    <t>Edney, AJ (corresponding author), Univ Oxford, Dept Biol, Oxford OX1 3SZ, Oxon, England.</t>
  </si>
  <si>
    <t>alice.edney@biology.ox.ac.uk</t>
  </si>
  <si>
    <t>Edney, Alice/AAB-1345-2021; Thompson, Danielle/AAH-3085-2021</t>
  </si>
  <si>
    <t>Edney, Alice/0000-0003-1021-1533; Thompson, Danielle/0000-0003-2450-0459</t>
  </si>
  <si>
    <t>University of Gloucestershire's Environmental Dynamics and Governance RPA; Natural Environment Research Council DTP studentship [NE/S007474/1]</t>
  </si>
  <si>
    <t>University of Gloucestershire's Environmental Dynamics and Governance RPA; Natural Environment Research Council DTP studentship</t>
  </si>
  <si>
    <t>This review was conceptualised at the workshop Using UAVs in Seabird Research and Monitoring at the 2018 International Seabird Conference, which was organised and led by MJW. We would like to thank everyone who attended the workshop and contributed ideas. The research was funded by the University of Gloucestershire's Environmental Dynamics and Governance RPA (to MJW) and Natural Environment Research Council DTP studentship (grant NE/S007474/1 to AJE). We are also grateful to Fiona Suttle and anonymous reviewers who provided valuable feedback on the manuscript.</t>
  </si>
  <si>
    <t>WOS:001181797800017</t>
  </si>
  <si>
    <t>Karmalkar, M; Roman, L; Kastury, F; Arce, F; Swadling, KM</t>
  </si>
  <si>
    <t>Karmalkar, Madhuli; Roman, Lauren; Kastury, Farzana; Arce, Fernando; Swadling, Kerrie M.</t>
  </si>
  <si>
    <t>DIET ASSESSMENT AND VULNERABILITY OF WHITE-FACED STORM PETREL PELAGODROMA MARINA WITHIN A WARMING HOTSPOT</t>
  </si>
  <si>
    <t>White-faced Storm Petrel; Nyctiphanes australis; planktivorous seabirds; Bass Strait; sea surface temperatures; prey species; plastic ingestion.</t>
  </si>
  <si>
    <t>SEA-SURFACE TEMPERATURES; SHORT-TAILED SHEARWATERS; CLIMATE-CHANGE; SOUTHEASTERN AUSTRALIA; PLANKTIVOROUS SEABIRD; PLASTIC PARTICLES; FOOD AVAILABILITY; FEEDING ECOLOGY; BASS STRAIT; TASMANIA</t>
  </si>
  <si>
    <t>Shifts in zooplankton communities due to changing ocean climate can affect foraging patterns among planktivorous seabirds. To better understand seabird response to environmental change in Bass Strait, southeast Australia, we investigated the prey species and 16 elements in prey and feathers of the planktivorous White-faced Storm Petrel Pelagodroma marina. The krill Nyctiphanes australis was the most abundant prey species, followed by several species of post-larval fish; otherwise, the species appeared to be a generalist feeder. Element concentrations of feathers were not significantly influenced by dietary composition. Likewise, element concentrations did not significantly differ between major prey species, confirming that the nutritional profile of these species is likely linked to their seawater environment. Given that Whitefaced Storm Petrels in Bass Strait substantially rely on a narrow range of prey species, this may increase their vulnerability to events that change their availability. As coastal krill is highly sensitive to sea surface temperatures (SST), the increases in SST predicted under climate change scenarios may alter the timing and abundance of krill swarms, which in turn may affect planktivores, including White-faced Storm Petrels.</t>
  </si>
  <si>
    <t>[Karmalkar, Madhuli; Roman, Lauren; Arce, Fernando; Swadling, Kerrie M.] Univ Tasmania, Inst Marine &amp; Antarctic Studies, Hobart, Tas, Australia; [Roman, Lauren] CSIRO Oceans &amp; Atmosphere, Hobart, Tas 7004, Australia; [Kastury, Farzana] Univ South Australia, Future Ind Inst, STEM, South Australia 5095, Australia; [Arce, Fernando] Univ Massachusetts, Dept Environm Conservat, Amherst, MA USA; [Swadling, Kerrie M.] Univ Tasmania, Australian Antarctic Program Partnership, Hobart, Tas 7004, Australia</t>
  </si>
  <si>
    <t>University of Tasmania; Commonwealth Scientific &amp; Industrial Research Organisation (CSIRO); University of South Australia; University of Massachusetts System; University of Massachusetts Amherst; University of Tasmania</t>
  </si>
  <si>
    <t>Karmalkar, M (corresponding author), Univ Tasmania, Inst Marine &amp; Antarctic Studies, Hobart, Tas, Australia.</t>
  </si>
  <si>
    <t>madhulikarmalkar@gmail.com</t>
  </si>
  <si>
    <t>Kastury, Farzana/AAS-4944-2020</t>
  </si>
  <si>
    <t>Kastury, Farzana/0000-0001-5593-0414</t>
  </si>
  <si>
    <t>WOS:001181797800018</t>
  </si>
  <si>
    <t>Dziak, RP; Matsumoto, H; Haver, S; Mellinger, DK; Roche, L; Haxel, JH; Stalin, S; Meinig, C; Kohlman, K; Sremba, A; Gedamke, J; Hatch, L; Van Parijs, S</t>
  </si>
  <si>
    <t>Dziak, Robert P.; Matsumoto, Haru; Haver, Samara; Mellinger, David K.; Roche, Lauren; Haxel, Joseph H.; Stalin, Scott; Meinig, Christian; Kohlman, Katie; Sremba, Angie; Gedamke, Jason; Hatch, Leila; Van Parijs, Sofie</t>
  </si>
  <si>
    <t>QUANTIFYING THE OCEAN SOUNDSCAPE FROM WHALES TO WAVE ENERGYPMEL PASSIVE ACOUSTICS RESEARCH</t>
  </si>
  <si>
    <t>AXIAL SEAMOUNT; AMBIENT SOUND; ICE SHELF; ERUPTION; CALLS; VOLCANO</t>
  </si>
  <si>
    <t>Passive acoustic monitoring of the global ocean has increased dramatically over the last decade, providing insights into seasonal sea ice and wind/wave variability, biodiversity, geophysical hazards, and anthropogenic noise impacts. All of these phenomena are sentinels of marine ecosystem health and ocean climate change. Recognizing the utility of underwater sound, the Pacific Marine Environmental Laboratory (PMEL) formed a passive acoustic research program with the goal of quantifying deep-ocean and coastal soundscapes in support of NOAA's mission to conserve and manage marine ecosystems. PMEL Acoustics Program researchers have built a stable of novel ocean technologies, including autonomous stationary hydrophones, mobile platforms, and near-real-time surface buoys with satellite communication capability. These passive acoustic monitoring systems have been deployed in every major ocean basin on Earth, enabling significant advancements in understanding of natural and anthropogenic sounds. This progress includes evaluation of human-made sound levels across US waters, observations of ship noise fluctuations during the COVID-19 pandemic, and evaluation of noise levels from offshore wave-energy devices. Progress in natural sound research includes assessment of seasonal variability in the presence of endangered cetacean species due to population recovery and/or changing ocean temperatures as well as early detection of the collapse of an Antarctic ice shelf.</t>
  </si>
  <si>
    <t>[Dziak, Robert P.] NOAA, Pacit Marine Environm Lab PMEL, Newport, OR 97365 USA; [Matsumoto, Haru] Living Ocean Syst LLC, Newport, OR USA; [Haver, Samara; Mellinger, David K.; Roche, Lauren] Oregon State Univ, Cooperat Inst Marine Ecosyst &amp; Resources Studies, Newport, OR USA; [Haxel, Joseph H.] Pacific Northwest Natl Lab, Triton Initiat, Sequim, WA USA; [Stalin, Scott] NOAA PMEL, Seattle, WA USA; [Meinig, Christian] Pacific Northwest Natl Lab, Coastal Sci, Sequim, WA USA; [Kohlman, Katie] Univ Washington, Sch Oceanog, Seattle, WA 98195 USA; [Sremba, Angie] Oregon State Univ, CIMERS, Newport, OR USA; [Gedamke, Jason] NOAA, Off Sci &amp; Technol, Protected Species Sci Program, Silver Spring, MD USA; [Hatch, Leila] NOAA, Off Natl Marine Sanctuaries, Scituate, MA USA; [Van Parijs, Sofie] NOAA, Northeast Fisheries Sci Ctr, Woods Hole, MA USA</t>
  </si>
  <si>
    <t>National Oceanic Atmospheric Admin (NOAA) - USA; Oregon State University; United States Department of Energy (DOE); Pacific Northwest National Laboratory; National Oceanic Atmospheric Admin (NOAA) - USA; United States Department of Energy (DOE); Pacific Northwest National Laboratory; University of Washington; University of Washington Seattle; Oregon State University; National Oceanic Atmospheric Admin (NOAA) - USA; National Oceanic Atmospheric Admin (NOAA) - USA; National Oceanic Atmospheric Admin (NOAA) - USA</t>
  </si>
  <si>
    <t>Dziak, RP (corresponding author), NOAA, Pacit Marine Environm Lab PMEL, Newport, OR 97365 USA.</t>
  </si>
  <si>
    <t>robert.p.dziak@noaa.gov</t>
  </si>
  <si>
    <t>NOAA Ocean Exploration Program; National Marine Fisheries Office of Science and Technology; National Science Foundation; Office of Naval Research; US National Science Foundation; US Geological Survey, US Department of Energy, US National Park Service; Korean Polar Research Institute</t>
  </si>
  <si>
    <t>NOAA Ocean Exploration Program(National Oceanic Atmospheric Admin (NOAA) - USA); National Marine Fisheries Office of Science and Technology; National Science Foundation(National Science Foundation (NSF)); Office of Naval Research(Office of Naval Research); US National Science Foundation(National Science Foundation (NSF)); US Geological Survey, US Department of Energy, US National Park Service; Korean Polar Research Institute</t>
  </si>
  <si>
    <t>Our acoustics research was supported by the NOAA PMEL, NOAA Ocean Exploration Program, National Marine Fisheries Office of Science and Technology, the National Ocean Service Sanctuary Program, the National Science Foundation, and the Office of Naval Research. Additional support has been provided by the US National Science Foundation, US Geological Survey, US Department of Energy, US National Park Service, Oregon State University, and the Korean Polar Research Institute. We wish to thank the guest editor and three reviewers for their very helpful comments that greatly improved the manuscript. PMEL's passive acoustic research was made possible through visionary leadership and incredibly generous contribution of resources and insights from numerous colleagues; the complete list is provided in the online Supplementary Materials. All hydrophone data discussed in this paper are available upon request at https://pmel.noaa.gov/acoustics/or at the NCEI passive acoustics portal https://www.ncei.noaa.gov/products/passive-acoustic-data.This paper is NOAA PMEL contribution 5473.</t>
  </si>
  <si>
    <t>2-3</t>
  </si>
  <si>
    <t>KL1W1</t>
  </si>
  <si>
    <t>WOS:001180035000027</t>
  </si>
  <si>
    <t>Anker, A; Baldi, P; Barwick, SW; Beise, J; Besson, DZ; Chen, P; Gaswint, G; Glaser, C; Hallgren, A; Hanson, JC; Klein, SR; Kleinfelder, SA; Lahmann, R; Liu, J; Nam, J; Nelles, A; Paul, MP; Persichilli, C; Plaisier, ; Rice-Smith, R; Tatar, J; Terveer, K; Wang, SH; Zhao, L</t>
  </si>
  <si>
    <t>Anker, A.; Baldi, P.; Barwick, S. W.; Beise, J.; Besson, D. Z.; Chen, P.; Gaswint, G.; Glaser, C.; Hallgren, A.; Hanson, J. C.; Klein, S. R.; Kleinfelder, S. A.; Lahmann, R.; Liu, J.; Nam, J.; Nelles, A.; Paul, M. P.; Persichilli, C.; Plaisier, I; Rice-Smith, R.; Tatar, J.; Terveer, K.; Wang, S. -H.; Zhao, L.</t>
  </si>
  <si>
    <t>ARIANNA Collaboration</t>
  </si>
  <si>
    <t>Developing new analysis tools for near surface radio-based neutrino detectors</t>
  </si>
  <si>
    <t>JOURNAL OF COSMOLOGY AND ASTROPARTICLE PHYSICS</t>
  </si>
  <si>
    <t>Machine learning; neutrino astronomy; neutrino detectors; ultra high energy photons and neutrinos</t>
  </si>
  <si>
    <t>AIR-SHOWERS; ARIANNA; EMISSION</t>
  </si>
  <si>
    <t>The ARIANNA experiment is an Askaryan radio detector designed to measure high-energy neutrino induced cascades within the Antarctic ice. Ultra-high-energy neutrinos above 1016 eV have an extremely low flux, so experimental data captured at trigger level need to be classified correctly to retain as much neutrino signal as possible. We first describe two new physics-based neutrino selection methods, or cuts, (the updown and dipole cut) that extend the previously published analysis to a specialized ARIANNA station with 8 antenna channels, which is double the number used in the prior analysis. For a standard trigger with a threshold signal to noise ratio at 4.4, the new cuts produce a neutrino efficiency of &gt; 95% per station-year of operation, while rejecting 99.93% of the background (corresponding to 53 remaining experimental background events). When the new cuts are combined with a previously developed cut using neutrino waveform templates, all background is removed at no change of efficiency. In addition, the neutrino efficiency is extrapolated to 1,000 station-years of operation, obtaining 91%. This work then introduces a new selection method (the deep learning cut) to augment the identification of neutrino events by using deep learning methods and compares the efficiency to the physics-based analysis. The deep learning cut gives 99% signal efficiency per station-year of operation while rejecting 99.997% of the background (corresponding to 2 remaining experimental background events), which are subsequently re-moved by the waveform template cut at no significant change in efficiency. The results of the deep learning cut were verified using measured cosmic rays which shows that the simulations do not introduce artifacts with respect to experimental data. The paper demonstrates that the background rejection and signal efficiency of near surface antennas meets the require-ments of a large scale future array, as considered in baseline design of the radio component of IceCube-Gen2.</t>
  </si>
  <si>
    <t>[Anker, A.; Barwick, S. W.; Gaswint, G.; Paul, M. P.; Persichilli, C.; Rice-Smith, R.; Zhao, L.] Univ Calif Irvine, Dept Phys &amp; Astron, Irvine, CA 92697 USA; [Baldi, P.] Univ Calif Irvine, Dept Informat &amp; Comp Sci, Irvine, CA 92697 USA; [Beise, J.; Glaser, C.; Hallgren, A.] Uppsala Univ, Dept Phys &amp; Astron, SE-75237 Uppsala, Sweden; [Besson, D. Z.] Univ Kansas, Dept Phys &amp; Astron, Lawrence, KS 66045 USA; [Lahmann, R.; Nelles, A.; Plaisier, I; Terveer, K.] Friedrich Alexander Univ Erlangen Nurnberg, ECAP, D-91058 Erlangen, Germany; [Chen, P.; Liu, J.; Nam, J.; Wang, S. -H.] Natl Taiwan Univ, Leung Ctr Cosmol &amp; Particle Astrophys, Taipei 10617, Taiwan; [Chen, P.; Liu, J.; Nam, J.; Wang, S. -H.] Natl Taiwan Univ, Dept Phys, Taipei 10617, Taiwan; [Nelles, A.; Plaisier, I] Deutsch Elektronen Synchrotron DESY, D-15738 Zeuthen, Germany; [Hanson, J. C.] Whittier Coll, Dept Phys, Whittier, CA 90602 USA; [Klein, S. R.] Lawrence Berkeley Natl Lab, Berkeley, CA 94720 USA; [Kleinfelder, S. A.] Univ Calif Irvine, Dept Elect Engn &amp; Comp Sci, Irvine, CA 92697 USA; [Tatar, J.] Univ Calif Irvine, Res Cyberinfrastruct Ctr, Irvine, CA 92697 USA; [Zhao, L.] Johns Hopkins Univ, William H Miller III Dept Phys &amp; Astron, Baltimore, MD 21218 USA; [Anker, A.] SLAC Natl Accelerator Lab, Menlo Pk, CA 94025 USA</t>
  </si>
  <si>
    <t>University of California System; University of California Irvine; University of California System; University of California Irvine; Uppsala University; University of Kansas; University of Erlangen Nuremberg; National Taiwan University; National Taiwan University; Helmholtz Association; Deutsches Elektronen-Synchrotron (DESY); Whittier College; United States Department of Energy (DOE); Lawrence Berkeley National Laboratory; University of California System; University of California Irvine; University of California System; University of California Irvine; Johns Hopkins University; Stanford University; United States Department of Energy (DOE); SLAC National Accelerator Laboratory</t>
  </si>
  <si>
    <t>Anker, A (corresponding author), Univ Calif Irvine, Dept Phys &amp; Astron, Irvine, CA 92697 USA.;Anker, A (corresponding author), SLAC Natl Accelerator Lab, Menlo Pk, CA 94025 USA.</t>
  </si>
  <si>
    <t>aanker@slac.stanford.edu</t>
  </si>
  <si>
    <t>Lahmann, Robert/0009-0005-5493-1702</t>
  </si>
  <si>
    <t>U.S. National Science Foundation -Office of Polar Programs; U.S. National Science Foundation -Physics Division [NSF -1607719]; NSF [NRT 1633631]; U.S. Department of Energy [DE-AC02-05CH11231]; German research foundation (DFG) [GL 914/1-1, NE 2031/2-1]; Taiwan Ministry of Science and Technology; Swedish National Infrastructure for Computing (SNIC) at UPPMAX - Swedish Research Council [2018-05973]; Swedish Government strategic program Stand Up for Energy</t>
  </si>
  <si>
    <t>U.S. National Science Foundation -Office of Polar Programs(National Science Foundation (NSF)); U.S. National Science Foundation -Physics Division(National Science Foundation (NSF)); NSF(National Science Foundation (NSF)); U.S. Department of Energy(United States Department of Energy (DOE)); German research foundation (DFG)(German Research Foundation (DFG)); Taiwan Ministry of Science and Technology; Swedish National Infrastructure for Computing (SNIC) at UPPMAX - Swedish Research Council(Swedish Research Council); Swedish Government strategic program Stand Up for Energy</t>
  </si>
  <si>
    <t>We are grateful to the U.S. National Science Foundation -Office of Polar Programs, the U.S. National Science Foundation -Physics Division (grant NSF -1607719) for supporting the AR- IANNA array at Mo ore's Bay, and NSF grant NRT 1633631. This work was also supported by the U.S. Department of Energy under Contract No. DE-AC02-05CH11231. Without the invaluable contributions of the people at McMurdo Station, the ARIANNA stations would have never been built. We acknowledge funding from the German research foundation (DFG) under grants GL 914/1-1 and NE 2031/2-1, the Taiwan Ministry of Science and Technology, and the Swedish Government strategic program Stand Up for Energy. The computations and data handling were supported by resources provided by the Swedish National Infrastructure for Computing (SNIC) at UPPMAX partially funded by the Swedish Research Council through grant agreement no. 2018-05973.</t>
  </si>
  <si>
    <t>1475-7516</t>
  </si>
  <si>
    <t>J COSMOL ASTROPART P</t>
  </si>
  <si>
    <t>J. Cosmol. Astropart. Phys.</t>
  </si>
  <si>
    <t>10.1088/1475-7516/2023/10/060</t>
  </si>
  <si>
    <t>Astronomy &amp; Astrophysics; Physics, Particles &amp; Fields</t>
  </si>
  <si>
    <t>Astronomy &amp; Astrophysics; Physics</t>
  </si>
  <si>
    <t>Y2YN2</t>
  </si>
  <si>
    <t>Green Published, Green Submitted</t>
  </si>
  <si>
    <t>WOS:001103974500002</t>
  </si>
  <si>
    <t>Nie, YY; Yang, GT; Wang, HY; Qiao, XQ</t>
  </si>
  <si>
    <t>Nie Yangyang; Yang Guantao; Wang Haiyan; Qiao Xiaoqiang</t>
  </si>
  <si>
    <t>Modified styrene-maleic anhydride copolymer. based chromatographic stationary phase for phospholipid separation and analysis</t>
  </si>
  <si>
    <t>CHINESE JOURNAL OF CHROMATOGRAPHY</t>
  </si>
  <si>
    <t>styrene-maleic anhydride copolymer; chromatographic stationary phase; phospholipid;  click reaction; free radical polymerization</t>
  </si>
  <si>
    <t>Phospholipids are important signaling molecules, and their metabolism is closely re. lated to various diseases, such as neurodegenerative diseases and cancers. Phospholipids are typically characterized with extreme complexity and structural diversity. For example, phos. pholipids present in many different forms, such as sn position isomers, double. bond position isomers, double. bond stereochemical isomers, and enantiomers. Therefore, further research on novel separation and analytical techniques for phospholipids is of great importance. As an amphiphilic alternating copolymer, styrene. maleic anhydride copolymer ( SMA) can be inserted into the phospholipid bilayer of biofilms to form lipid nanodisks with membrane proteins as the centers, thereby solubilizing membrane proteins and phospholipids. Thus, the introduction of SMA into a chromatographic stationary phase can potentially improve the separation and analy. sis of phospholipids. In this paper, SMA was successfully grafted onto the surface of silica gel via the  click reaction and free radical polymerization. After further ring-opening modificationof SMA with methyl methionine hydrochloride ( MME center dot HCl), a novel SMA.modified stationary phase material ( Sil-SMA-MME) was fabricated. The Sil-SMA-MME stationary phase was char. acterized using thermogravimetric analysis and Fourier transform infrared spectroscopy ( FTIR), and the results indicated the successful fabrication of the target material. The retention mechanism of the packed Sil-SMA-MME chromatographic column was investigated using hydro- philic nucleosides and nucleic acid bases via high performance liquid chromatography ( HPLC) and UV detection. According to the retention characteristics of the nucleosides and nucleic acid bases in different mobile phases, the Sil-SMA-MME chromatographic column exhibited a typical hydrophilic.interaction. based retention mechanism, similar to that of a commercially available amino ( SiO2NH2) column. The separation performance of the Sil-SMA-MME column was eval. uated using three types of small.molecule substances, including amides, nucleoside / nucleic acid bases, and phenols. Cyanoacetamide, 2-iodoacetamide, benzamide, p. aminobenzamide, and nicotinamide were used to evaluate the chromatographic performance of the developed Sil-SMA-MME column. When acetonitrile. H2O (96 : 4, v / v) was used as the mobile phase, the five compounds exhibited good peak shapes and could be baseline. separated within 8 min. The high. est column efficiency achieved was 90 900 N / m. By contrast, under the same chromatographic conditions, the test substances were not separated effectively on the SiO2-NH2 column. Regard. less of the mobile phase ratio, the peaks of benzamide and 2. iodoacetamide overlapped. These results demonstrate that the developed Sil-SMA-MME column has good separation selectivity. The separation performance of the Sil-SMA-MME column for phospholipid samples was also in. vestigated by HPLC and evaporative light scattering detection ( ELSD) to explore its feasibility for phospholipid separation and analysis. Different phospholipid standards were used to evalu. ate the separation performance of the column. Under certain mobile phase conditions, baseline separation could be achieved for dipalmityl phosphatidyl serine sodium ( DPPS), diolyl phos. phatidyl choline ( DOPC), and dipalmityl phosphatidyl ethanolamine ( DPPE), as well as four phosphatidyl choline ( PC) standards, namely, lysophosphatidylcholine ( LysoPC), dimyristoyl phosphatidyl choline ( DMPC), distearyl phosphatidyl choline ( DSPC), and dipalmitoyl phos. phatidyl choline ( DPPC). The separation potential of the developed Sil-SMA-MME column was further evaluated by separating and analyzing phospholipid extracts from Antarctic krill oil and human serum. The results showed that the developed Sil-SMA-MME column has good potential for phospholipid separation and analysis.</t>
  </si>
  <si>
    <t>[Nie Yangyang; Wang Haiyan; Qiao Xiaoqiang] Hebei Univ, Sch Pharm, Baoding 071002, Peoples R China; [Yang Guantao] Baoding Qingyuan Peoples Hosp, Baoding 071100, Peoples R China</t>
  </si>
  <si>
    <t>Hebei University</t>
  </si>
  <si>
    <t>Qiao, XQ (corresponding author), Hebei Univ, Sch Pharm, Baoding 071002, Peoples R China.</t>
  </si>
  <si>
    <t>xiaoqiao@hbu.edu.cn</t>
  </si>
  <si>
    <t>National Natural Science Foundation of China [22274035]</t>
  </si>
  <si>
    <t>National Natural Science Foundation of China (No. 22274035).</t>
  </si>
  <si>
    <t>1000-8713</t>
  </si>
  <si>
    <t>CHIN J CHROMATOGR</t>
  </si>
  <si>
    <t>Chin. J. Chromatogr.</t>
  </si>
  <si>
    <t>10.3724/SP.J.1123.2023.02011</t>
  </si>
  <si>
    <t>IR1F3</t>
  </si>
  <si>
    <t>WOS:001167957700010</t>
  </si>
  <si>
    <t>Gregory, W; Bushuk, M; Adcroft, A; Zhang, YF; Zanna, L</t>
  </si>
  <si>
    <t>Gregory, William; Bushuk, Mitchell; Adcroft, Alistair; Zhang, Yongfei; Zanna, Laure</t>
  </si>
  <si>
    <t>Deep Learning of Systematic Sea Ice Model Errors From Data Assimilation Increments</t>
  </si>
  <si>
    <t>machine learning; data assimilation; sea ice; climate modeling; prediction; parameterization</t>
  </si>
  <si>
    <t>NUMERICAL WEATHER PREDICTION; CLIMATE-CHANGE; THICKNESS DISTRIBUTION; BIAS CORRECTION; FLOE SIZE; SATELLITE; ENSEMBLE; RHEOLOGY; IMPACT; RECORD</t>
  </si>
  <si>
    <t>Data assimilation is often viewed as a framework for correcting short-term error growth in dynamical climate model forecasts. When viewed on the time scales of climate however, these short-term corrections, or analysis increments, can closely mirror the systematic bias patterns of the dynamical model. In this study, we use convolutional neural networks (CNNs) to learn a mapping from model state variables to analysis increments, in order to showcase the feasibility of a data-driven model parameterization which can predict state-dependent model errors. We undertake this problem using an ice-ocean data assimilation system within the Seamless system for Prediction and EArth system Research (SPEAR) model, developed at the Geophysical Fluid Dynamics Laboratory, which assimilates satellite observations of sea ice concentration every 5 days between 1982 and 2017. The CNN then takes inputs of data assimilation forecast states and tendencies, and makes predictions of the corresponding sea ice concentration increments. Specifically, the inputs are states and tendencies of sea ice concentration, sea-surface temperature, ice velocities, ice thickness, net shortwave radiation, ice-surface skin temperature, sea-surface salinity, as well as a land-sea mask. We find the CNN is able to make skillful predictions of the increments in both the Arctic and Antarctic and across all seasons, with skill that consistently exceeds that of a climatological increment prediction. This suggests that the CNN could be used to reduce sea ice biases in free-running SPEAR simulations, either as a sea ice parameterization or an online bias correction tool for numerical sea ice forecasts. To make predictions of the Earth's climate system we use expensive computer simulations, called climate models. These models are not perfect however, as we often need to approximate certain physical laws in order to save on compute time. On the other hand we have observational climate data, however these data have limited space and time coverage and also contain errors because of noise and assumptions about how our measurements relate to the quantity we are interested in. Therefore we often use a process called data assimilation to combine our climate model predictions together with observations, to produce our best guess of the climate system. The difference between our best-guess-model and our original climate model prediction then gives us clues as to how wrong our original climate model is. In this work we use some fancy statistics, called machine learning, where we show a computer algorithm lots of examples of sea ice, atmosphere and ocean climate model predictions, and see if it can learn its own inherent sea ice errors. We find that it can do this well, which means that we can hopefully incorporate the machine learning algorithm into the original climate model to improve its future climate predictions. We show that sea ice data assimilation increments closely reflect the systematic bias patterns of a global ice-ocean modelConvolutional neural networks can make skillful predictions of sea ice data assimilation increments, using only model state variablesThe skillful predictions suggest the network could be used as a parameterization to reduce sea ice biases in free-running model simulations</t>
  </si>
  <si>
    <t>[Gregory, William; Adcroft, Alistair; Zhang, Yongfei] Princeton Univ, Atmospher &amp; Ocean Sci Program, Princeton, NJ 08540 USA; [Bushuk, Mitchell] NOAA, Geophys Fluid Dynam Lab, Princeton, NJ USA; [Zanna, Laure] NYU, Courant Inst Math Sci, New York, NY USA</t>
  </si>
  <si>
    <t>Princeton University; National Oceanic Atmospheric Admin (NOAA) - USA; National Oceanic Atmospheric Admin (NOAA) - USA; New York University</t>
  </si>
  <si>
    <t>Gregory, W (corresponding author), Princeton Univ, Atmospher &amp; Ocean Sci Program, Princeton, NJ 08540 USA.</t>
  </si>
  <si>
    <t>wg4031@princeton.edu</t>
  </si>
  <si>
    <t>Zanna, Laure/HPG-1772-2023; Bushuk, Mitch/L-7032-2015; Adcroft, Alistair/E-5949-2010</t>
  </si>
  <si>
    <t>Zanna, Laure/0000-0002-8472-4828; Adcroft, Alistair/0000-0001-9413-1017; Gregory, William/0000-0001-8176-1642</t>
  </si>
  <si>
    <t>Schmidt Futures program</t>
  </si>
  <si>
    <t>William Gregory, Mitchell Bushuk, Alistair Adcroft and Laure Zanna received M2LInES research funding by the generosity of Eric and Wendy Schmidt by recommendation of the Schmidt Futures program. This work was also intellectually supported by various other members of the M2LInES project, as well as being supported through the provisions of computational resources from the National Oceanic and Atmospheric Administration (NOAA) Geophysical Fluid Dynamics Laboratory (GFDL). We also thank Spencer Clark and Zachary Labe for their invaluable feedback on this article.</t>
  </si>
  <si>
    <t>e2023MS003757</t>
  </si>
  <si>
    <t>10.1029/2023MS003757</t>
  </si>
  <si>
    <t>AN6R6</t>
  </si>
  <si>
    <t>WOS:001119189700001</t>
  </si>
  <si>
    <t>Rignot, E</t>
  </si>
  <si>
    <t>Rignot, Eric</t>
  </si>
  <si>
    <t>Observations of grounding zones are the missing key to understand ice melt in Antarctica</t>
  </si>
  <si>
    <t>Ice melt processes that take place at the ice-ocean boundary of Greenland and Antarctic glaciers play a pivotal role in their evolution and contribution to sea-level rise, but widespread observations in these regions are lacking. A major observational initiative will be necessary to drastically reduce uncertainties in projections and better prepare society for sea-level rise.</t>
  </si>
  <si>
    <t>[Rignot, Eric] Univ Calif Irvine, Dept Earth Syst Sci, Irvine, CA 92697 USA; [Rignot, Eric] Univ Calif Irvine, Dept Civil &amp; Environm Engn, Irvine, CA 92697 USA; [Rignot, Eric] CALTECH, Jet Prop Lab, 4800 Oak Grove Dr, Pasadena, CA 91125 USA</t>
  </si>
  <si>
    <t>University of California System; University of California Irvine; University of California System; University of California Irvine; National Aeronautics &amp; Space Administration (NASA); NASA Jet Propulsion Laboratory (JPL); California Institute of Technology</t>
  </si>
  <si>
    <t>Rignot, E (corresponding author), Univ Calif Irvine, Dept Earth Syst Sci, Irvine, CA 92697 USA.;Rignot, E (corresponding author), Univ Calif Irvine, Dept Civil &amp; Environm Engn, Irvine, CA 92697 USA.;Rignot, E (corresponding author), CALTECH, Jet Prop Lab, 4800 Oak Grove Dr, Pasadena, CA 91125 USA.</t>
  </si>
  <si>
    <t>erignot@uci.edu</t>
  </si>
  <si>
    <t>Rignot, Eric/A-4560-2014</t>
  </si>
  <si>
    <t>Rignot, Eric/0000-0002-3366-0481</t>
  </si>
  <si>
    <t>10.1038/s41558-023-01819-w</t>
  </si>
  <si>
    <t>HC2L4</t>
  </si>
  <si>
    <t>WOS:001157223900011</t>
  </si>
  <si>
    <t>Ryzhova, DA; Kosnyreva, MV; Dubinin, EP; Bulychev, AA</t>
  </si>
  <si>
    <t>Ryzhova, D. A.; Kosnyreva, M. V.; Dubinin, E. P.; Bulychev, A. A.</t>
  </si>
  <si>
    <t>The Heterogeneous Structure of the Lithosphere of the Antarctic Sector of the South Atlantic According to the Results of Density Modeling</t>
  </si>
  <si>
    <t>MOSCOW UNIVERSITY GEOLOGY BULLETIN</t>
  </si>
  <si>
    <t>South Atlantic; tectonosphere; 2D density modeling; submarine rises; crustal structure</t>
  </si>
  <si>
    <t>The results of density modeling of the tectonosphere structure in the Antarctic sector of the South Atlantic Ocean are presented. The modeling was carried out along the profiles stretching from the Falkland Plateau to the Mozambique Ridge and crossing a series of submarine rises and ridges separated by deep-sea basins. Studies show that the crust of this region has a heterogeneous structure and the crust underlying the rises is of a different structure, indicating different origins of the respective rises.</t>
  </si>
  <si>
    <t>[Ryzhova, D. A.; Kosnyreva, M. V.; Dubinin, E. P.; Bulychev, A. A.] Moscow MV Lomonosov State Univ, Dept Geol, Moscow 119991, Russia</t>
  </si>
  <si>
    <t>Lomonosov Moscow State University</t>
  </si>
  <si>
    <t>Ryzhova, DA; Kosnyreva, MV; Dubinin, EP; Bulychev, AA (corresponding author), Moscow MV Lomonosov State Univ, Dept Geol, Moscow 119991, Russia.</t>
  </si>
  <si>
    <t>dasha_0292r@mail.ru; m.kosnyreva@yandex.ru; edubinin08@rambler.ru; aabul@geophys.geol.msu.ru</t>
  </si>
  <si>
    <t>The work was supported by the Russian Science Foundation, project no. 22-27-00110.</t>
  </si>
  <si>
    <t>0145-8752</t>
  </si>
  <si>
    <t>1934-8436</t>
  </si>
  <si>
    <t>MOSC UNIV GEOL BULL</t>
  </si>
  <si>
    <t>Mosc. Univ. Geol. Bull.</t>
  </si>
  <si>
    <t>10.3103/S0145875223050113</t>
  </si>
  <si>
    <t>HG1O1</t>
  </si>
  <si>
    <t>WOS:001158249600007</t>
  </si>
  <si>
    <t>Bastmeijer, K; Shibata, A; Steinhage, I; Ferrada, LV; Bloom, ET</t>
  </si>
  <si>
    <t>Bastmeijer, Kees; Shibata, Akiho; Steinhage, Imme; Ferrada, Luis Valentin; Bloom, Evan T.</t>
  </si>
  <si>
    <t>Regulating Antarctic Tourism: The Challenge of Consensus-Based Decision Making</t>
  </si>
  <si>
    <t>AMERICAN JOURNAL OF INTERNATIONAL LAW</t>
  </si>
  <si>
    <t>In the 2022-2023 season, more than 104,000 tourists visited Antarctica. This represents an increase of more than 40 percent compared to the 2019-2020 pre-pandemic season. This Current Development discusses this trend and the limits of the Antarctic Treaty Consultative Parties, which govern on the basis of consensus, in responding with regulatory action. Options for strengthening regulation in this area are also considered.</t>
  </si>
  <si>
    <t>[Bastmeijer, Kees] Univ Groningen, Groningen, Netherlands; [Shibata, Akiho] Kobe Univ, Kobe, Japan; [Steinhage, Imme] Tilburg Univ, Tilburg, Netherlands; [Ferrada, Luis Valentin] Univ Chile, Providencia, Chile; [Bloom, Evan T.] Woodrow Wilson Int Ctr Scholars, Washington, DC USA</t>
  </si>
  <si>
    <t>University of Groningen; Kobe University; Tilburg University; Universidad de Chile</t>
  </si>
  <si>
    <t>Bastmeijer, K (corresponding author), Univ Groningen, Groningen, Netherlands.</t>
  </si>
  <si>
    <t>Ferrada, Luis Valentin/J-9334-2016</t>
  </si>
  <si>
    <t>Ferrada, Luis Valentin/0000-0002-9769-4664; Shibata, Akiho/0000-0002-8201-9412</t>
  </si>
  <si>
    <t>0002-9300</t>
  </si>
  <si>
    <t>2161-7953</t>
  </si>
  <si>
    <t>AM J INT LAW</t>
  </si>
  <si>
    <t>Am. J. Int. Law</t>
  </si>
  <si>
    <t>10.1017/ajil.2023.34</t>
  </si>
  <si>
    <t>International Relations; Law</t>
  </si>
  <si>
    <t>X6QB0</t>
  </si>
  <si>
    <t>Bronze, Green Published</t>
  </si>
  <si>
    <t>WOS:001099663500003</t>
  </si>
  <si>
    <t>Wahlgren, S; Thomson, J; Biddle, LC; Swart, S</t>
  </si>
  <si>
    <t>Wahlgren, S.; Thomson, J.; Biddle, L. C.; Swart, S.</t>
  </si>
  <si>
    <t>Direct Observations of Wave-Sea Ice Interactions in the Antarctic Marginal Ice Zone</t>
  </si>
  <si>
    <t>wave-sea ice interactions; wave attenuation; marginal ice zone; ocean waves; sea ice</t>
  </si>
  <si>
    <t>OCEAN WAVES; ATTENUATION</t>
  </si>
  <si>
    <t>Wave energy propagating into the Antarctic marginal ice zone effects the quality and extent of the sea ice, and wave propagation is therefore an important factor for understanding and predicting changes in sea ice cover. Wave-sea ice interactions are notoriously hard to model and in situ observations of wave activity in the Antarctic marginal ice zone are scarce, due to the extreme conditions of the region. Here, we provide new in situ data from two drifting Surface Wave Instrument Float with Tracking (SWIFT) buoys deployed in the Weddell Sea in the austral winter and spring of 2019. The buoy location ranges from open water to more than 200 km into the sea ice. We estimate the attenuation of swell with wave periods 8-18 s, and find an attenuation coefficient alpha = 4 center dot 10-6 to 7 center dot 10-5 m-1 in spring, and approximately five-fold larger in winter. The attenuation coefficients show a power law frequency dependence, with power coefficient close to literature. The in situ data also shows a change in wave direction, where wave direction tends to be more perpendicular to the ice edge in sea ice compared to open water. A possible explanation for this might be a change in the dispersion relation caused by sea ice. These observations can help shed further light on the influence of sea ice on waves propagating into marginal ice zones, aiding development of coupled wave-sea ice models. Changes in the sea ice extent around Antarctica affects the global climate, and it is therefore important to accurately represent sea ice in climate models. One feature that is generally missing in climate models is the interaction between ocean waves and sea ice. Ocean waves change the sea ice, for example, by breaking up ice floes into smaller ones. At the same time, the sea ice reduces the strength of the waves so that the wave height decreases and eventually disappears far into the sea ice. How far into the sea ice waves reach depends both on the size of the waves and on the sea ice, and can be very different depending on for example, ice thickness, size of floes and age. In order to better represent the wave-sea ice interactions in climate models, simple but accurate models of how fast sea ice reduces the strength of waves is needed. Using wave buoys, we measured the wave activity in the Antarctic sea ice during two expeditions in 2019. We found a notable difference between spring and winter, where the waves were reduced much faster in winter than in spring. This can help to improve predictions of sea ice cover. SWIFT buoy data show that frequency dependence of wave attenuation in Antarctic sea ice follows a power lawBoth wave attenuation and the frequency dependence of attenuation were stronger in austral winter than in springObservations suggest a change in wave direction in sea ice compared to open water</t>
  </si>
  <si>
    <t>[Wahlgren, S.; Biddle, L. C.; Swart, S.] Univ Gothenburg, Dept Marine Sci, Gothenburg, Sweden; [Thomson, J.] Univ Washington, Appl Phys Lab, Seattle, WA USA; [Swart, S.] Univ Cape Town, Dept Oceanog, Rondebosch, South Africa</t>
  </si>
  <si>
    <t>University of Gothenburg; University of Washington; University of Washington Seattle; University of Cape Town</t>
  </si>
  <si>
    <t>Wahlgren, S (corresponding author), Univ Gothenburg, Dept Marine Sci, Gothenburg, Sweden.</t>
  </si>
  <si>
    <t>stina.wahlgren@gu.se</t>
  </si>
  <si>
    <t>Wahlgren, Stina/KHW-0352-2024; Thomson, Jim/C-7610-2012; Swart, Sebastiaan/U-5498-2017</t>
  </si>
  <si>
    <t>Biddle, Louise/0000-0002-4785-1959; Thomson, Jim/0000-0002-8929-0088; Swart, Sebastiaan/0000-0002-2251-8826</t>
  </si>
  <si>
    <t>Swedish Research Council [VR 2019-04400, STNT180910357293]; European Union [821001]; VR Grant [2020-04281]; SANAP</t>
  </si>
  <si>
    <t>Swedish Research Council(Swedish Research Council); European Union(European Union (EU)); VR Grant; SANAP</t>
  </si>
  <si>
    <t>This work was supported by the following Grants of S. Swart: Wallenberg Academy Fellowship (WAF 2015.0186), Swedish Research Council (VR 2019-04400), STINT-NRF Mobility Grant (STNT180910357293). S. Swart has received funding from the European Unions Horizon 2020 research and innovation program under Grant agreement no. 821001 (SO-CHIC). L.C Biddles time was supported by the VR Grant 2020-04281. Alex de Klerk and Joe Talbert built and prepared the SWIFT buoys. We thank Sea Technology Services (STS), SANAP, the Captain, and crew of the S.A. Agulhas II for their field-work/technical assistance. We also thank Isabelle Giddy, Hanna Rosenthal, Johan M. Edholm, Kevin Thielen and all other participants of the SCALE cruises who helped with deployment, spotting and recovery of the SWIFT buoys. We thank two anonymous reviewers for their comments that helped improve this paper.</t>
  </si>
  <si>
    <t>e2023JC019948</t>
  </si>
  <si>
    <t>10.1029/2023JC019948</t>
  </si>
  <si>
    <t>T0JV8</t>
  </si>
  <si>
    <t>WOS:001074945700001</t>
  </si>
  <si>
    <t>Wilson, EA; Bonan, DB; Thompson, AF; Armstrong, N; Riser, SC</t>
  </si>
  <si>
    <t>Wilson, Earle A.; Bonan, David B.; Thompson, Andrew F.; Armstrong, Natalie; Riser, Stephen C.</t>
  </si>
  <si>
    <t>Mechanisms for Abrupt Summertime Circumpolar Surface Warming in the Southern Ocean</t>
  </si>
  <si>
    <t>Southern Ocean; Ocean dynamics; Extreme events; Mixed layer; Climate variability; Subseasonal variability</t>
  </si>
  <si>
    <t>ANTARCTIC SEA-ICE; MIXED-LAYER DEPTH; MARINE HEATWAVES; VARIABILITY; TRENDS; EDDIES; MODEL</t>
  </si>
  <si>
    <t>In recent years, the Southern Ocean has experienced unprecedented surface warming and sea ice loss}a stark reversal of the sea ice expansion and surface cooling that prevailed over the preceding decades. Here, we examine the mechanisms that led to the abrupt circumpolar surface warming events that occurred in late 2016 and 2019 and assess the role of internal climate variability. A mixed layer heat budget analysis reveals that these recent circumpolar surface warming events were triggered by a weakening of the circumpolar westerlies, which decreased northward Ekman transport and accelerated the seasonal shoaling of the mixed layer. We emphasize the underappreciated effect of the latter mechanism, which played a dominant role and amplified the warming effect of air-sea heat fluxes during months of peak solar insolation. An examination of the CESM1 large ensemble demonstrates that these recent circumpolar warming events are consistent with the internal variability associated with the Southern Annular Mode (SAM), whereby negative SAM in austral spring favors shallower mixed layers and anomalously high summertime SST. A key insight from this analysis is that the seasonal phasing of springtime mixed layer depth shoaling is an important contributor to summertime SST variability in the Southern Ocean. Thus, future Southern Ocean summertime SST extremes will depend on the coevolution of mixed layer depth and surface wind variability.</t>
  </si>
  <si>
    <t>[Wilson, Earle A.] Stanford Univ, Dept Earth Syst Sci, Stanford, CA 94305 USA; [Bonan, David B.; Thompson, Andrew F.] CALTECH, Environm Sci &amp; Engn, Pasadena, CA 91125 USA; [Armstrong, Natalie] Johns Hopkins Univ, Dept Environm Hlth &amp; Engn, Baltimore, MD USA; [Riser, Stephen C.] Univ Washington, Sch Oceanog, Seattle, WA 98195 USA</t>
  </si>
  <si>
    <t>Stanford University; California Institute of Technology; Johns Hopkins University; University of Washington; University of Washington Seattle</t>
  </si>
  <si>
    <t>Wilson, EA (corresponding author), Stanford Univ, Dept Earth Syst Sci, Stanford, CA 94305 USA.</t>
  </si>
  <si>
    <t>earlew@stanford.edu</t>
  </si>
  <si>
    <t>Bonan, David/0000-0003-3867-6009</t>
  </si>
  <si>
    <t>Caltech's Terrestrial Hazard Observations and Reporting Center; National Science Foundation Graduate Research Fellowship Program (NSF) [DGE-1745301]; NSF Award [OCE-1756956]; Internal Research and Technology Development program - National Science Foundation, Division of Polar Programs [NSF PLR-1425989, OPP-1936222]; NOAA as part of the U.S. Argo Program [NA20OAR4320271]</t>
  </si>
  <si>
    <t>Caltech's Terrestrial Hazard Observations and Reporting Center; National Science Foundation Graduate Research Fellowship Program (NSF); NSF Award(National Science Foundation (NSF)); Internal Research and Technology Development program - National Science Foundation, Division of Polar Programs; NOAA as part of the U.S. Argo Program</t>
  </si>
  <si>
    <t>E.A.W. acknowledges support from Caltech's Terrestrial Hazard Observations and Reporting Center. D.B.B. was supported by the National Science Foundation Graduate Research Fellowship Program (NSF Grant DGE-1745301). A.F.T. received support from NSF Award OCE-1756956 and the Internal Research and Technology Development program (Earth 2050), Jet Propulsion Laboratory, California Institute of Technology. E.A.W. and S.C.R. received support through the SOCCOM Project, funded by the National Science Foundation, Division of Polar Programs (NSF PLR-1425989 and OPP-1936222). E.A.W. and S.C.R. also received funding from NOAA as part of the U.S. Argo Program via Grant NA20OAR4320271 to the University of Washington. We thank Edward Doddridge and an anonymous referee for insightful feedback that substantially improved the quality of this manuscript.</t>
  </si>
  <si>
    <t>10.1175/JCLI-D-22-0501.1</t>
  </si>
  <si>
    <t>GC9F4</t>
  </si>
  <si>
    <t>WOS:001150576000002</t>
  </si>
  <si>
    <t>Ogungbuyi, MG; Mohammed, C; Ara, I; Fischer, AM; Harrison, MT</t>
  </si>
  <si>
    <t>Ogungbuyi, Michael Gbenga; Mohammed, Caroline; Ara, Iffat; Fischer, Andrew M.; Harrison, Matthew Tom</t>
  </si>
  <si>
    <t>Advancing Skyborne Technologies and High-Resolution Satellites for Pasture Monitoring and Improved Management: A Review</t>
  </si>
  <si>
    <t>AI; end user; grassland management; land-use; machine learning; pasture biomass; satellite; species composition; sustainability; unmanned aerial vehicle</t>
  </si>
  <si>
    <t>NET PRIMARY PRODUCTION; ABOVEGROUND BIOMASS; RANGELAND DEGRADATION; LANDSAT-TM; GRAZING INTENSITY; PRECISION AGRICULTURE; GRASSLAND VEGETATION; HYPERSPECTRAL DATA; TALLGRASS PRAIRIE; TIBETAN PLATEAU</t>
  </si>
  <si>
    <t>The timely and accurate quantification of grassland biomass is a prerequisite for sustainable grazing management. With advances in artificial intelligence, the launch of new satellites, and perceived efficiency gains in the time and cost of the quantification of remote methods, there has been growing interest in using satellite imagery and machine learning to quantify pastures at the field scale. Here, we systematically reviewed 214 journal articles published between 1991 to 2021 to determine how vegetation indices derived from satellite imagery impacted the type and quantification of pasture indicators. We reveal that previous studies have been limited by highly spatiotemporal satellite imagery and prognostic analytics. While the number of studies on pasture classification, degradation, productivity, and management has increased exponentially over the last five years, the majority of vegetation parameters have been derived from satellite imagery using simple linear regression approaches, which, as a corollary, often result in site-specific parameterization that become spurious when extrapolated to new sites or production systems. Few studies have successfully invoked machine learning as retrievals to understand the relationship between image patterns and accurately quantify the biophysical variables, although many studies have purported to do so. Satellite imagery has contributed to the ability to quantify pasture indicators but has faced the barrier of monitoring at the paddock/field scale (20 hectares or less) due to (1) low sensor (coarse pixel) resolution, (2) infrequent satellite passes, with visibility in many locations often constrained by cloud cover, and (3) the prohibitive cost of accessing fine-resolution imagery. These issues are perhaps a reflection of historical efforts, which have been directed at the continental or global scales, rather than at the field level. Indeed, we found less than 20 studies that quantified pasture biomass at pixel resolutions of less than 50 hectares. As such, the use of remote sensing technologies by agricultural practitioners has been relatively low compared with the adoption of physical agronomic interventions (such as 'no-till' practices). We contend that (1) considerable opportunity for advancement may lie in fusing optical and radar imagery or hybrid imagery through the combination of optical sensors, (2) there is a greater accessibility of satellite imagery for research, teaching, and education, and (3) developers who understand the value proposition of satellite imagery to end users will collectively fast track the advancement and uptake of remote sensing applications in agriculture.</t>
  </si>
  <si>
    <t>[Ogungbuyi, Michael Gbenga; Mohammed, Caroline; Ara, Iffat; Harrison, Matthew Tom] Univ Tasmania, Tasmanian Inst Agr, Launceston, Tas 7248, Australia; [Fischer, Andrew M.] Univ Tasmania, Inst Marine &amp; Antarctic Studies, Launceston, Tas 7248, Australia</t>
  </si>
  <si>
    <t>Ogungbuyi, MG (corresponding author), Univ Tasmania, Tasmanian Inst Agr, Launceston, Tas 7248, Australia.</t>
  </si>
  <si>
    <t>michael.ogungbuyi@utas.edu.au; caroline.mohammed@utas.edu.au; iffat.ara@utas.edu.au; andy.fischer@utas.edu.au; matthew.harrison@utas.edu.au</t>
  </si>
  <si>
    <t>Harrison, Matthew Tom/C-2434-2014; Harrison, Matthew/F-3843-2010</t>
  </si>
  <si>
    <t>Ogungbuyi, Michael Gbenga/0000-0003-1745-2700; Harrison, Matthew/0000-0001-7425-452X</t>
  </si>
  <si>
    <t>M.G.O. acknowledges the funding received from the Australian Government and the University of Tasmania. Special acknowledgment to Bethany Melville for providing helpful feedback on the original draft of the manuscript.; Australian Government; University of Tasmania</t>
  </si>
  <si>
    <t>M.G.O. acknowledges the funding received from the Australian Government and the University of Tasmania. Special acknowledgment to Bethany Melville for providing helpful feedback on the original draft of the manuscript.; Australian Government(Australian Government); University of Tasmania</t>
  </si>
  <si>
    <t>M.G.O. acknowledges the funding received from the Australian Government and the University of Tasmania. Special acknowledgment to Bethany Melville for providing helpful feedback on the original draft of the manuscript.</t>
  </si>
  <si>
    <t>10.3390/rs15194866</t>
  </si>
  <si>
    <t>FK3F6</t>
  </si>
  <si>
    <t>WOS:001145625800001</t>
  </si>
  <si>
    <t>Bakunov, NA; Bolshiyanov, DY; Aksenov, AO</t>
  </si>
  <si>
    <t>Bakunov, N. A.; Bolshiyanov, D. Yu.; Aksenov, A. O.</t>
  </si>
  <si>
    <t>137Cs Migration and Profile in Bottom Sediments of Deep Drainage Lakes, North-Western Russia</t>
  </si>
  <si>
    <t>RADIOCHEMISTRY</t>
  </si>
  <si>
    <t>Cs-137; lakes; bottom sediments; Cs-137 inventory; sorption; diffusion</t>
  </si>
  <si>
    <t>ACCUMULATION</t>
  </si>
  <si>
    <t>Modern contamination of lake-river systems bottom sediments with global and Chernobyl Cs-137 is estimated. Drainage lakes of North-Western Russia were investigated. Lake Kopanskoe, located south of the Gulf of Finland, is on the Chernobyl Cs-137 fallout plume, whereas Ladoga, Sukhodolskoe, Vuoksa, Imandra lakes are located at its periphery, in Karelia and Kola Peninsula. Following parameters are distinguished: lakes bottom Cs-137 contamination density (kBq/m(2)), distribution of Cs-137 in the profile of bottom sediments, Cs-137 diffusion coefficients (D) in bottom sediments and content of the exchange chemical form of the radionuclide. Cs-137 contamination of the lakes was formed due to suspended matter sedimentation with Cs-137, Cs-137 sorption and diffusion in bottom sediments. With sedimentation &gt;= 3 mm/year, the concentration of Cs-137 increased from the top to the bottom of the core (lakes Vuoksa, Ekostrovskaya Imandra), reflecting the gradual process of Cs-137 migration into the sediments. The opposite trend of Cs-137 concentration was observed in the bottom sediments of lakes Ladoga and Sukhodolskoe with sedimentation &lt;= 0.5 mm/year. Here Cs-137 diffusion with D = (0.5-6.2) x 10(-8) cm(2)/s caused slow radionuclide transfer in the bottom sediments. The main inventory of Cs-137 was contained in the top layer 0-5 cm. In Lake Sukhodolskoye bottom sediments an absorbed Cs-137 in an exchange chemical form, extracted into 1 \M NH4Ac solution, amount only 14.4-20%.</t>
  </si>
  <si>
    <t>[Bakunov, N. A.; Bolshiyanov, D. Yu.; Aksenov, A. O.] Arctic &amp; Antarctic Res Inst, St Petersburg 199397, Russia</t>
  </si>
  <si>
    <t>Aksenov, AO (corresponding author), Arctic &amp; Antarctic Res Inst, St Petersburg 199397, Russia.</t>
  </si>
  <si>
    <t>aksenov2801@gmail.com</t>
  </si>
  <si>
    <t>Аксенов, Алексей/T-5712-2017</t>
  </si>
  <si>
    <t>Аксенов, Алексей/0000-0002-4950-4571</t>
  </si>
  <si>
    <t>Russian Science Foundation [23-24-00319]</t>
  </si>
  <si>
    <t>The study was supported by the Russian Science Foundation grant no. 23-24-00319. https://rscf.ru/project/23-24-00319/.</t>
  </si>
  <si>
    <t>1066-3622</t>
  </si>
  <si>
    <t>1608-3288</t>
  </si>
  <si>
    <t>RADIOCHEMISTRY+</t>
  </si>
  <si>
    <t>Radiochemistry</t>
  </si>
  <si>
    <t>10.1134/S1066362223050090</t>
  </si>
  <si>
    <t>Chemistry, Analytical; Chemistry, Inorganic &amp; Nuclear</t>
  </si>
  <si>
    <t>AZ2G6</t>
  </si>
  <si>
    <t>WOS:001122197000008</t>
  </si>
  <si>
    <t>Park, H; Lim, SJ; Cosme, J; O'Connell, K; Sandeep, J; Gayanilo, F; Cutter, GR ; Montes, E; Nitikitpaiboon, C; Fisher, S; Moustahfid, H; Thompson, LR</t>
  </si>
  <si>
    <t>Park, Helen; Lim, Shen Jean; Cosme, Jonathan; O'Connell, Kyle; Sandeep, Jilla; Gayanilo, Felimon; Cutter, George R., Jr.; Montes, Enrique; Nitikitpaiboon, Chotinan; Fisher, Sam; Moustahfid, Hassan; Thompson, Luke R.</t>
  </si>
  <si>
    <t>Investigation of machine learning algorithms for taxonomic classification of marine metagenomes</t>
  </si>
  <si>
    <t>metagenomics; machine learning; marine microbiology</t>
  </si>
  <si>
    <t>Microbial communities play key roles in ocean ecosystems through regulation of biogeochemical processes such as carbon and nutrient cycling, food web dynamics, and gut microbiomes of invertebrates, fish, reptiles, and mammals. Assessments of marine microbial diversity are therefore critical to understanding spatiotemporal variations in microbial community structure and function in ocean ecosystems. With recent advances in DNA shotgun sequencing for metagenome samples and computational analysis, it is now possible to access the taxonomic and genomic content of ocean microbial communities to study their structural patterns, diversity, and functional potential. However, existing taxonomic classification tools depend upon manually curated phylogenetic trees, which can create inaccuracies in metagenomes from less well-characterized communities, such as from ocean water. Herein, we explore the utility of deep learning tools-DeepMicrobes and a novel Residual Network architecture-that leverage natural language processing and convolutional neural network architectures to map input sequence data (k-mers) to output labels (taxonomic groups) without reliance on a curated taxonomic tree. We trained both models using metagenomic reads simulated from marine microbial genomes in the MarRef database. The performance of both models (accuracy, precision, and percent microbe predicted) was compared with the standard taxonomic classification tool Kraken2 using 10 complex metagenomic data sets simulated from MarRef. Our results demonstrate that time, compute power, and microbial genomic diversity still pose challenges for machine learning (ML). Moreover, our results suggest that high genome coverage and rectification of class imbalance are prerequisites for a well-trained model, and therefore should be a major consideration in future ML work. IMPORTANCE Taxonomic profiling of microbial communities is essential to model microbial interactions and inform habitat conservation. This work develops approaches in constructing training/testing data sets from publicly available marine metagenomes and evaluates the performance of machine learning (ML) approaches in read-based taxonomic classification of marine metagenomes. Predictions from two models are used to test accuracy in metagenomic classification and to guide improvements in ML approaches. Our study provides insights on the methods, results, and challenges of deep learning on marine microbial metagenomic data sets. Future machine learning approaches can be improved by rectifying genome coverage and class imbalance in the training data sets, developing alternative models, and increasing the accessibility of computational resources for model training and refinement.</t>
  </si>
  <si>
    <t>[Park, Helen] Tsinghua Univ, Sch Life Sci, Ctr Synthet &amp; Syst Biol, Tsinghua Peking Ctr Life Sci, Beijing, Peoples R China; [Park, Helen] Univ Manchester, EPSRC Synthet Biol Res Ctr SYNBIOCHEM, EPSRC BBSRC Future Biomanufacturing Res Hub, Manchester, Lancs, England; [Park, Helen] Univ Manchester, Sch Chem, Manchester, Lancs, England; [Lim, Shen Jean; Montes, Enrique] Univ Miami, Cooperat Inst Marine &amp; Atmospher Studies, Rosenstiel Sch Marine Atmospher &amp; Earth Sci, Miami, FL USA; [Lim, Shen Jean; Montes, Enrique; Thompson, Luke R.] NOAA, Ocean Chem &amp; Ecosystems Div, Atlant Oceanog &amp; Meteorol Lab, Miami, FL 33165 USA; [Lim, Shen Jean] Univ S Florida, Coll Marine Sci, St Petersburg, FL USA; [Cosme, Jonathan] Run AI, Off CTO, Tel Aviv, Israel; [O'Connell, Kyle; Fisher, Sam] Deloitte Consulting LLP, Biomed Data Sci Team, Arlington, VA USA; [O'Connell, Kyle] Smithsonian Inst, Dept Vertebrate Zool, Natl Museum Nat Hist, Washington, DC USA; [Sandeep, Jilla; Gayanilo, Felimon] Texas A&amp;M Univ Corpus Christi, Harte Res Inst, Corpus Christi, TX USA; [Cutter, George R., Jr.] NOAA, Southwest Fisheries Sci Ctr, Antarctic Ecosyst Res Div, La Jolla, CA USA; [Nitikitpaiboon, Chotinan] Univ Tokyo, Dept Computat Biol &amp; Med Sci, Grad Sch Frontier Sci, Tokyo, Japan; [Moustahfid, Hassan] NOAA, US Integrated Ocean Observing Syst IOOS, Silver Spring, MD USA; [Thompson, Luke R.] Mississippi State Univ, Northern Gulf Inst, Mississippi State, MS USA</t>
  </si>
  <si>
    <t>Tsinghua University; University of Manchester; University of Manchester; University of Miami; National Oceanic Atmospheric Admin (NOAA) - USA; Atlantic Oceanographic &amp; Meteorological Laboratory (AOML); State University System of Florida; University of South Florida; Deloitte Touche Tohmatsu Limited; Smithsonian Institution; Smithsonian National Museum of Natural History; Texas A&amp;M University System; Texas A&amp;M University Corpus Christi; National Oceanic Atmospheric Admin (NOAA) - USA; University of Tokyo; National Oceanic Atmospheric Admin (NOAA) - USA; Mississippi State University</t>
  </si>
  <si>
    <t>Thompson, LR (corresponding author), NOAA, Ocean Chem &amp; Ecosystems Div, Atlant Oceanog &amp; Meteorol Lab, Miami, FL 33165 USA.</t>
  </si>
  <si>
    <t>luke.thompson@noaa.gov</t>
  </si>
  <si>
    <t>Thompson, Luke R./Z-3344-2019</t>
  </si>
  <si>
    <t>Thompson, Luke R./0000-0002-3911-1280; Lim, Shen Jean/0000-0003-4578-5318</t>
  </si>
  <si>
    <t>National Oceanic and Atmospheric Administration [NA21OAR4320190]; DOC \ National Oceanic and Atmospheric Administration (NOAA) [NA20OAR4320472]</t>
  </si>
  <si>
    <t>National Oceanic and Atmospheric Administration(National Oceanic Atmospheric Admin (NOAA) - USA); DOC \ National Oceanic and Atmospheric Administration (NOAA)(National Oceanic Atmospheric Admin (NOAA) - USA)</t>
  </si>
  <si>
    <t>National Oceanic and Atmospheric Administration NA21OAR4320190 Luke R. Thompson; DOC vertical bar National Oceanic and Atmospheric Administration (NOAA) NA20OAR4320472 Shen Jean Lim</t>
  </si>
  <si>
    <t>e05237-22</t>
  </si>
  <si>
    <t>10.1128/spectrum.05237-22</t>
  </si>
  <si>
    <t>Y7VQ2</t>
  </si>
  <si>
    <t>WOS:001107303900244</t>
  </si>
  <si>
    <t>Su, Y; Zhang, WJ; Liang, YT; Wang, HM; Liu, YD; Zheng, KY; Liu, ZQ; Yu, H; Ren, LY; Shao, HB; Sung, YY; Mok, WJ; Wong, LL; Zhang, YZ; McMinn, A; Wang, M</t>
  </si>
  <si>
    <t>Su, Yue; Zhang, Wenjing; Liang, Yantao; Wang, Hongmin; Liu, Yundan; Zheng, Kaiyang; Liu, Ziqi; Yu, Hao; Ren, Linyi; Shao, Hongbing; Sung, Yeong Yik; Mok, Wen Jye; Wong, Li Lian; Zhang, Yu-Zhong; McMinn, Andrew; Wang, Min</t>
  </si>
  <si>
    <t>Identification and genomic analysis of temperate Halomonas bacteriophage vB_HmeY_H4907 from the surface sediment of the Mariana Trench at a depth of 8,900 m</t>
  </si>
  <si>
    <t>temperate phage; Halomonas; genomic analysis; Suviridae; hadal sediment; Mariana Trench</t>
  </si>
  <si>
    <t>HALOTOLERANT BACTERIA; GENE-EXPRESSION; PHAGE; SEQUENCE; DNA; VIRUSES; TAIL; REVEAL; VENT</t>
  </si>
  <si>
    <t>Viruses play crucial roles in the ecosystem by modulating the host community structure, mediating biogeochemical cycles, and compensating for the metabolism of host cells. Mariana Trench, the world's deepest hadal habitat, harbors a variety of unique microorganisms that have adapted to its extreme conditions of low temperatures, high pressure, and nutrient scarcity. However, our knowledge about isolated hadal phage strains in the hadal trench is still limited. This study reported the discovery of a temperate phage, vB_HmeY_H4907, infecting Halomonas meridiana H4907, isolated from surface sediment from the Mariana Trench at a depth of 8,900 m. To our best knowledge, it is the deepest isolated siphovirus from the ocean. Its 40,452 bp linear dsDNA genome has 57.64% GC content and 55 open reading frames, and it is highly homologous to its host. Phylogenetic analysis and average nucleotide sequence identification reveal that vB_HmeY_H4907 is separated from the isolated phages and represents a new family, Suviridae, with eight predicted proviruses and six uncultured viral genomes. They are widely distributed in the ocean, suggesting a prevalence of this viral family in the deep sea. These findings expand our understanding of the phylogenetic diversity and genomic features of hadal lysogenic phages, provide essential information for further studies of phage-host interactions and evolution, and may reveal new insights into the lysogenic lifestyles of viruses inhabiting the hadal ocean. IMPORTANCE Halomonas phage vB_HmeY_H4907 is the deepest isolated siphovirus from the ocean, and it represents a novel abundant viral family in the ocean. This study provides insights into the genomic, phylogenetic, and ecological characteristics of the new viral family, namely, Suviridae.</t>
  </si>
  <si>
    <t>[Su, Yue; Zhang, Wenjing; Liang, Yantao; Wang, Hongmin; Liu, Yundan; Zheng, Kaiyang; Yu, Hao; Ren, Linyi; Shao, Hongbing; Zhang, Yu-Zhong; McMinn, Andrew; Wang, Min] Ocean Univ China, Inst Evolut &amp; Marine Biodivers, Coll Marine Life Sci, Frontiers Sci Ctr Deep Ocean,Ctr Ocean Carbon Neu, Qingdao, Peoples R China; [Zhang, Wenjing] Shanghai Jiao Tong Univ, Sch Oceanog, Shanghai, Peoples R China; [Liang, Yantao; Shao, Hongbing; Sung, Yeong Yik; Mok, Wen Jye; Wong, Li Lian; Wang, Min] UMT OUC Joint Acad Ctr Marine Studies, Qingdao, Peoples R China; [Liu, Ziqi] Hiroshima Univ, Sch Integrated Arts &amp; Sci, Dept Integrated Global Studies, Hiroshima, Japan; [Sung, Yeong Yik; Mok, Wen Jye; Wong, Li Lian] Univ Malaysia Terengganu, Inst Marine Biotechnol, Kuala Terengganu, Malaysia; [Zhang, Yu-Zhong] Shandong Univ, Marine Biotechnol Res Ctr, State Key Lab Microbial Technol, Qingdao, Peoples R China; [McMinn, Andrew] Univ Tasmania, Inst Marine &amp; Antarctic Studies, Hobart, Tas, Australia; [Wang, Min] Ocean Univ China, Haide Coll, Qingdao, Peoples R China; [Wang, Min] Qingdao Univ, Affiliated Hosp, Qingdao, Peoples R China</t>
  </si>
  <si>
    <t>Ocean University of China; Shanghai Jiao Tong University; Hiroshima University; Universiti Malaysia Terengganu; Shandong University; University of Tasmania; Ocean University of China; Qingdao University</t>
  </si>
  <si>
    <t>Liang, YT; Wang, M (corresponding author), Ocean Univ China, Inst Evolut &amp; Marine Biodivers, Coll Marine Life Sci, Frontiers Sci Ctr Deep Ocean,Ctr Ocean Carbon Neu, Qingdao, Peoples R China.;Liang, YT; Wang, M (corresponding author), UMT OUC Joint Acad Ctr Marine Studies, Qingdao, Peoples R China.;Wang, M (corresponding author), Ocean Univ China, Haide Coll, Qingdao, Peoples R China.;Wang, M (corresponding author), Qingdao Univ, Affiliated Hosp, Qingdao, Peoples R China.</t>
  </si>
  <si>
    <t>Center for High Performance Computing and System Simulation, Pilot National Laboratory for Marine Science and Technology (Qingdao); Marine Big Data Center of the Institute for Advanced Ocean Study of the Ocean University of China; IEMB-1; Laoshan Laboratory [LSKJ202203201]; National Key Research and Development Program of China [2022YFC2807500]; National Natural Science Foundation of China [42120104006, 41976117, 42176111]; Fundamental Research Funds for the Central Universities [202172002, 201812002]</t>
  </si>
  <si>
    <t>Center for High Performance Computing and System Simulation, Pilot National Laboratory for Marine Science and Technology (Qingdao); Marine Big Data Center of the Institute for Advanced Ocean Study of the Ocean University of China; IEMB-1; Laoshan Laboratory; National Key Research and Development Program of China; National Natural Science Foundation of China(National Natural Science Foundation of China (NSFC)); Fundamental Research Funds for the Central Universities(Fundamental Research Funds for the Central Universities)</t>
  </si>
  <si>
    <t>We are thankful for the support of the high-performance servers of the Center for High Performance Computing and System Simulation, Pilot National Laboratory for Marine Science and Technology (Qingdao), the Marine Big Data Center of the Institute for Advanced Ocean Study of the Ocean University of China, the IEMB-1, a high-performance computing cluster operated by the Institute of Evolution and Marine Biodiversity, and the Marine Big Data Center of the Institute for Advanced Ocean Study of the Ocean University of China.; This study was supported by the Laoshan Laboratory (No. LSKJ202203201), the National Key Research and Development Program of China (2022YFC2807500), the National Natural Science Foundation of China (Nos. 42120104006, 41976117, and 42176111), and the Fundamental Research Funds for the Central Universities (202172002, 201812002, and Andrew McMinn).; Y. Liang and M.W.: supervision, conceptualization, project administration, and funding acquisition. Y.S.: methodology, writing, and original draft preparation. W.Z.: phage isolation. H.W., Y. Liu, and K.Z.: genome analysis and software. Z.L., H.Y., and L.R.: data curation and visualization. H.S., Y.S., W.J.M., L.L.W., and A.M.: review and editing. Y.-Z.Z.: provision of bacterial strains. All authors contributed to the article and approved the submitted version.; The authors declare that they have no conflicts of interest regarding this study.</t>
  </si>
  <si>
    <t>e01912-23</t>
  </si>
  <si>
    <t>10.1128/spectrum.01912-23</t>
  </si>
  <si>
    <t>WOS:001107303900149</t>
  </si>
  <si>
    <t>Convey, P</t>
  </si>
  <si>
    <t>Convey, Peter</t>
  </si>
  <si>
    <t>The joys of returning to in-person conferences - in an age of travel judgement</t>
  </si>
  <si>
    <t>[Convey, Peter] British Antarctic Survey, Cambridge, England</t>
  </si>
  <si>
    <t>Convey, P (corresponding author), British Antarctic Survey, Cambridge, England.</t>
  </si>
  <si>
    <t>10.1017/S0954102023000299</t>
  </si>
  <si>
    <t>WOS:001093926400001</t>
  </si>
  <si>
    <t>Evangelista, H; Prado, LF; Gorodetskaya, IV; Passos, HR; Villela, FN; Sampaio, M; dos Santos, EA; de Brito, CMC</t>
  </si>
  <si>
    <t>Evangelista, Heitor; Prado, Luciana F.; Gorodetskaya, Irina V.; Passos, Heber Reis; Villela, Franco Nadal; Sampaio, Marcelo; dos Santos, Elaine Alves; de Brito, Carla M. C.</t>
  </si>
  <si>
    <t>The June 2022 extreme warm event in central West Antarctica</t>
  </si>
  <si>
    <t>Atmospheric rivers; climate change; Criosfera 1; extreme events; heatwave; West Antarctica</t>
  </si>
  <si>
    <t>ATMOSPHERIC RIVERS; OCEAN</t>
  </si>
  <si>
    <t>The Antarctic surface mass balance has been shown to be sensitive to the impacts of atmospheric rivers (ARs), which bring anomalous amounts of both moisture and heat from lower latitudes poleward. Therefore, describing the characteristics of ARs and their intensity and frequency in the Antarctic regions by applying detection algorithms became a key method to evaluating their impacts on the surface mass balance and melting events. Several intense AR events have influenced Antarctica during the year 2022, and here we report an event with a peak on 10 June 2022 that was detected at 84 degrees S, having a potential impact on West Antarctica. The extreme warm event originated in the Southern Pacific subtropical region and evolved towards the Southern Ocean, crossing the northern Antarctic Peninsula, before reaching as far as most inland regions in Antarctica, different from other typical ARs that are mostly restricted to the continental coast. Key pointsAtmospheric river impacts extend beyond the Antarctic coast, reaching the continental ice sheet.The 10 June 2022 extreme warm event at 84 degrees S was the warmest of the last 10 years.Reanalyses (ERA5, NCEP, JRA-55) were able to detect extreme warm events in central Antarctica.</t>
  </si>
  <si>
    <t>[Evangelista, Heitor; dos Santos, Elaine Alves; de Brito, Carla M. C.] Rio Janeiro State Univ, LARAMG, Pavilhao Haroldo L Cunha, Rua Sao Francisco Xavier 524, Maracana, RJ, Brazil; [Prado, Luciana F.] Rio Janeiro State Univ, Fac Oceanog, Rua Sao Francisco Xavier 524, 4 Andar,Bloco E, Rio De Janeiro, RJ, Brazil; [Gorodetskaya, Irina V.] Univ Porto, Interdisciplinary Ctr Marine &amp; Environm Res CIIMAR, Matosinhos, Portugal; [Passos, Heber Reis; Sampaio, Marcelo] Natl Inst Space Res INPE, Astronautas, 1758, Sao Jose Dos Campos, SP, Brazil; [Villela, Franco Nadal] Inst Nacl Meteorol INMET, Alameda Campinas 433, Sao Paulo, SP, Brazil</t>
  </si>
  <si>
    <t>Universidade do Porto; Instituto Nacional de Pesquisas Espaciais (INPE)</t>
  </si>
  <si>
    <t>Prado, LF (corresponding author), Rio Janeiro State Univ, Fac Oceanog, Rua Sao Francisco Xavier 524, 4 Andar,Bloco E, Rio De Janeiro, RJ, Brazil.</t>
  </si>
  <si>
    <t>luciana.prado@uerj.br</t>
  </si>
  <si>
    <t>Prado, Luciana Figueiredo/M-9312-2019; Gorodetskaya, Irina V./K-1987-2015</t>
  </si>
  <si>
    <t>Prado, Luciana Figueiredo/0000-0002-6446-8986;</t>
  </si>
  <si>
    <t>PROANTAR; INCT-Criosfera/MCTI/CNPq (CNPq) [465680/2014-3]; FAPERJ [E-26/201.218/2021]; CNPq [316162/2021-3]; Uerj/PROINFRA; FCT (Fundacao para a Ciencia e a Tecnologia) [UIDB/04423/2020, UIDP/04423/2020, 2021.03140.CEECIND, CIRCNA/CAC/0273/2019]</t>
  </si>
  <si>
    <t>PROANTAR; INCT-Criosfera/MCTI/CNPq (CNPq)(Conselho Nacional de Desenvolvimento Cientifico e Tecnologico (CNPQ)Fundacao de Apoio a Pesquisa do Distrito Federal (FAPDF)); FAPERJ(Fundacao Carlos Chagas Filho de Amparo a Pesquisa do Estado do Rio De Janeiro (FAPERJ)); CNPq(Conselho Nacional de Desenvolvimento Cientifico e Tecnologico (CNPQ)); Uerj/PROINFRA; FCT (Fundacao para a Ciencia e a Tecnologia)(Fundacao para a Ciencia e a Tecnologia (FCT))</t>
  </si>
  <si>
    <t>This paper is a contribution to the Year of Polar Prediction in the Southern Hemisphere (YOPP-SH) international initiative and to the Scientific Committee on Antarctic Research (SCAR) scientific research programme AntClimNow. We thank PROANTAR and INCT-Criosfera/MCTI/CNPq (CNPq 465680/2014-3) for the scientific logistical support in Antarctica and the financial support. We acknowledge the grants under the FAPERJ Project E-26/201.218/2021, CNPq project 316162/2021-3 and Uerj/PROINFRA 2022 project for supporting the research. We thanks Climate Reanalyzer, Climate Change Institute, University of Maine (USA) for providing the air temperature map anomalies in Supplementary Information S3 (https://ClimateReanalyzer.org) and the British Antarctic Survey (BAS) meteorological service for providing data from Halley Station. IVG acknowledges the support provided by the strategic funding to CIIMAR (UIDB/04423/2020, UIDP/04423/2020), 2021.03140.CEECIND and Project ATLACE (CIRCNA/CAC/0273/2019) through national funds provided by FCT (Fundacao para a Ciencia e a Tecnologia). We thank the reviewer for their valuable inputs regarding the original manuscript.</t>
  </si>
  <si>
    <t>10.1017/S0954102023000238</t>
  </si>
  <si>
    <t>WOS:001093926400002</t>
  </si>
  <si>
    <t>Lubin, D; Ghiz, ML; Castillo, S; Scott, RC; Leblanc, SE; Silber, I</t>
  </si>
  <si>
    <t>Lubin, Dan; Ghiz, Madison L.; Castillo, Sergio; Scott, Ryan C.; Leblanc, Samuel E.; Silber, Israel</t>
  </si>
  <si>
    <t>A Surface Radiation Balance Dataset from Siple Dome in West Antarctica for Atmospheric and Climate Model Evaluation</t>
  </si>
  <si>
    <t>Antarctica; Ice shelves; Clouds; Radiation; Instrumentation/sensors; Model evaluation/performance</t>
  </si>
  <si>
    <t>CLOUD OPTICAL-THICKNESS; ICE-SHEET RETREAT; EFFECTIVE RADIUS; SPECTRAL METHOD; ENERGY BALANCE; MASS-BALANCE; MELT; MICROPHYSICS; AEROSOL; DRIVEN</t>
  </si>
  <si>
    <t>A field campaign at Siple Dome in West Antarctica during the austral summer 2019/20 offers an opportu-nity to evaluate climate model performance, particularly cloud microphysical simulation. Over Antarctic ice sheets and ice shelves, clouds are a major regulator of the surface energy balance, and in the warm season their presence occasionally induces surface melt that can gradually weaken an ice shelf structure. This dataset from Siple Dome, obtained using trans-portable and solar-powered equipment, includes surface energy balance measurements, meteorology, and cloud remote sensing. To demonstrate how these data can be used to evaluate model performance, comparisons are made with meteoro-logical reanalysis known to give generally good performance over Antarctica (ERA5). Surface albedo measurements show expected variability with observed cloud amount, and can be used to evaluate a model's snowpack parameterization. One case study discussed involves a squall with northerly winds, during which ERA5 fails to produce cloud cover throughout one of the days. A second case study illustrates how shortwave spectroradiometer measurements that encompass the 1.6 -mm atmospheric window reveal cloud phase transitions associated with cloud life cycle. Here, continuously precipitating mixed-phase clouds become mainly liquid water clouds from local morning through the afternoon, not reproduced by ERA5. We challenge researchers to run their various regional or global models in a manner that has the large-scale meteorology follow the conditions of this field campaign, compare cloud and radiation simulations with this Siple Dome dataset, and potentially in-vestigate why cloud microphysical simulations or other model components might produce discrepancies with these observations. SIGNIFICANCE STATEMENT: Antarctica is a critical region for understanding climate change and sea level rise, as the great ice sheets and the ice shelves are subject to increasing risk as global climate warms. Climate models have difficulties over Antarctica, particularly with simulation of cloud properties that regulate snow surface melting or refreezing. Atmospheric and climate-related field work has significant challenges in the Antarctic, due to the small number of research stations that can support state-of-the-art equipment. Here we present new data from a suite of transportable and solar-powered instruments that can be deployed to remote Antarctic sites, including regions where ice shelves are most at risk, and we demonstrate how key components of climate model simulations can be evaluated against these data.</t>
  </si>
  <si>
    <t>[Lubin, Dan] Scripps Inst Oceanog, La Jolla, CA 92093 USA; [Ghiz, Madison L.] DNV, San Diego, CA USA; [Castillo, Sergio] Univ Texas Austin, Austin, TX USA; [Scott, Ryan C.] NASA, Langley Res Ctr, Hampton, VA USA; [Leblanc, Samuel E.] Bay Area Environm Res Inst, Moffett Field, CA USA; [Leblanc, Samuel E.] NASA, Ames Res Ctr, Moffett Field, CA USA; [Silber, Israel] Penn State Univ, University Pk, PA USA</t>
  </si>
  <si>
    <t>University of California System; University of California San Diego; Scripps Institution of Oceanography; University of Texas System; University of Texas Austin; National Aeronautics &amp; Space Administration (NASA); NASA Langley Research Center; National Aeronautics &amp; Space Administration (NASA); NASA Ames Research Center; Pennsylvania Commonwealth System of Higher Education (PCSHE); Pennsylvania State University; Pennsylvania State University - University Park</t>
  </si>
  <si>
    <t>Lubin, D (corresponding author), Scripps Inst Oceanog, La Jolla, CA 92093 USA.</t>
  </si>
  <si>
    <t>dlubin@ucsd.edu</t>
  </si>
  <si>
    <t>Silber, Israel/0000-0001-6588-2145</t>
  </si>
  <si>
    <t>U.S. Depart-ment of Energy Atmospheric System Research Program [OCE-1659793]; [DE-SC0021004]</t>
  </si>
  <si>
    <t>U.S. Depart-ment of Energy Atmospheric System Research Program;</t>
  </si>
  <si>
    <t>We thank Jenn Danis and Kyler Hale ( U.S. Antarctic Program) for outstanding field camp support, and Dean Einerson ( U.S. Antarctic Program) for outstanding logistical support. The field program was supported by the National Science Foundation (NSF) under OPP-1744954. Data analysis was supported by the U.S. Department of Energy under DE-SC0021974. S. Castillo was supported by the NSF under a Research Experiences for Undergraduates (REU) award to the Scripps Institution of Oceanography,OCE-1659793. I. Silber was supported by the U.S. Department of Energy Atmospheric System Research Program under Grant DE-SC0021004.r OCE-1659793. I. Silber was supported by the U.S. Depart-ment of Energy Atmospheric System Research Program un-der Grant DE-SC0021004.</t>
  </si>
  <si>
    <t>10.1175/JCLI-D-22-0731.1</t>
  </si>
  <si>
    <t>Y7BI6</t>
  </si>
  <si>
    <t>WOS:001106772300001</t>
  </si>
  <si>
    <t>Chen, XY; Li, SL; Zhang, C; Liu, DY</t>
  </si>
  <si>
    <t>Chen, Xue-Yang; Li, Shuang-Lin; Zhang, Chao; Liu, Dong-Yan</t>
  </si>
  <si>
    <t>Snow algal blooms in Antarctic King George Island in 2017-2022 and their future trend based on CMIP6 projection</t>
  </si>
  <si>
    <t>ADVANCES IN CLIMATE CHANGE RESEARCH</t>
  </si>
  <si>
    <t>Antarctic Peninsula; Snow algal bloom; Meteorological conditions; Satellite images; Future projection</t>
  </si>
  <si>
    <t>WINDMILL ISLANDS; CONTINENTAL ANTARCTICA; CHLAMYDOMONAS-NIVALIS; SP-NOV; PHOTOSYNTHESIS; CHLOROPHYTA; ENVIRONMENT; VOLVOCALES; OCCUPANCY; RADIATION</t>
  </si>
  <si>
    <t>Snow algal blooms have a remarkable climatic or environmental effect through influencing the snow-albedo feedback, accelerating the melting of surface snow, and amplifying global warming. Snow algal blooms occurred frequently on King George Island, Antarctic, during the recent six austral summers (December to next February) through 2017-2022. Based on an assessment of satellite images, this study found that the range and amount of snow algal blooms in the summers of 2018, 2020, 2021 and 2022 are relatively larger than in the summers of 2017 and 2019. Whether meteorological conditions have shaped the year-to-year variation of algal bloom intensities is analyzed through observational composite. The results suggest that during the strong bloom summers there exist prevailing northerly or northwesterly wind anomalies which advect warm and humid airmass from the southern ocean into the island, increasing surface air temperature and humidity; the warmer and more humid surface favors melting of snow and an increase of low cloud cover, subsequently enhancing the atmospheric downward long-wave radiation and amplifying surface warmth; the increased low cloud cover reflects more ultraviolet rays back to space and weakens the short-wave radiation reaching the surface. All these factors together favor to a stronger bloom. In comparison, during 2017 and 2019 there exist weak southerly wind anomalies which induce the northward advection of cold and dry air from the Antarctic Continent and favor the cooler surface. Consequently, it is unfavorable for the snow algal bloom. Based on these results, a snow algal bloom potential index (API) integrating the meteorological conditions is constructed, and its future trend is projected based on the EC-Earth3 run attending the CMIP6 under SSP245 and SSP585. A significant increasing trend is projected especially under SSP585. Thus snow algal bloom on King George Island will become more frequent and stronger in future. This implies a potential accelerate melting of ice shelf over Antarctic Peninsula.</t>
  </si>
  <si>
    <t>[Li, Shuang-Lin] Chinese Acad Sci, Climate Change Res Ctr, Inst Atmospher Phys, Beijing 100029, Peoples R China; [Chen, Xue-Yang; Li, Shuang-Lin] China Univ Geosci, Sch Environm Studies, Dept Atmospher Sci, Wuhan 430074, Peoples R China; [Li, Shuang-Lin] Univ Chinese Acad Sci, Coll Earth &amp; Planetary Sci, Beijing 100029, Peoples R China; [Zhang, Chao] Beibu Gulf Univ, Coll Marine Sci, Qinzhou 535011, Peoples R China; [Liu, Dong-Yan] East China Normal Univ, State Key Lab Estuarine &amp; Coastal Res, Shanghai 20062, Peoples R China</t>
  </si>
  <si>
    <t>Chinese Academy of Sciences; Institute of Atmospheric Physics, CAS; China University of Geosciences; Chinese Academy of Sciences; University of Chinese Academy of Sciences, CAS; Beibu Gulf University; East China Normal University</t>
  </si>
  <si>
    <t>Li, SL (corresponding author), Chinese Acad Sci, Climate Change Res Ctr, Inst Atmospher Phys, Beijing 100029, Peoples R China.</t>
  </si>
  <si>
    <t>Li, Shuanglin/0000-0002-4891-8561</t>
  </si>
  <si>
    <t>National Natural Science Foundation of China [42376250, 42205066]; Strategic Project of Chinese Academy of Science [XDA19070402]</t>
  </si>
  <si>
    <t>National Natural Science Foundation of China(National Natural Science Foundation of China (NSFC)); Strategic Project of Chinese Academy of Science</t>
  </si>
  <si>
    <t>This work was jointly supported by the National Natural Science Foundation of China projects (42376250 and 42205066) and the Strategic Project of Chinese Academy of Science (XDA19070402) .</t>
  </si>
  <si>
    <t>1674-9278</t>
  </si>
  <si>
    <t>ADV CLIM CHANG RES</t>
  </si>
  <si>
    <t>Adv. Clim. Chang. Res.</t>
  </si>
  <si>
    <t>10.1016/j.accre.2023.09.013</t>
  </si>
  <si>
    <t>Y8BU4</t>
  </si>
  <si>
    <t>WOS:001107465500001</t>
  </si>
  <si>
    <t>Artini, M; Papa, R; Vrenna, G; Trecca, M; Paris, I; D'Angelo, C; Tutino, ML; Parrilli, E; Selan, L</t>
  </si>
  <si>
    <t>Artini, Marco; Papa, Rosanna; Vrenna, Gianluca; Trecca, Marika; Paris, Irene; D'Angelo, Caterina; Tutino, Maria Luisa; Parrilli, Ermenegilda; Selan, Laura</t>
  </si>
  <si>
    <t>Antarctic Marine Bacteria as a Source of Anti-Biofilm Molecules to Combat ESKAPE Pathogens</t>
  </si>
  <si>
    <t>ANTIBIOTICS-BASEL</t>
  </si>
  <si>
    <t>Enterococcus faecium; Staphylococcus aureus; Klebsiella pneumoniae; Acinetobacter baumannii; Pseudomonas aeruginosa; Enterobacter sp.; biofilm</t>
  </si>
  <si>
    <t>INFECTIONS</t>
  </si>
  <si>
    <t>The ESKAPE pathogens, including bacteria such as Enterococcus faecium, Staphylococcus aureus, Klebsiella pneumoniae, Acinetobacter baumannii, Pseudomonas aeruginosa, and Enterobacter species, pose a global health threat due to their ability to resist antimicrobial drugs and evade the immune system. These pathogens are responsible for hospital-acquired infections, especially in intensive care units, and contribute to the growing problem of multi-drug resistance. In this study, researchers focused on exploring the potential of Antarctic marine bacteria as a source of anti-biofilm molecules to combat ESKAPE pathogens. Four Antarctic bacterial strains were selected, and their cell-free supernatants were tested against 60 clinical ESKAPE isolates. The results showed that the supernatants did not exhibit antimicrobial activity but effectively prevented biofilm formation and dispersed mature biofilms. This research highlights the promising potential of Antarctic bacteria in producing compounds that can counteract biofilms formed by clinically significant bacterial species. These findings contribute to the development of new strategies for preventing and controlling infections caused by ESKAPE pathogens.</t>
  </si>
  <si>
    <t>[Artini, Marco; Papa, Rosanna; Vrenna, Gianluca; Trecca, Marika; Paris, Irene; Selan, Laura] Sapienza Univ, Dept Publ Hlth &amp; Infect Dis, Ple Aldo Moro 5, I-00185 Rome, Italy; [Vrenna, Gianluca] Childrens Hosp &amp; Inst Res Bambino Gesu, Res Unit Diagnost &amp; Management Innovat, I-00165 Rome, Italy; [D'Angelo, Caterina; Tutino, Maria Luisa; Parrilli, Ermenegilda] Univ Naples Federico II, Dept Chem Sci, Complesso Univ Monte S Angelo,Via Cintia 4, I-80126 Naples, Italy</t>
  </si>
  <si>
    <t>Sapienza University Rome; University of Naples Federico II</t>
  </si>
  <si>
    <t>Papa, R (corresponding author), Sapienza Univ, Dept Publ Hlth &amp; Infect Dis, Ple Aldo Moro 5, I-00185 Rome, Italy.</t>
  </si>
  <si>
    <t>marco.artini@uniroma1.it; rosanna.papa@uniroma1.it; gianluca.vrenna@opbg.net; marika.trecca@uniroma1.it; paris.1744509@studenti.uniroma1.it; caterina.dangelo@unina.it; tutino@unina.it; erparril@unina.it; laura.selan@uniroma1.it</t>
  </si>
  <si>
    <t>parrilli, ermenegilda/JAZ-0586-2023; parrilli, ermenegilda/K-4616-2016</t>
  </si>
  <si>
    <t>Tutino, Maria Luisa/0000-0002-4978-6839; PAPA, Rosanna/0000-0003-0330-2883; parrilli, ermenegilda/0000-0002-9002-5409; D'Angelo, Caterina/0000-0002-0372-7809</t>
  </si>
  <si>
    <t>Bando Ateneo Sapienza Strategie antimicrobiche e antivirulenza innovative contro patogeni ESKAPE: identificazione di nuove molecole organiche a basso peso molecolare e loro delivery mediante nanoparticelle polimeriche naturali [RM1221813859CA94]</t>
  </si>
  <si>
    <t>Bando Ateneo Sapienza Strategie antimicrobiche e antivirulenza innovative contro patogeni ESKAPE: identificazione di nuove molecole organiche a basso peso molecolare e loro delivery mediante nanoparticelle polimeriche naturali</t>
  </si>
  <si>
    <t>This work was supported by Bando Ateneo Sapienza Strategie antimicrobiche e antivirulenza innovative contro patogeni ESKAPE: identificazione di nuove molecole organiche a basso peso molecolare e loro delivery mediante nanoparticelle polimeriche naturali (RM1221813859CA94).</t>
  </si>
  <si>
    <t>2079-6382</t>
  </si>
  <si>
    <t>Antibiotics-Basel</t>
  </si>
  <si>
    <t>10.3390/antibiotics12101556</t>
  </si>
  <si>
    <t>Infectious Diseases; Pharmacology &amp; Pharmacy</t>
  </si>
  <si>
    <t>X6NS3</t>
  </si>
  <si>
    <t>WOS:001099602800001</t>
  </si>
  <si>
    <t>Murzina, SA; Voronin, VP; Bitiutskii, DG; Mishin, AV; Khurtina, SN; Frey, DI; Orlov, AM</t>
  </si>
  <si>
    <t>Murzina, Svetlana A.; Voronin, Viktor P.; Bitiutskii, Dmitry G.; Mishin, Aleksej V.; Khurtina, Svetlana N.; Frey, Dmitry I.; Orlov, Alexei M.</t>
  </si>
  <si>
    <t>Comparative Analysis of the Fatty Acid Profiles of Antarctic Krill (Euphausia superba Dana, 1850) in the Atlantic Sector of the Southern Ocean: Certain Fatty Acids Reflect the Oceanographic and Trophic Conditions of the Habitat</t>
  </si>
  <si>
    <t>Antarctic krill; fatty acids; trophic biomarkers; ontogeny; biochemical adaptations; Antarctic</t>
  </si>
  <si>
    <t>THYSANOESSA-MACRURA; WEDDELL SEA; LIPIDS; GROWTH; ZOOPLANKTON; BIOMARKERS; INSIGHTS; MARKERS</t>
  </si>
  <si>
    <t>The present study is the attempt to combine oceanologic measurements and biochemical analysis, which is as possible to implement on board as in a laboratory with chosen certain statistics to reveal trophic conditions and the environment state in which Antarctic krill live in season in real time on site. The fatty acid constituents of total lipids in juvenile and mature Antarctic krill sampled from the Bransfield Strait (BS), the Antarctic Sound (AS), and waters at the eastern tip of the Antarctic Peninsula (AP) collected during the 87th cruise of the R/V Akademik Mstislav Keldysh in January-February 2022 were analyzed. The fatty acid (FA) profile in juvenile and mature Antarctic krill was studied by gas chromatography with a mass selective detector to identify the qualitative composition and a flame ionization detector to quantify the studied FAs. Using NMDS analysis (quantitative panel), great difference was found between krill from the BS compared to krill collected in the AS and the AP. The differences are reliable owing to the following 16 FAs, most of them trophic biomarkers of microphytoplankton, and suggest regional differences, mainly in abundance and ability of forage objects. CTD measurements discuss the abiotic factors (potential temperature, salinity, and chlorophyll a). Compensatory modifications of the composition of FA components in Antarctic krill inhabiting different water areas are a way of maintaining the species' viability under certain and variable habitat conditions.</t>
  </si>
  <si>
    <t>[Murzina, Svetlana A.; Voronin, Viktor P.; Bitiutskii, Dmitry G.; Khurtina, Svetlana N.] Russian Acad Sci IB KarRC RAS, Environm Biochem Lab, Inst Biol Karelian Res Ctr, Petrozavodsk 185910, Russia; [Bitiutskii, Dmitry G.] Russian Fed Res Inst Fisheries &amp; Oceanog AzNIIRKH, Sect World Ocean, Azov Black Sea Branch, Rostov Na Donu 344002, Russia; [Mishin, Aleksej V.; Orlov, Alexei M.] Russian Acad Sci, Shirshov Inst Oceanol, Lab Ocean Ichthyofauna, Moscow 117997, Russia; [Frey, Dmitry I.] Russian Acad Sci, Shirshov Inst Oceanol, Lab Hydrol Proc, Moscow 117997, Russia; [Frey, Dmitry I.] Russian Acad Sci, Marine Oceanog Inst, Kapitanskaya Str 2, Sevastopol 299011, Russia; [Frey, Dmitry I.] Moscow Inst Phys &amp; Technol, Institutsky Per 9, Dolgoprudnyi 141700, Russia; [Orlov, Alexei M.] Tomsk State Univ, Dept Ichthyol &amp; Hydrobiol, Tomsk 634050, Russia</t>
  </si>
  <si>
    <t>Russian Academy of Sciences; Karelian Research Centre of the Russian Academy of Sciences; Institute of Biology of Karelian Research Centre RAS; Russian Academy of Sciences; Shirshov Institute of Oceanology; Russian Academy of Sciences; Shirshov Institute of Oceanology; Russian Academy of Sciences; Moscow Institute of Physics &amp; Technology; Tomsk State University</t>
  </si>
  <si>
    <t>Murzina, SA (corresponding author), Russian Acad Sci IB KarRC RAS, Environm Biochem Lab, Inst Biol Karelian Res Ctr, Petrozavodsk 185910, Russia.</t>
  </si>
  <si>
    <t>murzina.svetlana@gmail.com; voronen-viktor@mail.ru; dgbitiutskii@yandex.ru; mishin-aleksej@mail.ru; pek-svetlana@mail.ru; dima.frey@gmail.com; orlov.am@ocean.ru</t>
  </si>
  <si>
    <t>Orlov, Alexei M./E-2036-2012; Bitiutskii, Dmitrii/GRS-3239-2022</t>
  </si>
  <si>
    <t>Orlov, Alexei M./0000-0002-0877-2553; Bitiutskii, Dmitrii/0000-0002-8396-9620; Khurtina (Pekkoeva), Svetlana/0000-0001-8706-731X; Frey, Dmitry/0000-0001-8141-9513</t>
  </si>
  <si>
    <t>The authors are thankful to the administration of the Shirshov Institute of Oceanology, Russian Academy of Sciences, for the organization of the expedition and field operations, to the plankton and benthos research teams for collecting and providing plankt; Shirshov Institute of Oceanology, Russian Academy of Sciences</t>
  </si>
  <si>
    <t>The authors are thankful to the administration of the Shirshov Institute of Oceanology, Russian Academy of Sciences, for the organization of the expedition and field operations, to the plankton and benthos research teams for collecting and providing plankton samples, and also to the captain and the crew of the R/V Akademik Mstislav Keldysh for comprehensive assistance.</t>
  </si>
  <si>
    <t>10.3390/jmse11101912</t>
  </si>
  <si>
    <t>X4EC1</t>
  </si>
  <si>
    <t>WOS:001097990600001</t>
  </si>
  <si>
    <t>Nield, GA; King, MA; Koulali, A; Samrat, N</t>
  </si>
  <si>
    <t>Nield, Grace A.; King, Matt A.; Koulali, Achraf; Samrat, Nahidul</t>
  </si>
  <si>
    <t>Postseismic Deformation in the Northern Antarctic Peninsula Following the 2003 and 2013 Scotia Sea Earthquakes</t>
  </si>
  <si>
    <t>postseismic deformation; finite element model; Antarctica</t>
  </si>
  <si>
    <t>ISOSTATIC-ADJUSTMENT MODEL; BEDROCK-UPLIFT; LEVEL CHANGE; TIME-SERIES; MANTLE; LITHOSPHERE; COMPONENT; RHEOLOGY; INSIGHTS; GRACE</t>
  </si>
  <si>
    <t>Large earthquakes in the vicinity of Antarctica have the potential to cause postseismic viscoelastic deformation affecting measurements of displacement that are used to constrain models of glacial isostatic adjustment (GIA). In November 2013, a Mw 7.7 strike-slip earthquake occurred in the Scotia Sea, 650 km from the Antarctic Peninsula. GPS time series from the northern Peninsula show a change in rate after this event, indicating a far-field postseismic deformation signal is present. In this study, we use a finite element model with a suite of 1D and 3D Earth structures to investigate the extent of postseismic deformation in the Antarctic Peninsula. Model output is compared with GPS time series to place constraints on the Earth structure in this region. The preferred Earth structure has a thin lithosphere combined with a Burgers rheology with steady-state viscosity of 4 x 10(18) Pa s and transient viscosity one order of magnitude lower. Our study shows that including 3D Earth structure does not improve the fit. Using the best fitting Earth structure, we run a forward model of the nearby 2003 Mw 7.6 strike-slip earthquake and combine the predictions for both earthquakes. We show that postseismic deformation is widespread across the northern Peninsula with rates of horizontal deformation up to 1.65 mm/yr for the period 2015-2020, a signal that persists for decades. These results suggest that much of Antarctica may be deforming due to recent postseismic deformation and this signal needs to be accounted for when using GPS observations to constrain geophysical models.</t>
  </si>
  <si>
    <t>[Nield, Grace A.] Univ Durham, Dept Geog, Durham, England; [Nield, Grace A.; King, Matt A.; Samrat, Nahidul] Univ Tasmania, Sch Geog Planning &amp; Spatial Sci, Hobart, Tas, Australia; [King, Matt A.] Univ Tasmania, Australian Ctr Excellence Antarctic Sci, Hobart, Tas, Australia; [Koulali, Achraf] Newcastle Univ, Sch Engn, Newcastle Upon Tyne, England</t>
  </si>
  <si>
    <t>Durham University; University of Tasmania; University of Tasmania; Newcastle University - UK</t>
  </si>
  <si>
    <t>Nield, GA (corresponding author), Univ Durham, Dept Geog, Durham, England.;Nield, GA (corresponding author), Univ Tasmania, Sch Geog Planning &amp; Spatial Sci, Hobart, Tas, Australia.</t>
  </si>
  <si>
    <t>grace.a.nield@durham.ac.uk</t>
  </si>
  <si>
    <t>Australian Research Council (ARC) Special Research Initiative Australian Centre for Excellence in Antarctic Science [SR200100008]; ARC Discovery Project [DP170100224]</t>
  </si>
  <si>
    <t>Australian Research Council (ARC) Special Research Initiative Australian Centre for Excellence in Antarctic Science(Australian Research Council); ARC Discovery Project(Australian Research Council)</t>
  </si>
  <si>
    <t>This work was supported by the Australian Research Council (ARC) Special Research Initiative Australian Centre for Excellence in Antarctic Science (Project ID SR200100008) and ARC Discovery Project ID DP170100224. Some of the GPS data used in this study are from the UKANET network and are available through UNAVCO (UNAVCO, GNSS Data Access Notebook, 2023). Data identifiers are included in the Table S1 in Supporting Information S1. We thank the editor, Isabelle Manighetti, an anonymous Associate Editor, Carlos Pena, and an anonymous reviewer for their constructive comments that helped to improve the manuscript.</t>
  </si>
  <si>
    <t>e2023JB026685</t>
  </si>
  <si>
    <t>10.1029/2023JB026685</t>
  </si>
  <si>
    <t>W9WS4</t>
  </si>
  <si>
    <t>WOS:001095067700001</t>
  </si>
  <si>
    <t>Li, DY; Wang, Z; Yu, Y; Li, HR; Luo, W; Chen, B; Niu, GQ; Ding, HT</t>
  </si>
  <si>
    <t>Li, Dianyi; Wang, Zheng; Yu, Yong; Li, Huirong; Luo, Wei; Chen, Bo; Niu, Guoqing; Ding, Haitao</t>
  </si>
  <si>
    <t>Biochemical Insights into a Novel Family 2 Glycoside Hydrolase with Both β-1,3-Galactosidase and β-1,4-Galactosidase Activity from the Arctic</t>
  </si>
  <si>
    <t>beta-galactosidase; Marinomonas; glycoside hydrolase; Arctic</t>
  </si>
  <si>
    <t>IMMOBILIZED BETA-GALACTOSIDASE; ENZYMES; SPECIFICITIES; PURIFICATION; RESIDUES; CLONING; RADISH</t>
  </si>
  <si>
    <t>A novel GH2 (glycoside hydrolase family 2) beta-galactosidase from Marinomonas sp. BSi20584 was successfully expressed in E. coli with a stable soluble form. The recombinant enzyme (rMaBGA) was purified to electrophoretic homogeneity and characterized extensively. The specific activity of purified rMaBGA was determined as 96.827 U mg(-1) at 30 degrees C using ONPG (o-nitrophenyl-beta-D-galactopyranoside) as a substrate. The optimum pH and temperature of rMaBGA was measured as 7.0 and 50 degrees C, respectively. The activity of rMaBGA was significantly enhanced by some divalent cations including Zn2+, Mg2+ and Ni2+, but inhibited by EDTA, suggesting that some divalent cations might play important roles in the catalytic process of rMaBGA. Although the enzyme was derived from a cold-adapted strain, it still showed considerable stability against various physical and chemical elements. Moreover, rMaBGA exhibited activity both toward Gal beta-(1,3)-GlcNAc and Gal beta-(1,4)-GlcNAc, which is a relatively rare occurrence in GH2 beta-galactosidase. The results showed that two domains in the C-terminal region might be contributed to the beta-1,3-galactosidase activity of rMaBGA. On account of its fine features, this enzyme is a promising candidate for the industrial application of beta-galactosidase.</t>
  </si>
  <si>
    <t>[Li, Dianyi; Niu, Guoqing] Southwest Univ, Coll Agron &amp; Biotechnol, Chongqing 400715, Peoples R China; [Li, Dianyi; Wang, Zheng; Yu, Yong; Li, Huirong; Luo, Wei; Chen, Bo; Ding, Haitao] Minist Nat Resources, Polar Res Inst China, Antarctic Great Wall Ecol Natl Observat &amp; Res Stn, Shanghai 200136, Peoples R China; [Li, Dianyi; Wang, Zheng; Yu, Yong; Li, Huirong; Luo, Wei; Chen, Bo; Ding, Haitao] Minist Nat Resources, Polar Res Inst China, Key Lab Polar Sci, Shanghai 200136, Peoples R China; [Yu, Yong; Li, Huirong; Luo, Wei; Ding, Haitao] Shanghai Jiao Tong Univ, Sch Oceanog, Shanghai 200030, Peoples R China</t>
  </si>
  <si>
    <t>Southwest University - China; Ministry of Natural Resources of the People's Republic of China; Polar Research Institute of China; Ministry of Natural Resources of the People's Republic of China; Polar Research Institute of China; Shanghai Jiao Tong University</t>
  </si>
  <si>
    <t>Niu, GQ (corresponding author), Southwest Univ, Coll Agron &amp; Biotechnol, Chongqing 400715, Peoples R China.;Ding, HT (corresponding author), Minist Nat Resources, Polar Res Inst China, Antarctic Great Wall Ecol Natl Observat &amp; Res Stn, Shanghai 200136, Peoples R China.;Ding, HT (corresponding author), Minist Nat Resources, Polar Res Inst China, Key Lab Polar Sci, Shanghai 200136, Peoples R China.;Ding, HT (corresponding author), Shanghai Jiao Tong Univ, Sch Oceanog, Shanghai 200030, Peoples R China.</t>
  </si>
  <si>
    <t>lidianyi2020@163.com; wangzheng01@pric.org.cn; yuyong@pric.org.cn; lihuirong@pric.org.cn; luowei@pric.org.cn; chenbo@pric.org.cn; niu062376@swu.edu.cn; dinghaitao@pric.org.cn</t>
  </si>
  <si>
    <t>National Natural Science Foundation of China [42076239]</t>
  </si>
  <si>
    <t>This study was supported by the National Natural Science Foundation of China (42076239).</t>
  </si>
  <si>
    <t>10.3390/md21100521</t>
  </si>
  <si>
    <t>X6FJ1</t>
  </si>
  <si>
    <t>WOS:001099384900001</t>
  </si>
  <si>
    <t>Sun, YQ; Wang, YT; Zhai, ZS; Zhou, M</t>
  </si>
  <si>
    <t>Sun, Yuqi; Wang, Yetang; Zhai, Zhaosheng; Zhou, Min</t>
  </si>
  <si>
    <t>Changes in the Antarctic's Summer Surface Albedo, Observed by Satellite since 1982 and Associated with Sea Ice Anomalies</t>
  </si>
  <si>
    <t>Antarctica; surface albedo; sea ice index; albedo feedback</t>
  </si>
  <si>
    <t>MASS-BALANCE; ABLATION ZONE; TIME-SERIES; AVHRR; COVER; SNOW; VARIABILITY; TRENDS; SHEET; CLOUD</t>
  </si>
  <si>
    <t>In polar regions, positive feedback of snow and ice albedo can intensify global warming. While recent significant decreases in Arctic surface ice albedo have drawn considerable attention, Antarctic surface albedo variability remains underexplored. Here, satellite albedo product CLARA-A2.1-SAL is first validated and then used to investigate spatial and temporal trends in the summer albedo over the Antarctic from 1982 to 2018, along with their association with Antarctic sea ice changes. The SAL product matches well surface albedo observations from eight stations, suggesting its robust performance in Antarctica. Summer surface albedo averaged over the entire ice sheet shows a downward trend since 1982, albeit not statistically significant. In contrast, a significant upward trend is observed in the sea ice region. Spatially, for ice sheet surface albedo, positive trends occur in the eastern Antarctica Peninsula and the margins of East Antarctica, whereas other regions exhibit negative trends, most prominently in the Ross and Ronne ice shelves. For sea ice albedo, positive trends are observed in the Ross Sea and the Weddell Sea, but negative trends are observed in the Bellingshausen and the Amundsen Seas. Between 2016 and 2018, an unusual decrease in the sea ice extent significantly affected both sea ice and Antarctic ice sheet (AIS) surface albedo changes. However, for the 1982-2015 period, while the effect of sea ice on its own albedo is significant, its impact on ice sheet albedo is less apparent. Air temperature and snow depth also contribute much to sea ice albedo changes. However, on ice sheet surface albedo, the influence of temperature and snow accumulation appears limited.</t>
  </si>
  <si>
    <t>[Sun, Yuqi; Wang, Yetang; Zhai, Zhaosheng; Zhou, Min] Shandong Normal Univ, Coll Geog &amp; Environm, Jinan 250014, Peoples R China</t>
  </si>
  <si>
    <t>2021020764@stu.sdnu.edu.cn; yetangwang@sdnu.edu.cn; 2021020775@stu.sdnu.edu.cn; 2021010089@stu.sdnu.edu.cn</t>
  </si>
  <si>
    <t>Wang, Yetang/0000-0003-2499-1147</t>
  </si>
  <si>
    <t>National Natural Science Foundation of China [41971081]; National Key Research and Development Program of China [2020YFA0608202]; Strategic Priority Research Program of the Chinese Academy of Sciences [XAD19070103]; Project for Outstanding Youth Innovation Team in the Universities of Shandong Province [2019KJH011]</t>
  </si>
  <si>
    <t>Funding this work were the National Natural Science Foundation of China (41971081), the National Key Research and Development Program of China (2020YFA0608202), the Strategic Priority Research Program of the Chinese Academy of Sciences (XAD19070103), and the Project for Outstanding Youth Innovation Team in the Universities of Shandong Province (2019KJH011).</t>
  </si>
  <si>
    <t>10.3390/rs15204940</t>
  </si>
  <si>
    <t>X0JS7</t>
  </si>
  <si>
    <t>WOS:001095406800001</t>
  </si>
  <si>
    <t>Larson, EJL; Rosenlof, KH; Gao, RS</t>
  </si>
  <si>
    <t>Larson, Erik J. L.; Rosenlof, Karen H.; Gao, Ru-Shan</t>
  </si>
  <si>
    <t>Increasing Antarctic Ice Mass to Help Offset Sea Level Rise</t>
  </si>
  <si>
    <t>sea level rise; mitigation; cloud seeding</t>
  </si>
  <si>
    <t>SUPERCOOLED LIQUID WATER; MIXED-PHASE; CLOUDS</t>
  </si>
  <si>
    <t>Global sea level is predicted to rise for centuries even if greenhouse gas emissions are greatly reduced. Sea level rise (SLR) threatens coastal communities where a large fraction of the human population lives. A possible mitigation effort is to increase the ice mass in Antarctica. Coastal Antarctic radiosonde profiles are supersaturated with respect to ice on average 47% of the time. If all of this excess water vapor and supercooled liquid cloud water were removed from the atmosphere and deposited on the Antarctic landmass, it would offset 11 cm of SLR by 2100, or about 15 (8-17) percent of the predicted SLR. This strategy could be used to supplement other efforts to reduce climate change impacts, such as carbon dioxide removal or solar climate intervention.</t>
  </si>
  <si>
    <t>[Larson, Erik J. L.] Univ Colorado Boulder, Cooperat Inst Res Environm Sci, Boulder, CO 80309 USA; [Larson, Erik J. L.; Rosenlof, Karen H.; Gao, Ru-Shan] NOAA, Chem Sci Lab, Boulder, CO 80305 USA</t>
  </si>
  <si>
    <t>University of Colorado System; University of Colorado Boulder; National Oceanic Atmospheric Admin (NOAA) - USA</t>
  </si>
  <si>
    <t>Rosenlof, KH; Gao, RS (corresponding author), NOAA, Chem Sci Lab, Boulder, CO 80305 USA.</t>
  </si>
  <si>
    <t>erik.j.larson@colorado.edu; karen.h.rosenlof@noaa.gov; rushan.gao@noaa.gov</t>
  </si>
  <si>
    <t>We thank Graham Feingold, Greg McFarquhar, Yaosheng Chen, and David Fahey for insightful discussions.</t>
  </si>
  <si>
    <t>10.3390/atmos14101564</t>
  </si>
  <si>
    <t>W8HC1</t>
  </si>
  <si>
    <t>WOS:001093974000001</t>
  </si>
  <si>
    <t>Ku, SK; Kim, JK; Chun, YS; Song, CH</t>
  </si>
  <si>
    <t>Ku, Sae-Kwang; Kim, Jong-Kyu; Chun, Yoon-Seok; Song, Chang-Hyun</t>
  </si>
  <si>
    <t>Anti-Osteoarthritic Effects of Antarctic Krill Oil in Primary Chondrocytes and a Surgical Rat Model of Knee Osteoarthritis</t>
  </si>
  <si>
    <t>OA; cartilage; marine; PUFA; anti-inflammation; MMP; anti-apoptosis; chondrogenesis</t>
  </si>
  <si>
    <t>POLYUNSATURATED FATTY-ACIDS; NONSTEROIDAL ANTIINFLAMMATORY DRUGS; ARTICULAR-CARTILAGE; PROTEIN-LEVELS; INFLAMMATION; SUPPRESSES; ACTIVATION; MEDIATORS; SYNOVITIS; DISEASE</t>
  </si>
  <si>
    <t>Osteoarthritis (OA) is characterized by progressive cartilage destruction and synovitis; however, there are no approved disease-modifying OA drugs. Krill oil (KO) has been reported to possess anti-inflammatory properties and alleviate joint pain in knee OA, indicating its potential to target the inflammatory mechanism of OA. Therefore, the anti-OA effects of KO were investigated in primary chondrocytes and a surgical rat model of knee OA. The oral administration of KO at 200 and 100 mg/kg for 8 weeks improved joint swelling and mobility in the animal model and led to increased bone mineral density and compressive strength in the cartilage. The oral KO doses upregulated chondrogenic genes (type 2 collagen, aggrecan, and Sox9), with inhibition of inflammation markers (5-lipoxygenase and prostaglandin E2) and extracellular matrix (ECM)-degrading enzymes (MMP-2 and MMP-9) in the cartilage and synovium. Consistently, KO treatments increased the viability of chondrocytes exposed to interleukin 1 alpha, accompanied by the upregulation of the chondrogenic genes and the inhibition of the ECM-degrading enzymes. Furthermore, KO demonstrated inhibitory effects on lipopolysaccharide-induced chondrocyte inflammation. Histopathological and immunohistochemical analyses revealed that KO improved joint destruction and synovial inflammation, probably due to the anti-inflammatory, anti-apoptotic, and chondrogenic effects. These findings suggest the therapeutic potential of KO for knee OA.</t>
  </si>
  <si>
    <t>[Ku, Sae-Kwang; Song, Chang-Hyun] Daegu Haany Univ, Coll Korean Med, Dept Anat &amp; Histol, Gyongsan 38610, South Korea; [Kim, Jong-Kyu; Chun, Yoon-Seok] AriBnC Co Ltd, Yongin 16914, South Korea</t>
  </si>
  <si>
    <t>Daegu Haany University</t>
  </si>
  <si>
    <t>Song, CH (corresponding author), Daegu Haany Univ, Coll Korean Med, Dept Anat &amp; Histol, Gyongsan 38610, South Korea.</t>
  </si>
  <si>
    <t>gucci200@dhu.ac.kr; swrhrnak@gmail.com; ceochun@aribnc.com; dvmsong@dhu.ac.kr</t>
  </si>
  <si>
    <t>Ku, Sae-kwang/0000-0003-1269-3804</t>
  </si>
  <si>
    <t>National Research Foundation of Korea (NRF) - Korean government (MSIT) [2018R1A5A2025272]; Basic Science Research Program through the NRF - Ministry of Education [2020R1I1A3A04037939]</t>
  </si>
  <si>
    <t>National Research Foundation of Korea (NRF) - Korean government (MSIT)(National Research Foundation of KoreaMinistry of Science &amp; ICT (MSIT), Republic of Korea); Basic Science Research Program through the NRF - Ministry of Education(National Research Foundation of Korea)</t>
  </si>
  <si>
    <t>This work was supported by the National Research Foundation of Korea (NRF) grantfunded by the Korean government (MSIT) (2018R1A5A2025272), and the Basic Science Research Program through the NRF funded by the Ministry of Education (2020R1I1A3A04037939).</t>
  </si>
  <si>
    <t>10.3390/md21100513</t>
  </si>
  <si>
    <t>X0JU1</t>
  </si>
  <si>
    <t>WOS:001095408300001</t>
  </si>
  <si>
    <t>Wu, GC; Wei, Y; Dong, SY; Zhang, T; Yang, CG; Qin, LJ; Guan, QS</t>
  </si>
  <si>
    <t>Wu, Guochao; Wei, Yue; Dong, Siyuan; Zhang, Tao; Yang, Chunguo; Qin, Linjiang; Guan, Qingsheng</t>
  </si>
  <si>
    <t>Improved Gravity Inversion Method Based on Deep Learning with Physical Constraint and Its Application to the Airborne Gravity Data in East Antarctica</t>
  </si>
  <si>
    <t>gravity inversion; deep learning; U-net network; physical constraint; East Antarctica</t>
  </si>
  <si>
    <t>3-D INVERSION</t>
  </si>
  <si>
    <t>This paper aims to solve the limitations of traditional gravity physical property inversion methods such as insufficient depth resolution and difficulties in parameter selection, by proposing an improved 3D gravity inversion method based on deep learning. The deep learning network model is established using the fully convolutional U-net network. To enhance the generalization ability of the sample set, the large-scale training set and test set are generated by the random walk, based on the forward theory. Founded on the traditional loss function's definition, this paper introduces an improvement incorporating a physical constraint to measure the degree of data fitting between the predicted and the real gravity data. This improvement significantly boosted the accuracy of the deep learning inversion method, as verified through both a single model and an intricate combination model. Finally, we applied this improved inversion method to the gravity data from the Gamburtsev Subglacial Mountains in the interior of East Antarctica, obtaining a comprehensive 3D crustal density structure. The results provide new evidence for the presence of a dense crustal root situated beneath the central Gamburtsev Province near the Gamburtsev Suture.</t>
  </si>
  <si>
    <t>[Wu, Guochao; Zhang, Tao; Yang, Chunguo; Qin, Linjiang; Guan, Qingsheng] Minist Nat Resources, Inst Oceanog 2, Hangzhou 310012, Peoples R China; [Wu, Guochao; Zhang, Tao; Yang, Chunguo; Qin, Linjiang; Guan, Qingsheng] Minist Nat Resources, Key Lab Submarine Geosci, Hangzhou 310012, Peoples R China; [Wei, Yue; Dong, Siyuan] Jilin Univ, Coll GeoExplorat Sci &amp; Technol, Changchun 130012, Peoples R China; [Zhang, Tao] Donghai Lab, Zhoushan 316000, Peoples R China</t>
  </si>
  <si>
    <t>Ministry of Natural Resources of the People's Republic of China; Ministry of Natural Resources of the People's Republic of China; Jilin University; Donghai Laboratory</t>
  </si>
  <si>
    <t>Wu, GC (corresponding author), Minist Nat Resources, Inst Oceanog 2, Hangzhou 310012, Peoples R China.;Wu, GC (corresponding author), Minist Nat Resources, Key Lab Submarine Geosci, Hangzhou 310012, Peoples R China.</t>
  </si>
  <si>
    <t>wugc@sio.org.cn; weiyue22@mails.jlu.edu.cn; sydong21@mails.jlu.edu.cn; tao_zhang@sio.org.cn; yangchunguo@sio.org.cn; qinlinjiang@126.com; gqsh1989@163.com</t>
  </si>
  <si>
    <t>Zhang, Tao/0000-0002-1205-989X</t>
  </si>
  <si>
    <t>We acknowledge all members of the AGAP project team and Fausto Ferraccioli of the Istituto Nazionale di Oceanografia e di Geofisica Sperimentale and British Antarctic Survey for their great contributions to the collection and processing of the airborne gra</t>
  </si>
  <si>
    <t>We acknowledge all members of the AGAP project team and Fausto Ferraccioli of the Istituto Nazionale di Oceanografia e di Geofisica Sperimentale and British Antarctic Survey for their great contributions to the collection and processing of the airborne gravity data in the GSM. We acknowledge Shuai Zhou of Jilin University for his great help in improving this manuscript. We appreciate the editor and four reviewers making great efforts to improve our manuscript.</t>
  </si>
  <si>
    <t>10.3390/rs15204933</t>
  </si>
  <si>
    <t>W7UX8</t>
  </si>
  <si>
    <t>WOS:001093652100001</t>
  </si>
  <si>
    <t>Hawkins, LA; Saunders, BJ; Figueroa, MML; Mccauley, RD; Parnum, IM; Parsons, MJ; Erbe, C</t>
  </si>
  <si>
    <t>Hawkins, Lauren Amy; Saunders, Benjamin J.; Figueroa, M. Montserrat Landero; Mccauley, Robert D.; Parnum, Iain M.; Parsons, Miles James; Erbe, Christine</t>
  </si>
  <si>
    <t>Habitat type drives the spatial distribution of Australian fish chorus diversity</t>
  </si>
  <si>
    <t>PASSIVE ACOUSTICS; SOUND PRODUCTION; POGONIAS-CROMIS; BLACK DRUM; CYNOSCION-NEBULOSUS; MARINE BIODIVERSITY; ROCKY HABITATS; BEHAVIOR; PATTERNS; SCIAENIDAE</t>
  </si>
  <si>
    <t>Fish vocalize in association with life functions with many species calling en masse to produce choruses. Monitoring the distribution and behavior of fish choruses provides high-resolution data on fish distribution, habitat use, spawning behavior, and in some circumstances, local abundance. The purpose of this study was to use long-term passive acoustic recordings to obtain a greater understanding of the patterns and drivers of Australian fish chorus diversity at a national scale. This study detected 133 fish choruses from year-long recordings taken at 29 Australian locations with the highest fish chorus diversity identified at a site in the country's northern, tropical waters. A linear model fitted with a generalized least squares regression identified geomorphic feature type, benthic substrate type, and northness (of slope) as explanatory variables of fish chorus diversity. Geomorphic feature type was identified as the significant driver of fish chorus diversity. These results align with broad-scale patterns reported previously in fish biodiversity, fish assemblages, and fish acoustic diversity. This study has highlighted that passive acoustic monitoring of fish chorus diversity has the potential to be used as an indicator of fish biodiversity and to highlight habitats of ecological importance. (c) 2023 Author(s). All article content, except where otherwise noted, is licensed under a Creative CommonsAttribution (CC BY) license (http://creativecommons.org/licenses/by/4.0/).</t>
  </si>
  <si>
    <t>[Hawkins, Lauren Amy; Figueroa, M. Montserrat Landero; Mccauley, Robert D.; Parnum, Iain M.; Erbe, Christine] Curtin Univ, Ctr Marine Sci &amp; Technol, Bentley, WA 6102, Australia; [Saunders, Benjamin J.] Curtin Univ, Sch Mol &amp; Life Sci, Bentley, WA 6102, Australia; [Parsons, Miles James] Australian Inst Marine Sci, Perth, WA 6009, Australia; [Parsons, Miles James] Curtin Univ, Ctr Marine Sci &amp; Technol, Bentley, WA 6102, Australia</t>
  </si>
  <si>
    <t>Curtin University; Curtin University; Australian Institute of Marine Science; Curtin University</t>
  </si>
  <si>
    <t>Hawkins, LA (corresponding author), Curtin Univ, Ctr Marine Sci &amp; Technol, Bentley, WA 6102, Australia.</t>
  </si>
  <si>
    <t>laurenhawkins799@gmail.com</t>
  </si>
  <si>
    <t>Erbe, Christine/AAA-3801-2021</t>
  </si>
  <si>
    <t>Erbe, Christine/0000-0002-7884-9907; Hawkins, Lauren Amy/0000-0001-6997-3116</t>
  </si>
  <si>
    <t>SeaWorld and Busch Gardens Conservation Fund; BHP [2010-004]</t>
  </si>
  <si>
    <t>SeaWorld and Busch Gardens Conservation Fund; BHP</t>
  </si>
  <si>
    <t>The authors of this study would like to thank Jason Gedamke, formerly of the Australian Antarctic Division, for organising the deployment of a recorder on a CSIRO mooring south of Tasmania, and acknowledge the SeaWorld and Busch Gardens Conservation Fund for funding the acoustic recordings in Bremer Bay, and BHP for funding the research in Port Hedland through their Minerals Australia Social Investment Program-Environment Portfolio Project 2010-004: Passive acoustic techniques to monitor aggregations of sound-producing fish species (PI Miles Parsons, Curtin University). Acoustic data were sourced from Australia's IMOS, which is enabled by the National Collaborative Research Infrastructure Strategy (NCRIS). It is operated by a consortium of institutions as an unincorporated joint venture with the University of Tasmania as the lead agent.7 The authors would also like to acknowledge the Australian Institute of Marine Science, the Centre for Marine Science and Technology at Curtin University, Chevron Australia, Inpex (Comrie-Greig and Abdo, 2014; Parsons et al., 2016), Fugro, Santos (this work was conducted as part of the North West Shoals to Shore Program, which is proudly supported by Santos as part of the company's commitment to better understand Western Australia's marine environment), Woodside Energy, and others for supporting data collection. The contributions of the authors are as follows: L.A.H.-conceptualization, methodology, software development, data preprocessing and analysis, writing (original draft), and writing (review and edits); B.J.S.-conceptualization, methodology (statistical modeling), software development, and writing (review and edits); R.D.M.-data acquisition and writing (review and edits); M.M.L.F.-data analysis and writing (original draft-methods); I.P.-conceptualization and software development (statistical modeling); M.J.P.-data acquisition and writing (original draft, review, and edits); and C.E.-conceptualization, methodology (acoustics analysis and statistical modeling), software development, and writing (review and edits).</t>
  </si>
  <si>
    <t>10.1121/10.0021330</t>
  </si>
  <si>
    <t>U5HT6</t>
  </si>
  <si>
    <t>WOS:001085116800002</t>
  </si>
  <si>
    <t>Krebs, N; Bock, C; Tebben, J; Mark, FC; Lucassen, M; Lannig, G; Pörtner, HO</t>
  </si>
  <si>
    <t>Krebs, Nina; Bock, Christian; Tebben, Jan; Mark, Felix C.; Lucassen, Magnus; Lannig, Gisela; Poertner, Hans-Otto</t>
  </si>
  <si>
    <t>Evolutionary Adaptation of Protein Turnover in White Muscle of Stenothermal Antarctic Fish: Elevated Cold Compensation at Reduced Thermal Responsiveness</t>
  </si>
  <si>
    <t>BIOMOLECULES</t>
  </si>
  <si>
    <t>protein synthesis rate; protein degradation; polar fish; NMR; metabolic profiling; 13C-phenylalanine; non-radioactive; fish physiology; acute warming</t>
  </si>
  <si>
    <t>RAINBOW-TROUT; CATHEPSIN-D; SEA FISH; TEMPERATURE; GROWTH; METABOLISM; TOLERANCE; OXYGEN; DEGRADATION; ECTOTHERMS</t>
  </si>
  <si>
    <t>Protein turnover is highly energy consuming and overall relates to an organism's growth performance varying largely between species, e.g., due to pre-adaptation to environmental characteristics such as temperature. Here, we determined protein synthesis rates and capacity of protein degradation in white muscle of the cold stenothermal Antarctic eelpout (Pachycara brachycephalum) and its closely related temperate counterpart, the eurythermal common eelpout (Zoarces viviparus). Both species were exposed to acute warming (P. brachycephalum, 0 degrees C + 2 degrees C day-1; Z. viviparus, 4 degrees C + 3 degrees C day-1). The in vivo protein synthesis rate (Ks) was monitored after injection of 13C-phenylalanine, and protein degradation capacity was quantified by measuring the activity of cathepsin D in vitro. Untargeted metabolic profiling by nuclear magnetic resonance (NMR) spectroscopy was used to identify the metabolic processes involved. Independent of temperature, the protein synthesis rate was higher in P. brachycephalum (Ks = 0.38-0.614 % day-1) than in Z. viviparus (Ks= 0.148-0.379% day-1). Whereas protein synthesis remained unaffected by temperature in the Antarctic species, protein synthesis in Z. viviparus increased to near the thermal optimum (16 degrees C) and tended to fall at higher temperatures. Most strikingly, capacities for protein degradation were about ten times higher in the Antarctic compared to the temperate species. These differences are mirrored in the metabolic profiles, with significantly higher levels of complex and essential amino acids in the free cytosolic pool of the Antarctic congener. Together, the results clearly indicate a highly cold-compensated protein turnover in the Antarctic eelpout compared to its temperate confamilial. Constant versus variable environments are mirrored in rigid versus plastic functional responses of the protein synthesis machinery.</t>
  </si>
  <si>
    <t>[Krebs, Nina; Bock, Christian; Mark, Felix C.; Lucassen, Magnus; Lannig, Gisela; Poertner, Hans-Otto] Helmholtz Ctr Polar &amp; Marine Res, Alfred Wegener Inst, Dept Integrat Ecophysiol, Handelshafen 12, D-27570 Bremerhaven, Germany; [Tebben, Jan] Helmholtz Ctr Polar &amp; Marine Res, Alfred Wegener Inst, Dept Ecol Chem, Handelshafen 12, D-27570 Bremerhaven, Germany</t>
  </si>
  <si>
    <t>Krebs, N; Pörtner, HO (corresponding author), Helmholtz Ctr Polar &amp; Marine Res, Alfred Wegener Inst, Dept Integrat Ecophysiol, Handelshafen 12, D-27570 Bremerhaven, Germany.</t>
  </si>
  <si>
    <t>nina.krebs@awi.de; christian.bock@awi.de; jan.tebben@awi.de; felix.christopher.mark@awi.de; magnus.lucassen@awi.de; gisela.lannig@awi.de; hans.poertner@awi.de</t>
  </si>
  <si>
    <t>Bock, Christian/B-4421-2017; Mark, Felix Christopher/P-4759-2016; Portner, Hans-O./K-9429-2016</t>
  </si>
  <si>
    <t>Bock, Christian/0000-0003-0052-3090; Mark, Felix Christopher/0000-0002-5586-6704; Portner, Hans-O./0000-0001-6535-6575; Tebben, Jan/0000-0002-2780-2236</t>
  </si>
  <si>
    <t>Changing Earth-Sustaining our Future</t>
  </si>
  <si>
    <t>This study was supported by the research program Changing Earth-Sustaining our Future in the program-oriented funding periods (PoF IV subtopic 6.2-Adaptation of marine life:from genes to ecosystems) of the Helmholtz Association.</t>
  </si>
  <si>
    <t>2218-273X</t>
  </si>
  <si>
    <t>Biomolecules</t>
  </si>
  <si>
    <t>10.3390/biom13101507</t>
  </si>
  <si>
    <t>W8LF3</t>
  </si>
  <si>
    <t>WOS:001094081300001</t>
  </si>
  <si>
    <t>Wang, K; Deng, YS; He, YY; Cao, JH; Zhang, LP; Qin, L; Qu, CF; Li, HM; Miao, JL</t>
  </si>
  <si>
    <t>Wang, Kai; Deng, Yashan; He, Yingying; Cao, Junhan; Zhang, Liping; Qin, Ling; Qu, Changfeng; Li, Hongmei; Miao, Jinlai</t>
  </si>
  <si>
    <t>Protective Effect of Mycosporine-like Amino Acids Isolated from an Antarctic Diatom on UVB-Induced Skin Damage</t>
  </si>
  <si>
    <t>mycosporine-like amino acids; Antarctic diatom; ultraviolet B; skin damage; oxidative stress; inflammation</t>
  </si>
  <si>
    <t>EXCITED-STATE PROPERTIES; SEA-ICE; HAIRLESS MICE; HACAT KERATINOCYTES; OXIDATIVE STRESS; PHOTOSTABILITY; PORPHYRA-334; BIOSYNTHESIS; INFLAMMATION; MACROALGAE</t>
  </si>
  <si>
    <t>Although it is well recognized that mycosporine-like amino acids (MAAs) are ultraviolet (UV) protective agents that can reduce UV damage, the specific biological mechanism of its role in the skin remains unclear. In this study, we investigated the effect of MAAs extracted from Antarctic diatom Phaeodactylum tricornutum ICE-H on UVB-induced skin damage using a mice model. The MAAs components identified by liquid chromatography-tandem mass spectrometry included 4-deoxygadusol, shinorine, and porphyra-334, which were purified using a Supledean Carboxen1000 solid phase extraction column. The antioxidant activities of these MAA compounds were tested in vitro. For UVB-induced skin photodamage in mice, MAAs alleviated skin swelling and epidermal thickening in this study. We detected the content of reactive oxygen species (ROS), malondialdehyde, and collagen in skin tissue. In addition, quantitative real-time polymerase chain reaction was used to detect nuclear factor-kappa B (NF-kappa B), tumor necrosis factor alpha, interleukin-1 beta, cyclooxygenase-2, mitogen activated protein kinase (MAPK) family (extracellular signal-regulated kinase, c-Jun amino-terminal kinase, and p38 kinase), and matrix metalloproteinases. The expression of these cytokines and enzymes is related to inflammatory responses and collagen degradation. In comparison to the model group without MAA treatment, the MAA component decreased the concentration of ROS, the degree of oxidative stress in the skin tissue, and the expression of genes involved in the NF-kappa B and MAPK pathways. In summary, these MAA components extracted from Phaeodactylum tricornutum ICE-H protected against UVB-induced skin damage by inhibiting ROS generation, relieving skin inflammation, and slowing down collagen degradation, suggesting that these MAA components are effective cosmetic candidate molecules for the protection and therapy of UVB damage.</t>
  </si>
  <si>
    <t>[Wang, Kai; Deng, Yashan; He, Yingying; Cao, Junhan; Zhang, Liping; Qin, Ling; Qu, Changfeng; Miao, Jinlai] Minist Nat Resources, Inst Oceanog 1, Key Lab Marine Ecoenvironm Sci &amp; Technol, Qingdao 266061, Peoples R China; [Qu, Changfeng; Miao, Jinlai] Qingdao Pilot Natl Lab Marine Sci &amp; Technol, Lab Marine Drugs &amp; Bioprod, Qingdao 266237, Peoples R China; [Qu, Changfeng; Miao, Jinlai] Qingdao Key Lab, Marine Nat Prod R&amp;D Lab, Qingdao 266061, Peoples R China; [Li, Hongmei] Shandong Acad Pharmaceut Sci, Key Lab Biomed Polymers, Jinan 250100, Peoples R China</t>
  </si>
  <si>
    <t>Ministry of Natural Resources of the People's Republic of China; First Institute of Oceanography, Ministry of Natural Resources; Laoshan Laboratory</t>
  </si>
  <si>
    <t>Miao, JL (corresponding author), Minist Nat Resources, Inst Oceanog 1, Key Lab Marine Ecoenvironm Sci &amp; Technol, Qingdao 266061, Peoples R China.;Miao, JL (corresponding author), Qingdao Pilot Natl Lab Marine Sci &amp; Technol, Lab Marine Drugs &amp; Bioprod, Qingdao 266237, Peoples R China.;Miao, JL (corresponding author), Qingdao Key Lab, Marine Nat Prod R&amp;D Lab, Qingdao 266061, Peoples R China.</t>
  </si>
  <si>
    <t>wk2303@stu.ouc.edu.cn; threethree714@outlook.com; heyinging@fio.org.cn; caojunhan@stu.ouc.edu.cn; 15689487176@163.com; qinling@fio.org.cn; cfqu@fio.org.cn; yijianmei2003@163.com; miaojinlai@fio.org.cn</t>
  </si>
  <si>
    <t>He, Ying Ying/HZL-0137-2023</t>
  </si>
  <si>
    <t>He, Ying Ying/0000-0002-8759-3157</t>
  </si>
  <si>
    <t>We thank the Qingdao University of Science and Technology for providing the site for this experiment.; Qingdao University of Science and Technology</t>
  </si>
  <si>
    <t>We thank the Qingdao University of Science and Technology for providing the site for this experiment.</t>
  </si>
  <si>
    <t>10.3390/ijms242015055</t>
  </si>
  <si>
    <t>W7WX7</t>
  </si>
  <si>
    <t>WOS:001093704400001</t>
  </si>
  <si>
    <t>Saenz, BT; Mckee, DC; Doney, SC; Martinson, DG; Stammerjohn, SE</t>
  </si>
  <si>
    <t>Saenz, Benjamin T.; Mckee, Darren C.; Doney, Scott C.; Martinson, Douglas G.; Stammerjohn, Sharon E.</t>
  </si>
  <si>
    <t>Influence of seasonally varying sea-ice concentration and subsurface ocean heat on sea-ice thickness and sea-ice seasonality for a 'warm-shelf' region in Antarctica</t>
  </si>
  <si>
    <t>Atmosphere/ice/ocean interactions; energy balance; polar and subpolar oceans; sea-ice dynamics; sea-ice modeling</t>
  </si>
  <si>
    <t>CIRCUMPOLAR DEEP-WATER; MARGUERITE BAY; SOUTHERN-OCEAN; SNOW ACCUMULATION; PENINSULA REGION; MODEL; VARIABILITY; SENSITIVITY; IMPACT; BELLINGSHAUSEN</t>
  </si>
  <si>
    <t>Processes driving changes in sea-ice seasonality and sea-ice thickness were explored for a 'warm-shelf' region along the West Antarctic Peninsula using vertically coupled sea-ice-ocean thermodynamic simulations, with and without assimilated satellite sea-ice observations and moored ocean temperature observations. Simulations with assimilated sea-ice observations permitted investigation of surface [thermodynamic and dynamic (e.g., wind-driven)] processes affecting sea-ice thickness and seasonality. Assimilation of quasi-weekly variability in the depth and temperature of the deep warm pycnocline permitted examination of subsurface processes affecting sea-ice. Simulations using assimilated sea-ice observations (and implied motion) always produced greater surface heat fluxes and overall thinner sea ice. Assimilating seasonal and quasi-weekly variability in the depth and temperature of the pycnocline modified the start of the sea-ice season by -23 to +1 d, and also modified the sea ice thickness/seasonality to be thinner/shorter or thicker/longer at sub-seasonal and seasonal timescales, highlighting a mechanism where a shoaling pycnocline enhanced upward deep-water heat fluxes as transient surface-induced turbulence had a greater effect on a reduced mixed layer volume. The observed interplay of surface, subsurface, and sea-ice modulation of ocean-atmosphere heat transfer underscores the importance of representing the interaction between sea-ice concentration and upper ocean variability in climate projections.</t>
  </si>
  <si>
    <t>[Saenz, Benjamin T.; Stammerjohn, Sharon E.] Univ Colorado, Inst Arctic &amp; Alpine Res, Boulder, CO 80303 USA; [Mckee, Darren C.; Doney, Scott C.] Univ Virginia, Dept Environm Sci, Charlottesville, VA 22904 USA; [Martinson, Douglas G.] Columbia Univ, Lamont Doherty Earth Observ, Palisades, NY 10964 USA</t>
  </si>
  <si>
    <t>University of Colorado System; University of Colorado Boulder; University of Virginia; Columbia University</t>
  </si>
  <si>
    <t>Saenz, BT (corresponding author), Univ Colorado, Inst Arctic &amp; Alpine Res, Boulder, CO 80303 USA.</t>
  </si>
  <si>
    <t>blsaenz@gmail.com</t>
  </si>
  <si>
    <t>Doney, Scott/F-9247-2010</t>
  </si>
  <si>
    <t>Doney, Scott/0000-0002-3683-2437; STAMMERJOHN, SHARON/0000-0002-1697-8244</t>
  </si>
  <si>
    <t>This work was supported by the US National Science Foundation grants OPP- 0823101 and PLR-1440435 (Palmer Long Term Ecological Research), with model development supported by NASA ROSES NNX09AN14G. [OPP- 0823101, PLR-1440435]; US National Science Foundation [NNX09AN14G]; NASA ROSES</t>
  </si>
  <si>
    <t>This work was supported by the US National Science Foundation grants OPP- 0823101 and PLR-1440435 (Palmer Long Term Ecological Research), with model development supported by NASA ROSES NNX09AN14G.; US National Science Foundation(National Science Foundation (NSF)); NASA ROSES(National Aeronautics &amp; Space Administration (NASA))</t>
  </si>
  <si>
    <t>This work was supported by the US National Science Foundation grants OPP- 0823101 and PLR-1440435 (Palmer Long Term Ecological Research), with model development supported by NASA ROSES NNX09AN14G.</t>
  </si>
  <si>
    <t>10.1017/jog.2023.36</t>
  </si>
  <si>
    <t>W0BH9</t>
  </si>
  <si>
    <t>WOS:001088364900026</t>
  </si>
  <si>
    <t>Talalay, PG; Gong, D; Fan, XP; Li, YZ; Leitchenkov, G; Li, B; Zhang, N; Wang, RS; Yang, Y; Hong, JL</t>
  </si>
  <si>
    <t>Talalay, Pavel G.; Gong, Da; Fan, Xiaopeng; Li, Yazhou; Leitchenkov, German; Li, Bing; Zhang, Nan; Wang, Rusheng; Yang, Yang; Hong, Jialin</t>
  </si>
  <si>
    <t>Geothermal heat flow from borehole measurements at the margin of Princess Elizabeth Land (East Antarctic Ice Sheet)</t>
  </si>
  <si>
    <t>glaciological instruments and methods; ice temperature; subglacial exploration geophysics</t>
  </si>
  <si>
    <t>TEMPERATURE; FLUX; CORE</t>
  </si>
  <si>
    <t>A 198.8 m deep borehole was drilled through ice to subglacial bedrock in the northwestern marginal part of Princess Elizabeth Land, similar to 12 km south of Zhongshan Station, in January-February 2019. Three years later, in February 2022, the borehole temperature profile was measured, and the geothermal heat flow (GHF) was estimated using a 1-D time-dependent energy-balance equation. For a depth corresponding to the base of the ice sheet, the GHF was calculated as 72.6 +/- 2.3 mW m(-2) and temperature -4.53 +/- 0.27 degrees C. The regional averages estimated for this area based, generally, on tectonic setting vary from 55 to 66 mW m(-2). A higher GHF is interpreted to originate mostly from the occurrence of metamorphic complexes intruded by heat-producing elements in the subglacial bedrock below the drill site.</t>
  </si>
  <si>
    <t>[Talalay, Pavel G.; Gong, Da; Fan, Xiaopeng; Zhang, Nan; Wang, Rusheng; Yang, Yang; Hong, Jialin] Jilin Univ, Polar Res Ctr, Changchun, Peoples R China; [Talalay, Pavel G.; Li, Yazhou; Li, Bing] China Univ Geosci, Beijing, Peoples R China; [Leitchenkov, German] All Russian Sci Res Inst Geol &amp; Mineral Resources, St Petersburg, Russia; [Leitchenkov, German] St Petersburg State Univ, Inst Earth Sci, St Petersburg, Russia</t>
  </si>
  <si>
    <t>Jilin University; China University of Geosciences; Saint Petersburg State University</t>
  </si>
  <si>
    <t>Fan, XP (corresponding author), Jilin Univ, Polar Res Ctr, Changchun, Peoples R China.;Li, B (corresponding author), China Univ Geosci, Beijing, Peoples R China.</t>
  </si>
  <si>
    <t>fxp@jlu.edu.cn; bing@cugb.edu.cn</t>
  </si>
  <si>
    <t>Talalay, Pavel/AAH-2908-2020</t>
  </si>
  <si>
    <t>Talalay, Pavel/0000-0002-8230-4600; Leitchenkov, German/0000-0001-6316-8511</t>
  </si>
  <si>
    <t>National Natural Science Foundation of China [41941005, 41906192]; CHINARE</t>
  </si>
  <si>
    <t>National Natural Science Foundation of China(National Natural Science Foundation of China (NSFC)); CHINARE</t>
  </si>
  <si>
    <t>This research was funded by grants from the National Natural Science Foundation of China (Nos. 41941005 and 41906192). We thank CHINARE for logistical and financial support of field operations in Antarctica. This work would not have been completed without the continuous support and valuable help of Jingxue Guo and Xu Yao, the leaders of Zhongshan Station. We are grateful to Zhe Li and Wenbi Xie for their help with temperature measurements in the JLU borehole. We are also grateful to the 'Snow Eagle' aircraft team members, Xiaosong Shi, Xiangbin Cui, Changwei Hou, Xiaowen Liao, Gan Su, Duanran Zhao, Qingzhong Yao, Gang Qiao, Lin Li and Yukai Zhao, for providing ground-penetrating radar profile through JLU drilling site. We also thank reviewers, Anya M. Reading, Mareen Loesing and anonymous reviewer for fruitful comments and advice.</t>
  </si>
  <si>
    <t>10.1017/jog.2023.43</t>
  </si>
  <si>
    <t>WOS:001088364900030</t>
  </si>
  <si>
    <t>Cui, SQ; Du, J; Zhu, L; Xin, D; Xin, YH; Zhang, JL</t>
  </si>
  <si>
    <t>Cui, Siqi; Du, Jie; Zhu, Lin; Xin, Di; Xin, Yuhua; Zhang, Jianli</t>
  </si>
  <si>
    <t>Analysis of Microbial Diversity in South Shetland Islands and Antarctic Peninsula Soils Based on Illumina High-Throughput Sequencing and Cultivation-Dependent Techniques</t>
  </si>
  <si>
    <t>MICROORGANISMS</t>
  </si>
  <si>
    <t>Antarctic soils; microbial diversity; 16S rRNA; Illumina sequencing; psychropoilic; novel taxa</t>
  </si>
  <si>
    <t>BACTERIAL COMMUNITY; DOMINANT BACTERIA; VICTORIA LAND; VALLEY; SEDIMENTS; NORTHERN</t>
  </si>
  <si>
    <t>To assess the diversity of bacterial taxa in Antarctic soils and obtain novel microbial resources, 15 samples from 3 sampling sites (DIS5, GWS7, FPS10) of South Shetland Islands and 2 sampling sites (APS18, CIS17) of Antarctic Peninsula were collected. High-throughput sequencing (HTS) of 16S rRNA genes within these samples was conducted on an Illumina Miseq platform. A total of 140,303 16S rRNA gene reads comprising 802 operational taxonomic units (OTUs) were obtained. After taxonomic classification, 25 phyla, 196 genera, and a high proportion of unidentified taxa were detected, among which seven phyla and 99 genera were firstly detected in Antarctica. The bacterial communities were dominated by Actinomycetota (40.40%), Pseudomonadota (17.14%), Bacteroidota (10.55%) and Chloroflexota (10.26%). Based on the HTS analyses, cultivation-dependent techniques were optimized to identify the cultivable members. A total of 30 different genera including 91 strains were obtained, the majority of which has previously been reported from Antarctica. However, for the genera Microterricola, Dyadobacter, Filibacter, Duganella, Ensifer, Antarcticirhabdus and Microvirga, this is the first report in Antarctica. In addition, seven strains represented novel taxa, two of which were psychropoilic and could be valuable resources for further research of cold-adaptability and their ecological significance in Antarctica.</t>
  </si>
  <si>
    <t>[Cui, Siqi; Du, Jie; Zhu, Lin; Xin, Di; Zhang, Jianli] Beijing Inst Technol, Sch Life Sci, Key Lab Mol Med &amp; Biotherapy, Beijing 100081, Peoples R China; [Xin, Yuhua] Chinese Acad Sci, China Gen Microbiol Culture Collect Ctr, Inst Microbiol, Beijing 100101, Peoples R China</t>
  </si>
  <si>
    <t>Beijing Institute of Technology; Chinese Academy of Sciences; Institute of Microbiology, CAS</t>
  </si>
  <si>
    <t>Zhang, JL (corresponding author), Beijing Inst Technol, Sch Life Sci, Key Lab Mol Med &amp; Biotherapy, Beijing 100081, Peoples R China.</t>
  </si>
  <si>
    <t>andy9797979797@163.com; dj535339752@outlook.com; zhulin-2961@foxmail.com; cnd909@sina.com; xinyh@im.ac.cn; zhangjianli@bit.edu.cn</t>
  </si>
  <si>
    <t>zhu, hao/KHW-3813-2024</t>
  </si>
  <si>
    <t>zhang, jianli/0000-0002-3194-0375</t>
  </si>
  <si>
    <t>Beijing Natural Science Foundation [5232017]</t>
  </si>
  <si>
    <t>Beijing Natural Science Foundation(Beijing Natural Science Foundation)</t>
  </si>
  <si>
    <t>This research was funded by the Beijing Natural Science Foundation, grant number 5232017.</t>
  </si>
  <si>
    <t>2076-2607</t>
  </si>
  <si>
    <t>Microorganisms</t>
  </si>
  <si>
    <t>10.3390/microorganisms11102517</t>
  </si>
  <si>
    <t>W2FF5</t>
  </si>
  <si>
    <t>WOS:001089833600001</t>
  </si>
  <si>
    <t>Mason, C; Hobday, AJ; Lea, MA; Alderman, R</t>
  </si>
  <si>
    <t>Mason, Claire; Hobday, Alistair J.; Lea, Mary-Anne; Alderman, Rachael</t>
  </si>
  <si>
    <t>Individual consistency in the localised foraging behaviour of shy albatross (Thalassarche cauta)</t>
  </si>
  <si>
    <t>foraging strategy; GPS telemetry; individual specialisation; seabirds; site fidelity</t>
  </si>
  <si>
    <t>UPWELLING SYSTEMS; MARINE; SPECIALIZATION; STRATEGIES; VARIABILITY; LIFE; CONSEQUENCES; EXPLOITATION; AGGREGATION; EXPLORATION</t>
  </si>
  <si>
    <t>Quantifying the intra- and interindividual variation that exists within a population can provide meaningful insights into a population's vulnerability and response to rapid environmental change. We characterise the foraging behaviour of 308 trips taken by 96 shy albatross (Thalassarche cauta) from Albatross Island across seven consecutive years. At a population level, incubating shy albatross exploited a consistent area within ca. 500 km radius of their breeding colony. During half of the trips, individuals utilised the closest shelf break to the west of the colony, where upwelling events have been reported. The other half of the trips were exclusively within the neritic zone, utilising a variety of locations within the Bass Strait. Furthermore, we found evidence of individual consistency to geographic locations, with subsequent trips by an individual more similar than random trips from all individuals in our data, both within and between years (G-test, p &lt; .05). Between-individual variation in foraging behaviour was not meaningfully explained by age (linear regression, p &gt; .05) or sex (t-test, p &gt; .05) for any metric, suggesting that other intrinsic individual factors are accounting for between-individual variation in foraging trips. A localised foraging distribution is unusual for albatross, which, combined with high variation in space use between individuals demonstrated here, suggests that this species is accessing adequate resources near the colony. Overall, these findings suggest that incubating shy albatross from Albatross Island exhibit tendencies of a generalist population comprised of uniquely specialised individuals. These results suggest that this species is operating below its biological capacity in this fast-warming area and provide a baseline from which to assess future change.</t>
  </si>
  <si>
    <t>[Mason, Claire; Lea, Mary-Anne] Univ Tasmania, Inst Marine &amp; Antarctic Studies, Battery Point, Tas, Australia; [Mason, Claire; Hobday, Alistair J.] CSIRO Environm, Battery Point, Tas, Australia; [Alderman, Rachael] Tasmanian Govt, Dept Nat Resources &amp; Environm, Hobart, Tas, Australia; [Mason, Claire] CSIRO Environm, Battery Point, Tas 7004, Australia</t>
  </si>
  <si>
    <t>Mason, C (corresponding author), CSIRO Environm, Battery Point, Tas 7004, Australia.</t>
  </si>
  <si>
    <t>claire.j.mason@csiro.au</t>
  </si>
  <si>
    <t>Mason, Claire Jocelyn/F-6977-2018; Hobday, Alistair/A-1460-2012; Lea, Mary-Anne/E-9054-2013</t>
  </si>
  <si>
    <t>Mason, Claire Jocelyn/0000-0001-8063-5812; Hobday, Alistair/0000-0002-3194-8326; Lea, Mary-Anne/0000-0001-8318-9299</t>
  </si>
  <si>
    <t>Australian Government Research Training Program (RTP) Scholarship; Holsworth Wildlife Research Endowment</t>
  </si>
  <si>
    <t>Australian Government Research Training Program (RTP) Scholarship(Australian GovernmentDepartment of Industry, Innovation and Science); Holsworth Wildlife Research Endowment</t>
  </si>
  <si>
    <t>e10644</t>
  </si>
  <si>
    <t>10.1002/ece3.10644</t>
  </si>
  <si>
    <t>W3BO5</t>
  </si>
  <si>
    <t>WOS:001090417000001</t>
  </si>
  <si>
    <t>Chen, H; Wang, H; Han, W; Gu, SY; Zhang, P; Kang, ZM</t>
  </si>
  <si>
    <t>Chen Hao; Wang Hao; Han Wei; Gu Song-yan; Zhang Peng; Kang Zhi-ming</t>
  </si>
  <si>
    <t>Impact Analysis of Microwave Real Spectral Response on Rapid Radiance Simulation</t>
  </si>
  <si>
    <t>SPECTROSCOPY AND SPECTRAL ANALYSIS</t>
  </si>
  <si>
    <t>Real spectral response; Ideal spectral response; Microwave radiance simulation; Microwave remote sensing assimilation; Observation minus background; Land-sea difference analysis</t>
  </si>
  <si>
    <t>To analyze the effects of the real spectral response of microwave remote sensors on microwave radiance simulation in the assimilation modules of numerical weather prediction systems, the real and ideal spectral responses of the fourth channel, which reflects the atmospheric and terrestrial radiance simultaneously, of FengYun-3D Microwave Temperature Sounders-2(FY-3D MWTS-2) were applied. Based on line-by-line atmospheric absorption models and predictors of Radiative Transfer for TOVS (RTTOV), different optical depth fitting parameters by real and ideal spectral responses of FY-3D MWTS-2 were generated by applying the least square method. Radiance background fields by real and ideal spectral responses can be simulated from four dimension variation assimilation module of the China Meteorological Administration-Global Forecast System (CMA-GFS) by using the Final (FNL) global operational analysis dataset from the National Center of Environmental Prediction(NCEP) as the meteorological background fields. Observation Minus Background (OMB) under different sea and land types could be calculated using the observations of FY-3D/MWTS-2 and simulated radiance backgrounds. The results show that microwave radiance backgrounds simulated by real spectral response were higher than ideal spectral response under low radiance observation situations. Simulated radiance backgrounds were closer to observations when the radiance observation increased. Radiance backgrounds by real spectral response were closer to radiance observations than by ideal spectral response under global region except for a small part of the Antarctic region. Compared with using ideal spectral response, when the real spectral response was applied, the Root Mean Square Error (RMSE) of OMB on land region decreased by 1.8%; the RMSE of OMB in sea region decreased by 2.6%; the RMSE of OMB in land sea border region decreased by 4.72% the total RMSE of OMB decreased by 2.17%. Standard Deviation (STDV) and Mean Absolute Error (MAE) also decreased by 0.75% and 4.6%.</t>
  </si>
  <si>
    <t>[Chen Hao; Kang Zhi-ming] Jiangsu Meteorol Observ, Nanjing 210008, Peoples R China; [Chen Hao] China Meteorol Adm, Key Lab Transportat Meteorol, Nanjing 210008, Peoples R China; [Wang Hao; Han Wei] CMA Earth Syst Modeling &amp; Predict Ctr CEMC, Beijing, Peoples R China; [Gu Song-yan; Zhang Peng] Natl Satellite Meteorol Ctr, Beijing 100081, Peoples R China</t>
  </si>
  <si>
    <t>China Meteorological Administration</t>
  </si>
  <si>
    <t>Wang, H (corresponding author), CMA Earth Syst Modeling &amp; Predict Ctr CEMC, Beijing, Peoples R China.</t>
  </si>
  <si>
    <t>chenhao_fdu@hotmail.com; wanghao@cma.gov.cn</t>
  </si>
  <si>
    <t>OFFICE SPECTROSCOPY &amp; SPECTRAL ANALYSIS</t>
  </si>
  <si>
    <t>NO 76 COLLAGE SOUTH RD BEIJING, BEIJING 100081, PEOPLES R CHINA</t>
  </si>
  <si>
    <t>1000-0593</t>
  </si>
  <si>
    <t>SPECTROSC SPECT ANAL</t>
  </si>
  <si>
    <t>Spectrosc. Spectr. Anal.</t>
  </si>
  <si>
    <t>10.3964/j.issn.1000-0593(2023)10-3260-06</t>
  </si>
  <si>
    <t>Spectroscopy</t>
  </si>
  <si>
    <t>U2TB0</t>
  </si>
  <si>
    <t>WOS:001083367000036</t>
  </si>
  <si>
    <t>Namsaraev, Z; Kozlova, A; Tuzov, F; Krylova, A; Izotova, A; Makarov, I; Bezgreshnov, A; Melnikova, A; Trofimova, A; Kuzmin, D; Patrushev, M; Toshchakov, S</t>
  </si>
  <si>
    <t>Namsaraev, Zorigto; Kozlova, Aleksandra; Tuzov, Fedor; Krylova, Anastasia; Izotova, Anna; Makarov, Ivan; Bezgreshnov, Andrei; Melnikova, Anna; Trofimova, Anna; Kuzmin, Denis; Patrushev, Maksim; Toshchakov, Stepan</t>
  </si>
  <si>
    <t>Biogeographic Analysis Suggests Two Types of Planktonic Prokaryote Communities in the Barents Sea</t>
  </si>
  <si>
    <t>BIOLOGY-BASEL</t>
  </si>
  <si>
    <t>Barents Sea; Arctic Ocean; Atlantification; Kola Section; prokaryote diversity; biogeography</t>
  </si>
  <si>
    <t>ARCTIC-OCEAN; ICE; DIVERSITY; CLIMATE; PHYTOPLANKTON; TEMPERATURE; GENOME; GROWTH</t>
  </si>
  <si>
    <t>Simple Summary Of all the Arctic seas, the prokaryotic communities of the Barents Sea are the most affected by climate change and are strongly influenced by microbiota from the Atlantic Ocean. Using 16S metabarcoding, we analyzed samples of prokaryotic plankton communities in the Barents Sea and found two types of communities. The origin of these communities is discussed in terms of biogeography.Abstract The Barents Sea is one of the most rapidly changing Arctic regions, with an unprecedented sea ice decline and increase in water temperature and salinity. We have studied the diversity of prokaryotic communities using 16S metabarcoding in the western and northeastern parts of the Barents Sea along the Kola Section and the section from Novaya Zemlya to Franz Joseph Land. The hypothesis-independent clustering method revealed the existence of two distinct types of communities. The most common prokaryotic taxa were shared between two types of communities, but their relative abundance was different. It was found that the geographic location of the sampling sites explained more than 30% of the difference between communities, while no statistically significant correlation between environmental parameters and community composition was found. The representatives of the Psychrobacter, Sulfitobacter and Polaribacter genera were dominant in samples from both types of communities. The first type of community was also dominated by members of Halomonas, Pseudoalteromonas, Planococcaceae and an unclassified representative of the Alteromonadaceae family. The second type of community also had a significant proportion of Nitrincolaceae, SAR92, SAR11 Clade I, NS9, Cryomorphaceae and SUP05 representatives. The origin of these communities can be explained by the influence of environmental factors or by the different origins of water masses. This research highlights the importance of studying biogeographic patterns in the Barents Sea in comparison with those in the North Atlantic and Arctic Ocean prokaryote communities.</t>
  </si>
  <si>
    <t>[Namsaraev, Zorigto; Kozlova, Aleksandra; Krylova, Anastasia; Izotova, Anna; Melnikova, Anna; Patrushev, Maksim; Toshchakov, Stepan] Kurchatov Inst, Natl Res Ctr, Kurchatov Ctr Genome Res, Moscow 123182, Russia; [Namsaraev, Zorigto; Kuzmin, Denis] Moscow Inst Phys &amp; Technol, Dolgoprudnyi 141701, Russia; [Tuzov, Fedor] Lomonosov Moscow State Univ, Fac Geog, Dept Oceanol, Moscow 119991, Russia; [Tuzov, Fedor] All Russian Res Inst Civil Def &amp; Emergencies, Moscow 121352, Russia; [Bezgreshnov, Andrei] Arctic &amp; Antarctic Res Inst, St Petersburg 199397, Russia; [Trofimova, Anna] Northern Arctic Fed Univ, Higher Sch Nat Sci &amp; Technol, Dept Geog &amp; Hydrometeorol, Arkhangelsk 163002, Russia</t>
  </si>
  <si>
    <t>National Research Centre - Kurchatov Institute; Moscow Institute of Physics &amp; Technology; Lomonosov Moscow State University; Arctic &amp; Antarctic Research Institute; Northern Arctic Federal University</t>
  </si>
  <si>
    <t>Namsaraev, Z (corresponding author), Kurchatov Inst, Natl Res Ctr, Kurchatov Ctr Genome Res, Moscow 123182, Russia.;Namsaraev, Z (corresponding author), Moscow Inst Phys &amp; Technol, Dolgoprudnyi 141701, Russia.</t>
  </si>
  <si>
    <t>zorigto@gmail.com</t>
  </si>
  <si>
    <t>Bezgreshnov, Andrei M/P-6524-2018; Trofimova, Anna/ABF-3576-2020; Namsaraev, Zorigto/A-3696-2014; Krylova, Anastasia S./HMP-0520-2023; Kuzmin, Denis/AAT-4851-2020</t>
  </si>
  <si>
    <t>Namsaraev, Zorigto/0000-0002-9701-5721; Krylova, Anastasia S./0000-0001-9962-4267; Trofimova, Anna/0000-0001-7271-2283; Toshchakov, Stepan/0000-0001-7549-3450</t>
  </si>
  <si>
    <t>The authors would like to thank the staff of the NArFU Arctic Floating University expedition team for their assistance in the research.</t>
  </si>
  <si>
    <t>2079-7737</t>
  </si>
  <si>
    <t>Biology-Basel</t>
  </si>
  <si>
    <t>10.3390/biology12101310</t>
  </si>
  <si>
    <t>W6CU1</t>
  </si>
  <si>
    <t>WOS:001092492400001</t>
  </si>
  <si>
    <t>Prants, S</t>
  </si>
  <si>
    <t>Prants, Sergey</t>
  </si>
  <si>
    <t>Transport Barriers in Geophysical Flows: A Review</t>
  </si>
  <si>
    <t>SYMMETRY-BASEL</t>
  </si>
  <si>
    <t>elliptic; parabolic; hyperbolic transport barriers; Lagrangian diagnostics; geophysical flows; transport barriers in ecological issues</t>
  </si>
  <si>
    <t>LAGRANGIAN COHERENT STRUCTURES; ANTARCTIC POLAR VORTEX; CHAOTIC TRANSPORT; ELLIPSOIDAL VORTEX; MESOSCALE EDDIES; ROSSBY WAVES; POLLUTION; VORTICES; DYNAMICS; TRACKING</t>
  </si>
  <si>
    <t>In the Lagrangian approach, the transport processes in the ocean and atmosphere are studied by tracking water or air parcels, each of which may carry different tracers. In the ocean, they are salt, nutrients, heat, and particulate matter, such as plankters, oil, radionuclides, and microplastics. In the atmosphere, the tracers are water vapor, ozone, and various chemicals. The observation and simulation reveal highly complex patterns of advection of tracers in turbulent-like geophysical flows. Transport barriers are material surfaces across which the transport is minimal. They can be classified into elliptic, parabolic, and hyperbolic barriers. Different diagnostics in detecting transport barriers and the analysis of their role in the dynamics of oceanic and atmospheric flows are reviewed. We discuss the mathematical tools, borrowed from dynamical systems theory, for detecting transport barriers in simple kinematic and dynamic models of vortical and jet-like flows. We show how the ideas and methods, developed for simple model flows, can be successfully applied for studying the role of barriers in oceanic and atmospheric flows. Special attention is placed on the significance of transport barriers in important practical issues: anthropogenic and natural pollution, advection of plankton, cross-shelf exchange, and propagation of upwelling fronts in coastal zones.</t>
  </si>
  <si>
    <t>[Prants, Sergey] Russian Acad Sci, VI Ilichev Pacific Oceanol Inst, 43 Baltiyskaya St, Vladivostok 690041, Russia</t>
  </si>
  <si>
    <t>Russian Academy of Sciences; Ilichev Pacific Oceanological Institute</t>
  </si>
  <si>
    <t>Prants, S (corresponding author), Russian Acad Sci, VI Ilichev Pacific Oceanol Inst, 43 Baltiyskaya St, Vladivostok 690041, Russia.</t>
  </si>
  <si>
    <t>prants@poi.dvo.ru</t>
  </si>
  <si>
    <t>Prants, Sergey/O-8492-2015</t>
  </si>
  <si>
    <t>Russian Science Foundation [23-17-00068]; [121021700341-2]</t>
  </si>
  <si>
    <t>The work was supported by the Russian Science Foundation (project no. 23-17-00068) with the help of a high-performance computing cluster at the Pacific Oceanological Institute and numerical codes elaborated within State Task no. 121021700341-2</t>
  </si>
  <si>
    <t>2073-8994</t>
  </si>
  <si>
    <t>Symmetry-Basel</t>
  </si>
  <si>
    <t>10.3390/sym15101942</t>
  </si>
  <si>
    <t>W2KT4</t>
  </si>
  <si>
    <t>WOS:001089978100001</t>
  </si>
  <si>
    <t>Ekaykin, AA; Lipenkov, VY; Tchikhatchev, KB</t>
  </si>
  <si>
    <t>Ekaykin, A. A.; Lipenkov, V. Ya.; Tchikhatchev, K. B.</t>
  </si>
  <si>
    <t>Preservation of the Climatic Signal in the Old Ice Layers at the Dome B Area (Antarctica)</t>
  </si>
  <si>
    <t>Antarctica; diffusion; Dome B; ice cores; ice dynamics; modeling; old ice; paleoclimate; stable water isotopes</t>
  </si>
  <si>
    <t>In this work we present the results of numerical modeling of the age and temperature distribution in ice layers at the Dome B site (79.02 degrees S, 93.69 degrees E, altitude 3807 m a.s.l., ice thickness about 2.5 km), located 300 km west of the Russian Antarctic station Vostok. Dome B is situated on the onset of the ice flow line passing through the deep 5G borehole, and it is considered one of the most promising places to search for and study the earth's oldest ice (with an age reaching 1.5 Ma). According to our calculations, all realistic scenarios show the ice age at 60 m above the ice base to be considerably older than 1 Ma, and the glacier base temperature is well below the pressure melting point (-1.8 degrees C for pressure = 23 MPa). For the most likely scenario (accumulation rate 1.8 g/(cm(2) year), effective ice surface temperature -64 degrees C, and geothermal heat flux 60 mW/m(2)), the ice age is 1.4 Ma and the basal temperature is about -13 degrees C, which is close to the earlier predictions from a 2D model. The maximum estimate of the diffusion length in the old ice (for the scenario in which the basal temperature reaches the melting point and in which 30% of excess diffusion is taken into account) is 5.2 cm. In 1.4-Ma-old ice, a 40-ka climatic cycle is squeezed into a 290-cm-thick ice layer. For this ratio of wavelength and diffusion length, the climatic signal attenuation (ratio between the signal amplitude after and before diffusive smoothing) is 0.6%. Thus, due to the relatively low ice temperature here, we may expect a nearly undisturbed climatic curve in the old ice core that will be drilled one day at Dome B. At the same time, shorter oscillations with wavelengths of &lt;1500 years will be totally erased by diffusion.</t>
  </si>
  <si>
    <t>[Ekaykin, A. A.; Lipenkov, V. Ya.; Tchikhatchev, K. B.] Arctic &amp; Antarctic Res Inst, St Petersburg, Russia; [Ekaykin, A. A.] St Petersburg State Univ, Inst Earth Sci, St Petersburg, Russia</t>
  </si>
  <si>
    <t>Ekaykin, AA (corresponding author), Arctic &amp; Antarctic Res Inst, St Petersburg, Russia.;Ekaykin, AA (corresponding author), St Petersburg State Univ, Inst Earth Sci, St Petersburg, Russia.</t>
  </si>
  <si>
    <t>ekaykin@aari.ru</t>
  </si>
  <si>
    <t>Russian Science Foundation [18-17-00110]</t>
  </si>
  <si>
    <t>This study was supported by the Russian Science Foundation, grant no. 18-17-00110</t>
  </si>
  <si>
    <t>S7</t>
  </si>
  <si>
    <t>10.1134/S0001433823130066</t>
  </si>
  <si>
    <t>U8UG7</t>
  </si>
  <si>
    <t>WOS:001087491200001</t>
  </si>
  <si>
    <t>Frolov, IE; Kulakov, MY; Filchuk, KV</t>
  </si>
  <si>
    <t>Frolov, I. E.; Kulakov, M. Yu.; Filchuk, K. V.</t>
  </si>
  <si>
    <t>Ice Balance in the Arctic Ocean in 1979-2019 (Based on Modeling Data)</t>
  </si>
  <si>
    <t>Arctic Ocean; climate change; sea ice; numerical modeling; interannual variability</t>
  </si>
  <si>
    <t>The results of numerical experiments using a coupled model of water and ice circulation from September 1979 to December 2019 aimed at studying the interannual variability of the ice balance in the Arctic Ocean (AO) are considered. These results have made it possible to analyze the geographical features of the processes of ice formation and melting in the AO and identify the key regions that determine the volume of ice in the ocean. It is established that most ice is formed in the waters of the Siberian seas, and the most intense melting occurs in the North European Basin, where the ice transported by the Transpolar Drift Stream through the Fram Strait enters the relatively warm water of the Greenland Sea, heated by the North Atlantic Current. The formation of the absolute minimum of ice coverage in 2012 was caused by the anomalous position of the anticyclonic hydrological cycle located much closer to the Canadian coast. This resulted in the fact that only a small part of the ice formed in the Siberian seas was involved in a weak circulation, while most of the ice in the stream of the Transpolar Drift Stream was transported through the Fram Strait to the Greenland Sea. A statistical analysis of the results of numerical experiments demonstrated that the trend towards a decrease in the volume of ice in the AO is primarily determined by global warming, and dynamic forcing exerts significant effect on local extremes. A coupled model of circulation of water and ice was used to study the variability of ice balance in the AO. The results of special numerical experiments from September 1979 to December 2019 made it possible to establish some geographical features of the processes of ice formation and melting. Statistical analysis of the results showed that the trend towards a decrease in the volume of ice in the AO is determined primarily by global warming, while local extremes are strongly influenced by dynamic forcing.</t>
  </si>
  <si>
    <t>[Frolov, I. E.; Kulakov, M. Yu.; Filchuk, K. V.] Arctic &amp; Antarctic Res Inst, St Petersburg, Russia</t>
  </si>
  <si>
    <t>Kulakov, MY (corresponding author), Arctic &amp; Antarctic Res Inst, St Petersburg, Russia.</t>
  </si>
  <si>
    <t>mod@aari.ru</t>
  </si>
  <si>
    <t>Russian Foundation for Basic Research [18-05-60048]</t>
  </si>
  <si>
    <t>This study was funded by the Russian Foundation for Basic Research, project no. 18-05-60048.</t>
  </si>
  <si>
    <t>S47</t>
  </si>
  <si>
    <t>S56</t>
  </si>
  <si>
    <t>10.1134/S0001433823130078</t>
  </si>
  <si>
    <t>WOS:001087491200004</t>
  </si>
  <si>
    <t>May, RI; Guzenko, RB; Tarovik, OV; Topaj, AG; Yulin, AV</t>
  </si>
  <si>
    <t>May, R. I.; Guzenko, R. B.; Tarovik, O. V.; Topaj, A. G.; Yulin, A. V.</t>
  </si>
  <si>
    <t>Stochastic Modeling of Sea Ice Concentration to Assess Navigation Conditions along the Northern Sea Route</t>
  </si>
  <si>
    <t>ice concentration; sea ice generator; stochastic modeling; ice conditions; Markov chain; Arctic navigation</t>
  </si>
  <si>
    <t>WEATHER GENERATOR; RANDOM-FIELDS; SIMULATION; PRECIPITATION</t>
  </si>
  <si>
    <t>This article describes a probabilistic model (stochastic generator) of spatiotemporal variability of sea ice concentration. The values of the concentration are generated at the nodes of the spatial grid with 10-km resolution; the model time step is 1 day. The change in ice concentration with time (temporal variability) is modeled on the basis of a matrix of transient probabilities (discrete Markov chain), each row of which is a distribution function of the conditional probability of changes in the concentration. Spatial variability is determined by empirical probability fields, with which the observed changes in fields of concentration are associated with known conditional probability distribution functions. To identify the parameters of the stochastic generator, satellite data from the OSI SAF project for 1987-2019 were used. The generator takes into account seasonal, interannual, and climatic variability. Interannual and climatic variability are determined on the basis of a stochastic model of changes in the types of ice coverage. In order to verify the developed stochastic generator, we compare the statistical indicators of observed and calculated ice fields. The results show that the field-average absolute error of statistical characteristics of the ice concentration (average and standard deviation) does not exceed 3.3%. The discrepancy between the correlation intervals of ice coverage calculated from the model and measured ice concentration fields does not exceed 2 days. The variograms of the modeled and observed fields have a similar form and close values. As an example, we determine the duration of navigation of Arc4 ice class ships between the Barents and Kara seas using synthetic fields of the concentration reproduced by the stochastic generator.</t>
  </si>
  <si>
    <t>[May, R. I.; Tarovik, O. V.] Krylov State Res Ctr, St Petersburg, Russia; [Guzenko, R. B.; Yulin, A. V.] Arctic &amp; Antarctic Res Inst, St Petersburg, Russia; [May, R. I.] St Petersburg State Univ, St Petersburg, Russia; [Tarovik, O. V.; Topaj, A. G.] LLC Bur Hyperborea, St Petersburg, Russia</t>
  </si>
  <si>
    <t>Krylov State Research Centre; Arctic &amp; Antarctic Research Institute; Saint Petersburg State University</t>
  </si>
  <si>
    <t>May, RI (corresponding author), Krylov State Res Ctr, St Petersburg, Russia.;May, RI (corresponding author), St Petersburg State Univ, St Petersburg, Russia.</t>
  </si>
  <si>
    <t>rimay@mail.ru</t>
  </si>
  <si>
    <t>Russian Science Foundation [23-19-00039]</t>
  </si>
  <si>
    <t>This study was supported by the Russian Science Foundation, project no. 23-19-00039.</t>
  </si>
  <si>
    <t>S57</t>
  </si>
  <si>
    <t>S69</t>
  </si>
  <si>
    <t>10.1134/S0001433823130091</t>
  </si>
  <si>
    <t>WOS:001087491200005</t>
  </si>
  <si>
    <t>Acevedo, W; Morán-Figueroa, R; Vargas-Chacoff, L; Morera, FJ; Pontigo, JP</t>
  </si>
  <si>
    <t>Acevedo, Waldo; Moran-Figueroa, Rodrigo; Vargas-Chacoff, Luis; Morera, Francisco J.; Pontigo, Juan Pablo</t>
  </si>
  <si>
    <t>Revealing the Salmo salar NLRP3 Inflammasome: Insights from Structural Modeling and Transcriptome Analysis</t>
  </si>
  <si>
    <t>NLRP3; inflammasome; innate immune response; Atlantic salmon; molecular docking; transcriptomics</t>
  </si>
  <si>
    <t>PATTERN-RECOGNITION RECEPTORS; CELL-DEATH; WEB SERVER; PROTEIN; GENE; MECHANISM; DOMAIN; SMOLTIFICATION; SEAWATER; PLATFORM</t>
  </si>
  <si>
    <t>The NLRP3, one of the most heavily studied inflammasome-related proteins in mammals, remains inadequately characterized in Atlantic salmon (Salmo salar), despite the significant commercial importance of this salmonid. The NLRP3 inflammasome is composed of the NLRP3 protein, which is associated with procaspase-1 via an adapter molecule known as ASC. This work aims to characterize the Salmo salar NLRP3 inflammasome through in silico structural modeling, functional transcript expression determination in the SHK-1 cell line in vitro, and a transcriptome analysis on Atlantic salmon. The molecular docking results suggested a similar arrangement of the ternary complex between NLRP3, ASC, and caspase-1 in both the Atlantic salmon and the mammalian NLRP3 inflammasomes. Moreover, the expression results confirmed the functionality of the SsNLRP3 inflammasome in the SHK-1 cells, as evidenced by the lipopolysaccharide-induced increase in the transcription of genes involved in inflammasome activation, including ASC and NLRP3. Additionally, the transcriptome results revealed that most of the inflammasome-related genes, including ASC, NLRP3, and caspase-1, were down-regulated in the Atlantic salmon following its adaptation to seawater (also known as parr-smolt transformation). This is correlated with a temporary detrimental effected on the immune system. Collectively, these findings offer novel insights into the evolutionarily conserved role of NLRP3.</t>
  </si>
  <si>
    <t>[Acevedo, Waldo] Pontificia Univ Catolica Valparaiso, Inst Chem, Fac Sci, Biol Chem Lab, Valparaiso 2373223, Chile; [Moran-Figueroa, Rodrigo; Morera, Francisco J.] Pontificia Univ Catolica Chile, Escuela Med Vet, Fac Agron &amp; Sistemas Nat, Santiago 7810000, Chile; [Moran-Figueroa, Rodrigo; Morera, Francisco J.] Pontificia Univ Catolica Chile, Escuela Med Vet, Fac Ciencias Biol, Santiago 7810000, Chile; [Moran-Figueroa, Rodrigo; Morera, Francisco J.] Pontificia Univ Catolica Chile, Escuela Med Vet, Fac Med, Santiago 7810000, Chile; [Vargas-Chacoff, Luis] Univ Austral Chile, Inst Marine Sci &amp; Limnol, Fac Sci, Valdivia 5110566, Chile; [Vargas-Chacoff, Luis] Univ Austral Chile, IDEAL Res Ctr Dynam High Latitude Marine Ecosyst, Valdivia 5110566, Chile; [Vargas-Chacoff, Luis] Univ Austral Chile, Millennium Inst Biodivers Antarctic &amp; Subantarct E, BASE, Valdivia 5090000, Chile; [Vargas-Chacoff, Luis; Morera, Francisco J.] Integrat Biol Grp, Valdivia 5110566, Chile; [Pontigo, Juan Pablo] Univ San Sebastian, Fac Ciencias Nat, Lab Inst Invest, Med Vet, Lago Panguipulli 1390, Puerto Montt 5090000, Chile</t>
  </si>
  <si>
    <t>Pontificia Universidad Catolica de Valparaiso; Pontificia Universidad Catolica de Chile; Pontificia Universidad Catolica de Chile; Pontificia Universidad Catolica de Chile; Universidad Austral de Chile; Universidad Austral de Chile; Universidad Austral de Chile; Universidad San Sebastian</t>
  </si>
  <si>
    <t>Morera, FJ (corresponding author), Pontificia Univ Catolica Chile, Escuela Med Vet, Fac Agron &amp; Sistemas Nat, Santiago 7810000, Chile.;Morera, FJ (corresponding author), Pontificia Univ Catolica Chile, Escuela Med Vet, Fac Ciencias Biol, Santiago 7810000, Chile.;Morera, FJ (corresponding author), Pontificia Univ Catolica Chile, Escuela Med Vet, Fac Med, Santiago 7810000, Chile.;Morera, FJ (corresponding author), Integrat Biol Grp, Valdivia 5110566, Chile.;Pontigo, JP (corresponding author), Univ San Sebastian, Fac Ciencias Nat, Lab Inst Invest, Med Vet, Lago Panguipulli 1390, Puerto Montt 5090000, Chile.</t>
  </si>
  <si>
    <t>waldo.acevedo@pucv.cl; rodrigo.moran@ug.uchile.cl; luis.vargas@uach.cl; fmorera@uc.cl; juan.pontigo@uss.cl</t>
  </si>
  <si>
    <t>Acevedo, Waldo/L-9698-2019</t>
  </si>
  <si>
    <t>Acevedo, Waldo/0000-0002-1182-0253; Pontigo, Juan Pablo/0000-0003-0084-0862; Vargas-Chacoff, Luis/0000-0002-0497-2582</t>
  </si>
  <si>
    <t>FONDEQUIP EQM150093 and VIDCA [1180957]; FONDECYT REGULAR [11230401]; FONDECYT DE INICIACION Ndegrees [039.471/2020, 039.338/2022, 125.750/2023]; Proyecto VRIEA-PUCV [15150003, ICN2021_002]; FONDAP-IDEAL [EQM150093, VRID FAI20/10, VRID FAPPE21-08]; FONDEQUIP; Universidad San Sebastian</t>
  </si>
  <si>
    <t>FONDEQUIP EQM150093 and VIDCA; FONDECYT REGULAR(Comision Nacional de Investigacion Cientifica y Tecnologica (CONICYT)CONICYT FONDECYT); FONDECYT DE INICIACION Ndegrees; Proyecto VRIEA-PUCV; FONDAP-IDEAL; FONDEQUIP; Universidad San Sebastian</t>
  </si>
  <si>
    <t>This work was supported by FONDECYT REGULAR 1180957 (to FJM, LVC, and WA); FONDECYT DE INICIACION N degrees 11230401 (to JPP). Proyecto VRIEA-PUCV 039.471/2020, 039.338/2022 and 125.750/2023 and FONDAP-IDEAL 15150003 (to LVC); ANID-Millennium Science Initiative Program-center code ICN2021_002 (to LVC); computation provided by FONDEQUIP EQM150093 and VIDCA, grant VRID FAI20/10 and grant VRID FAPPE21-08 Universidad San Sebastian.</t>
  </si>
  <si>
    <t>10.3390/ijms241914556</t>
  </si>
  <si>
    <t>U4YJ8</t>
  </si>
  <si>
    <t>WOS:001084868500001</t>
  </si>
  <si>
    <t>Chen, YH; Liu, SX; Luo, K; Wang, LJ; Tang, XY</t>
  </si>
  <si>
    <t>Chen, Yuhan; Liu, Sixin; Luo, Kun; Wang, Lijuan; Tang, Xueyuan</t>
  </si>
  <si>
    <t>Airborne Radio-Echo Sounding Data Denoising Using Particle Swarm Optimization and Multivariate Variational Mode Decomposition</t>
  </si>
  <si>
    <t>radio-echo sounding (RES); multivariate variational mode decomposition (MVMD); intrinsic mode functions (IMFs); particle swarm optimization (PSO); East Antarctic ice sheet</t>
  </si>
  <si>
    <t>ANTARCTIC ICE-SHEET; INTERNAL STRUCTURE; BED; REDUCTION; SURFACE; WATER</t>
  </si>
  <si>
    <t>Radio-echo sounding (RES) is widely used for polar ice sheet detection due to its wide coverage and high efficiency. The multivariate variational mode decomposition (MVMD) algorithm for the processing of RES data is an improvement to the variational mode decomposition (VMD) algorithm. It processes data encompassing multiple channels. Determining the most effective component combination of the penalty parameter (alpha) and the number of intrinsic mode functions (IMFs) (K) is fundamental and affects the decomposition results. alpha and K in traditional MVMD are provided by subjective experience. We integrated the particle swarm optimization (PSO) algorithm to iteratively optimize these parameters-specifically, alpha and K-with high precision. This was then combined with the four quantitative parameters: energy entropy, signal-to-noise ratio (SNR), peak signal-to-noise ratio (PSNR), and root-mean-square error (RMSE). The RES signal decomposition results were judged, and the most effective component combination for noise suppression was selected. We processed the airborne RES data from the East Antarctic ice sheet using the combined PSO-MVMD method. The results confirmed the quality of the proposed method in attenuating the RES signal noise, enhancing the weak signal of the ice base, and improving the SNR. This combined PSO-MVMD method may help to enhance weak signals in deeper parts of ice sheets and may be an effective tool for RES data interpretation.</t>
  </si>
  <si>
    <t>[Chen, Yuhan; Liu, Sixin] Jilin Univ, Coll Geoexplorat Sci &amp; Technol, 938 Ximinzhu St, Changchun 130026, Peoples R China; [Chen, Yuhan; Wang, Lijuan; Tang, Xueyuan] Polar Res Inst China, Key Lab Polar Sci, Minist Nat Resources MNR, Shanghai 200136, Peoples R China; [Luo, Kun] Xian Univ Architecture &amp; Technol, Inst Interdisciplinary &amp; Innovate Res, Xian 710055, Peoples R China; [Wang, Lijuan] Tongji Univ, Coll Surveying &amp; Geoinformat, 1239 Siping Rd, Shanghai 200092, Peoples R China; [Tang, Xueyuan] Shanghai Jiao Tong Univ, Sch Oceanog, Shanghai 200030, Peoples R China</t>
  </si>
  <si>
    <t>Jilin University; Ministry of Natural Resources of the People's Republic of China; Polar Research Institute of China; Xi'an University of Architecture &amp; Technology; Tongji University; Shanghai Jiao Tong University</t>
  </si>
  <si>
    <t>Tang, XY (corresponding author), Polar Res Inst China, Key Lab Polar Sci, Minist Nat Resources MNR, Shanghai 200136, Peoples R China.;Tang, XY (corresponding author), Shanghai Jiao Tong Univ, Sch Oceanog, Shanghai 200030, Peoples R China.</t>
  </si>
  <si>
    <t>yuhanc21@mails.jlu.edu.cn; liusixin@jlu.edu.cn; luokun@xauat.edu.cn; lijuan_wang@tongji.edu.cn; tangxueyuan@pric.org.cn</t>
  </si>
  <si>
    <t>wang, lijuan/AAN-4034-2021</t>
  </si>
  <si>
    <t>wang, lijuan/0000-0002-0649-3921; Tang, Xueyuan/0000-0002-6226-4891; Liu, Sixin/0000-0002-6660-6780</t>
  </si>
  <si>
    <t>We express our appreciation to the Polar Research Institute of China for data support.; Polar Research Institute of China</t>
  </si>
  <si>
    <t>We express our appreciation to the Polar Research Institute of China for data support.</t>
  </si>
  <si>
    <t>10.3390/rs15205041</t>
  </si>
  <si>
    <t>W1QI4</t>
  </si>
  <si>
    <t>WOS:001089443200001</t>
  </si>
  <si>
    <t>Baker, LE; Mashayek, A; Garabato, ACN</t>
  </si>
  <si>
    <t>Baker, L. E.; Mashayek, A.; Garabato, A. C. Naveira</t>
  </si>
  <si>
    <t>Boundary Upwelling of Antarctic Bottom Water by Topographic Turbulence</t>
  </si>
  <si>
    <t>flow-topography interaction; mixing; water masses; lee waves; upwelling; Antarctic Bottom Water</t>
  </si>
  <si>
    <t>ABYSSAL MIXING LAYERS; DEEP SOUTHERN-OCEAN; OVERTURNING CIRCULATION; STRATIFIED FLOW; LEE WAVE; ROUGH TOPOGRAPHY; INTERNAL WAVES; ENTRAINMENT; TRACER; SEA</t>
  </si>
  <si>
    <t>The lower cell of the meridional overturning circulation (MOC) is sourced by dense Antarctic Bottom Waters (AABWs), which form and sink around Antarctica and subsequently fill the abyssal ocean. For the MOC to overturn, these dense waters must upwell via mixing with lighter waters above. Here, we investigate the processes underpinning such mixing, and the resulting water mass transformation, using an observationally forced, high-resolution numerical model of the Drake Passage in the Southern Ocean. In the Drake Passage, the mixing of dense AABW formed in the Weddell Sea with lighter deep waters transported from the Pacific Ocean by the Antarctic Circumpolar Current is catalyzed by energetic flows impinging on rough topography. We find that multiple topographic interaction processes facilitate the mixing of the two water masses, ultimately resulting in the upwelling of waters with neutral density greater than 28.19 kg m-3, and the downwelling of the lighter waters above. In particular, we identify the role of sharp density interfaces between AABW and overlying waters and find that the dynamics of the interfaces' interaction with topography can modify many of the processes that generate mixing. Such sharp interfaces between water masses have been observed in several parts of the global ocean, but are unresolved and unrepresented in climate-scale ocean models. We suggest that they are likely to play an important role in abyssal dynamics and mixing, and therefore require further exploration.</t>
  </si>
  <si>
    <t>[Baker, L. E.] Univ Edinburgh, Edinburgh, Scotland; [Baker, L. E.] Imperial Coll London, London, England; [Mashayek, A.] Univ Cambridge, Cambridge, England; [Garabato, A. C. Naveira] Univ Southampton, Southampton, England</t>
  </si>
  <si>
    <t>University of Edinburgh; Imperial College London; University of Cambridge; University of Southampton</t>
  </si>
  <si>
    <t>Baker, LE (corresponding author), Univ Edinburgh, Edinburgh, Scotland.;Baker, LE (corresponding author), Imperial Coll London, London, England.</t>
  </si>
  <si>
    <t>lbaker@ed.ac.uk</t>
  </si>
  <si>
    <t>Baker, Lois/0000-0003-2678-3691</t>
  </si>
  <si>
    <t>L.B. was supported by EPSRC Grants EP/L016613/1 and EP/X028135/1, and A.M. acknowledges funding from the NERC Grant NE/P018319/1 and ONR Grant N00014-22-1-2082. Computational resources provided by the Imperial College London Research Computing Service are [EP/L016613/1, EP/X028135/1]; EPSRC [NE/P018319/1]; NERC [N00014-22-1-2082]; ONR Grant; Imperial College London Research Computing Service</t>
  </si>
  <si>
    <t>L.B. was supported by EPSRC Grants EP/L016613/1 and EP/X028135/1, and A.M. acknowledges funding from the NERC Grant NE/P018319/1 and ONR Grant N00014-22-1-2082. Computational resources provided by the Imperial College London Research Computing Service are; EPSRC(UK Research &amp; Innovation (UKRI)Engineering &amp; Physical Sciences Research Council (EPSRC)); NERC(UK Research &amp; Innovation (UKRI)Natural Environment Research Council (NERC)); ONR Grant; Imperial College London Research Computing Service</t>
  </si>
  <si>
    <t>L.B. was supported by EPSRC Grants EP/L016613/1 and EP/X028135/1, and A.M. acknowledges funding from the NERC Grant NE/P018319/1 and ONR Grant N00014-22-1-2082. Computational resources provided by the Imperial College London Research Computing Service are gratefully acknowledged (). We thank the editor and three anonymous reviewers for their insightful and constructive comments, and H. Drake and K. Polzin for helpful discussions.</t>
  </si>
  <si>
    <t>e2022AV000858</t>
  </si>
  <si>
    <t>10.1029/2022AV000858</t>
  </si>
  <si>
    <t>U7HU7</t>
  </si>
  <si>
    <t>WOS:001086487100001</t>
  </si>
  <si>
    <t>McKinney, T; Perlaky, N; Crawford, A; Brown, B; Newchurcha, MJ</t>
  </si>
  <si>
    <t>McKinney, Todd; Perlaky, Nick; Crawford, Alice; Brown, Bill; Newchurcha, Michael j.</t>
  </si>
  <si>
    <t>Methodology, Deployment, and Performance of Pico Balloons in Antarctica</t>
  </si>
  <si>
    <t>Antarctica; In situ atmospheric observations; Instrumentation/sensors; Measurements; Sampling; Soundings</t>
  </si>
  <si>
    <t>LONG-DURATION; STRATOSPHERE; LIDAR</t>
  </si>
  <si>
    <t>During the 2022/23 Antarctic summer, eight pico balloon flights were deployed from Neumayer Station III (70.6666 degrees S, 8.2667 degrees W), yielding valuable insights into the Antarctic stratospheric wind structure. Pico balloons maintain a lower altitude compared to larger superpressure balloons, floating between 9 and 15 km MSL. The most impressive flight lasted an astounding 98 days, completing eight circumnavigations of the Southern Hemisphere. Throughout the flights, pico balloons encountered diverse air masses, displaying zonal velocities ranging from -50 to 250 km h(-1) and meridional velocities between +/- 100 km h(-1). Total wind speeds observed were extensive, spanning from 2.0 to 270 km h(-1). A significant finding revealed that lower-flying pico balloons could rise due to convection underneath the flight paths, influenced by high convective available potential energy environments, resulting in changes to the balloons' float density. Moreover, the flights demonstrated that pico balloons tended to drift farther south compared to larger stratospheric balloons, with some balloons reaching up to 8 degrees south of the equator and 2 degrees from the South Pole. This article explores the pressure-testing process and deployment techniques for pico balloons, showcasing their transformation from inexpensive party balloons (costing less than $20) into efficient superpressure balloons. The logistical demands for pico balloon flights were minimal, with a single person transporting all materials for the balloons (excluding lifting gas) to the Antarctic continent in carry-on lug-gage. The authors aim to promote the application of pico balloons to a wider scientific community by demonstrating their usefulness. SIGNIFICANCE STATEMENT: Pico balloons are small party-sized balloons that are capable of floating at lower altitudes than traditional superpressure balloons. In Antarctica, where research is challenging due to harsh weather and limited resources, pico balloons present an affordable and easy-to-deploy alternative to traditional research methods. By studying the distinctive wind patterns at lower altitudes around Antarctica, pico balloons can provide valuable insights into this remote region. By demonstrating the potential use of pico balloons for scientific purposes, this study aims to offer the atmospheric community a new method of conducting research on a global scale.</t>
  </si>
  <si>
    <t>[McKinney, Todd; Perlaky, Nick; Newchurcha, Michael j.] Univ Alabama Huntsville, Huntsville, AL 35899 USA; [Crawford, Alice] NOAA Air Resources Lab, College Pk, MD USA; [Brown, Bill] NASA Marshall Space Flight Ctr, Huntsville, AL USA</t>
  </si>
  <si>
    <t>University of Alabama System; University of Alabama Huntsville; National Oceanic Atmospheric Admin (NOAA) - USA; National Aeronautics &amp; Space Administration (NASA); NASA Marshall Space Flight Center</t>
  </si>
  <si>
    <t>McKinney, T (corresponding author), Univ Alabama Huntsville, Huntsville, AL 35899 USA.</t>
  </si>
  <si>
    <t>tm0155@uah.edu</t>
  </si>
  <si>
    <t>McKinney, Todd/0009-0005-4549-9735</t>
  </si>
  <si>
    <t>University of Alabama in Huntsville College of Science; Atmospheric and Earth Science Department; Earth System Science Center; Alabama Space Grant Consortium</t>
  </si>
  <si>
    <t>We would like to express our sincere gratitude to Neumayer Station III for their gracious hospitality. Our thanks also go out to Markus Schulze for providing invaluable assistance with balloon launches and logistics. Many thanks to the University of Alabama in Huntsville College of Science, the Atmospheric and Earth Science Department, the Earth System Science Center, and the Alabama Space Grant Consortium for funding. In addition, we extend our appreciation to Tom Medilin and the W5KUB group, Jim Janiak with the Northern Illinois Bottlecap Balloon Brigade, and Michael Seedman for their contributions toward balloon trackers. Last, we would like to express our deep thanks to the HYSPLIT team at NOAA Air Resources Laboratory for their unwavering support.</t>
  </si>
  <si>
    <t>10.1175/JTECH-D-23-0047.1</t>
  </si>
  <si>
    <t>U6VS1</t>
  </si>
  <si>
    <t>WOS:001086168200001</t>
  </si>
  <si>
    <t>Halim, MA; Chai, CN; Yam, HC; Rosli, N; Azlan, A; Mohamad, F; Azzam, G; Najimudin, N</t>
  </si>
  <si>
    <t>Halim, Mardani Abdul; Chai, Cleo-Nicole; Yam, Hok-Chai; Rosli, Nurlina; Azlan, Azali; Mohamad, Faisal; Azzam, Ghows; Najimudin, Nazalan</t>
  </si>
  <si>
    <t>Transcriptomic response of an Antarctic yeast Rhodotorula sp. USM-PSY62 to temperature changes</t>
  </si>
  <si>
    <t>Antarctica; cold shock; heat shock; Rhodotorula; transcriptome; yeast</t>
  </si>
  <si>
    <t>HEAT-SHOCK RESPONSE; COLD-ADAPTATION; SMC PROTEINS; DIVERSITY; BACTERIA; LIPOPROTEIN; INSIGHTS; GROWTH; CHROMOSOME; ACTIVATION</t>
  </si>
  <si>
    <t>Aims: Rhodotorula sp. (USM-PSY62) is a psychrophilic yeast isolated from Antarctic sea ice that grows optimally at 15 degrees C. The inevitable global warming poses many challenges to the microbial community in Antarctica. Therefore, this study was conceptualized to observe how USM-PSY62 adapted to fluctuations in temperature. Methodology and results: Rhodotorula sp. (USM-PSY62) was grown in YPD broth until the mid-log phase. Then, the culture was transferred to four different temperatures, specifically at 0 degrees C, 5 degrees C, 15 degrees C and 21 degrees C for 24 h. Then, the RNA was extracted, sequenced and analysed. During cold adaptation, an elevated transcription of the CorA magnesium transporter gene in USM-PSY62 indicated a higher requirement for magnesium ions to gain additional enzyme cofactors or maintain cytoplasmic fluidity. The HepA homologue coding for DNA/RNA helicase was also over-expressed with log fold change 2.89 in cold conditions possibly to reorganize secondary structures of DNA and RNA. An up-regulation of the catalase gene was also observed, reflecting an increment in the concentration of reactive oxygen species and fluctuations in the associated antioxidant system. The YOP1 gene, which encodes a membrane protein associated with protein transport and membrane traffic, was the most down-regulated, with log2 fold change values of -6.93 lower under cold shock conditions. The genes responsible for the structural maintenance of chromosome (SMC) have a -8.80 in expression log2 fold change, indicating the gene was down-regulated when the temperature was shifted to 0 degrees C. Upon cold shock, the gene for heat shock factor protein 1 (HSF1) was also down-regulated with a log2 fold change value of 5.86. Hsf1 is a transcriptional regulator which regulates the heat shock responses. Conclusion, significance and impact of study: In conclusion, the transcriptomic responses demonstrated by Rhodotorula sp. USM-PSY62 characterized critical physiological and biochemical compensatory mechanisms especially cellular processes and signalling, information storage and processing, and metabolism to survive at low and high temperatures. This study provides valuable data for industry, especially in the usage of molecular chaperones.</t>
  </si>
  <si>
    <t>[Halim, Mardani Abdul] Univ Malaysia Sabah, Biotechnol Res Inst, Jalan UMS, Kota Kinabalu 88400, Sabah, Malaysia; [Chai, Cleo-Nicole; Rosli, Nurlina; Azlan, Azali; Mohamad, Faisal; Azzam, Ghows] Univ Sains Malaysia, Sch Biol Sci, George Town 11800, Malaysia; [Yam, Hok-Chai] Univ Coll Sedaya Int UCSI, Fac Appl Sci, Kuala Lumpur 56000, Malaysia; [Azzam, Ghows] Natl Inst Biotechnol Malaysia, Malaysia Genome &amp; Vaccine Inst, Jalan Bangi, Kajang 43000, Selangor, Malaysia; [Najimudin, Nazalan] Univ Sains Malaysia, Sch Pharmaceut Sci, George Town 11800, Malaysia</t>
  </si>
  <si>
    <t>Universiti Malaysia Sabah; Universiti Sains Malaysia; Universiti Sains Malaysia</t>
  </si>
  <si>
    <t>Halim, MA (corresponding author), Univ Malaysia Sabah, Biotechnol Res Inst, Jalan UMS, Kota Kinabalu 88400, Sabah, Malaysia.;Najimudin, N (corresponding author), Univ Sains Malaysia, Sch Pharmaceut Sci, George Town 11800, Malaysia.</t>
  </si>
  <si>
    <t>mardani@ums.edu.my; nazalan@usm.my</t>
  </si>
  <si>
    <t>rosli, nurlina/W-3657-2018</t>
  </si>
  <si>
    <t>Genomics and Molecular Biology Initiatives of the Malaysian Ministry of Energy, Science, Technology and Climate Change (MESTECC) [08-05-MGI-GMB001]; Australian Antarctic Division; Sultan Mizan Antarctic Research Foundation; Malaysian Antarctic Research Program (MARP) of the Academy of Science, Malaysia</t>
  </si>
  <si>
    <t>Genomics and Molecular Biology Initiatives of the Malaysian Ministry of Energy, Science, Technology and Climate Change (MESTECC); Australian Antarctic Division; Sultan Mizan Antarctic Research Foundation; Malaysian Antarctic Research Program (MARP) of the Academy of Science, Malaysia</t>
  </si>
  <si>
    <t>The Genomics and Molecular Biology Initiatives of the Malaysian Ministry of Energy, Science, Technology and Climate Change (MESTECC) funded this study (Science Fund Project No: 08-05-MGI-GMB001) . We would like to thank the support of the Australian Antarctic Division, the Sultan Mizan Antarctic Research Foundation, and the Malaysian Antarctic Research Program (MARP) of the Academy of Science, Malaysia. The authors declare that they have no conflicts of interest.</t>
  </si>
  <si>
    <t>10.21161/mjm.220053</t>
  </si>
  <si>
    <t>U5DO2</t>
  </si>
  <si>
    <t>WOS:001085004600001</t>
  </si>
  <si>
    <t>Feng, JD; Yuan, YB; Zhang, T; Zhang, ZH; Meng, D</t>
  </si>
  <si>
    <t>Feng, Jiandi; Yuan, Yunbin; Zhang, Ting; Zhang, Zhihao; Meng, Di</t>
  </si>
  <si>
    <t>Analysis of Ionospheric Anomalies before the Tonga Volcanic Eruption on 15 January 2022</t>
  </si>
  <si>
    <t>Tonga volcanic eruption; ionospheric anomaly; anomaly detection method; EIA</t>
  </si>
  <si>
    <t>TOTAL ELECTRON-CONTENT; TIME; EARTHQUAKES; PRECURSORS; SEPTEMBER; APRIL; GPS</t>
  </si>
  <si>
    <t>In this paper, GNSS stations' observational data, global ionospheric maps (GIM) and the electron density of FORMOSAT-7/COSMIC-2 occultation are used to study ionospheric anomalies before the submarine volcanic eruption of Hunga Tonga-Hunga Ha'apai on 15 January 2022. (i) We detect the negative total electron content (TEC) anomalies by three GNSS stations on 5 January before the volcanic eruption after excluding the influence of solar and geomagnetic disturbances and lower atmospheric forcing. The GIMs also detect the negative anomaly in the global ionospheric TEC only near the epicenter of the eruption on 5 January, with a maximum outlier exceeding 6 TECU. (ii) From 1 to 3 January (local time), the equatorial ionization anomaly (EIA) peak shifts significantly towards the Antarctic from afternoon to night. The equatorial ionization anomaly double peak decreases from 4 January, and the EIA double peak disappears and merges into a single peak on 7 January. Meanwhile, the diurnal maxima of TEC at TONG station decrease by nearly 10 TECU and only one diurnal maximum occurred on 4 January (i.e., 5 January of UT), but the significant ionospheric diurnal double-maxima (DDM) are observed on other dates. (iii) We find a maximum value exceeding NmF2 at an altitude of 100 similar to 130 km above the volcanic eruption on 5 January (i.e., a sporadic E layer), with an electron density of 7.5 x 10(5) el/cm(3).</t>
  </si>
  <si>
    <t>[Feng, Jiandi; Zhang, Zhihao; Meng, Di] Shandong Univ Technol, Sch Civil Engn &amp; Geomatics, Zibo 255000, Peoples R China; [Feng, Jiandi] Chinese Acad Sci, State Key Lab Space Weather, Beijing 100190, Peoples R China; [Yuan, Yunbin; Zhang, Ting] Chinese Acad Sci, Innovat Acad Precis Measurement Sci &amp; Technol, Wuhan 430071, Peoples R China</t>
  </si>
  <si>
    <t>Shandong University of Technology; Chinese Academy of Sciences; Chinese Academy of Sciences; Innovation Academy for Precision Measurement Science &amp; Technology, CAS</t>
  </si>
  <si>
    <t>Zhang, T (corresponding author), Chinese Acad Sci, Innovat Acad Precis Measurement Sci &amp; Technol, Wuhan 430071, Peoples R China.</t>
  </si>
  <si>
    <t>jdfeng@whu.edu.cn; zhangting@apm.ac.cn; zzh1049822978@163.com; diidmeng@163.com</t>
  </si>
  <si>
    <t>Zhang, Ting/AHE-0691-2022</t>
  </si>
  <si>
    <t>Zhang, Ting/0000-0002-1386-8795; Feng, Jiandi/0000-0002-0054-6690</t>
  </si>
  <si>
    <t>National Natural Science Foundation of China [42274040]; Project Supported by the Specialized Research Fund for State Key Laboratories</t>
  </si>
  <si>
    <t>National Natural Science Foundation of China(National Natural Science Foundation of China (NSFC)); Project Supported by the Specialized Research Fund for State Key Laboratories</t>
  </si>
  <si>
    <t>This research was funded by the National Natural Science Foundation of China (Grant No. 42274040) and Project Supported by the Specialized Research Fund for State Key Laboratories.</t>
  </si>
  <si>
    <t>10.3390/rs15194879</t>
  </si>
  <si>
    <t>U3TB7</t>
  </si>
  <si>
    <t>WOS:001084044200001</t>
  </si>
  <si>
    <t>Krause, J; Zhu, XC; Höfer, J; Achterberg, EP; Engel, A; Meire, L; Stuart-Lee, AE; Hopwood, MJ</t>
  </si>
  <si>
    <t>Krause, Jana; Zhu, Xunchi; Hofer, Juan; Achterberg, Eric P.; Engel, Anja; Meire, Lorenz; Stuart-Lee, Alice E.; Hopwood, Mark J.</t>
  </si>
  <si>
    <t>Glacier-Derived Particles as a Regional Control on Marine Dissolved Pb Concentrations</t>
  </si>
  <si>
    <t>JOURNAL OF GEOPHYSICAL RESEARCH-BIOGEOSCIENCES</t>
  </si>
  <si>
    <t>lead; glacial rock flour; Greenland; particles; ocean</t>
  </si>
  <si>
    <t>CENTRAL GREENLAND ICE; TRACE-ELEMENTS; NORTH-ATLANTIC; HEAVY-METALS; LEAD SOURCES; IRON; ESTUARY; COASTAL; WATER; SEA</t>
  </si>
  <si>
    <t>Higher than expected concentrations of dissolved lead (dPb) have been consistently observed along glaciated coastlines and it is widely hypothesized that there is a net release of dPb from glacier-derived sediments. Here we further corroborate that dPb concentrations in diverse locations around west Greenland (3.2-252 pM) and the Western Antarctic Peninsula (7.7-107 pM) appear to be generally higher than can be explained by addition of dPb from glacier-derived freshwater. The distribution of dPb across the salinity gradient is unlike any other commonly studied trace element (e.g., Fe, Co, Ni, Cu, Mn, and Al) implying a dynamic, reversible exchange between dissolved and labile particulate Pb. Incubating a selection of glacier-derived particles from SW Greenland (Ameralik and Nuup Kangerlua) and Svalbard (Kongsfjorden), with a range of labile particulate Pb (LpPb) content (11-113 nmol g(-1)), the equivalent of 2-46% LpPb was released as dPb within 24 hr of addition to Atlantic seawater. Over longer time periods, the majority of this dPb was typically readsorbed. Sediment loading was the dominant factor influencing the net release of dPb into seawater, with a pronounced decline in net dPb release efficiency when sediment load increased from 20 to 500 mg L-1. Yet temperature also had some effect with 68 +/- 22% higher dPb release at 11degree celsius compared to 4degree celsius. Future regional changes in dPb dynamics may therefore be more sensitive to short-term suspended sediment dynamics, and potentially temperature changes, than to changing interannual runoff volume.</t>
  </si>
  <si>
    <t>[Krause, Jana; Zhu, Xunchi; Achterberg, Eric P.; Engel, Anja] GEOMAR Helmholtz Ctr Ocean Res Kiel, Marine Biogeochem, Kiel, Germany; [Zhu, Xunchi; Hopwood, Mark J.] Southern Univ Sci &amp; Technol, Dept Ocean Sci &amp; Engn, Shenzhen, Peoples R China; [Hofer, Juan] Pontificia Univ Catolica Valparaiso, Escuela Ciencias Mar, Valparaiso, Chile; [Hofer, Juan] Ctr FONDAP Invest Dinam Ecosistemas Marinos Altas, Valdivia, Chile; [Meire, Lorenz; Stuart-Lee, Alice E.] Royal Netherlands Inst Sea Res, Dept Estuarine &amp; Delta Syst, Yerseke, Netherlands; [Meire, Lorenz] Greenland Inst Nat Resources, Greenland Climate Res Ctr, Nuuk, Greenland</t>
  </si>
  <si>
    <t>Helmholtz Association; GEOMAR Helmholtz Center for Ocean Research Kiel; Southern University of Science &amp; Technology; Pontificia Universidad Catolica de Valparaiso; Utrecht University; Royal Netherlands Institute for Sea Research (NIOZ); Greenland Institute of Natural Resources</t>
  </si>
  <si>
    <t>Hopwood, MJ (corresponding author), Southern Univ Sci &amp; Technol, Dept Ocean Sci &amp; Engn, Shenzhen, Peoples R China.</t>
  </si>
  <si>
    <t>mark@sustech.edu.cn</t>
  </si>
  <si>
    <t>Engel, Andreas/E-3100-2014; Hopwood, Mark/E-2187-2019</t>
  </si>
  <si>
    <t>Engel, Anja/0000-0002-1042-1955; Hofer, Juan/0000-0002-5887-4929; Stuart-Lee, Alice/0000-0003-4052-3036; Hopwood, Mark/0000-0002-9743-079X</t>
  </si>
  <si>
    <t>FONDAP-IDEAL [15150003]; Sino-German (CSC-DAAD) Postdoc Scholarship Program; GEOMAR; FONDECYT-Regular [1211338]; DFG [HO 6321/1-1]; NSFC [RFIS-II 42150610482]</t>
  </si>
  <si>
    <t>FONDAP-IDEAL; Sino-German (CSC-DAAD) Postdoc Scholarship Program; GEOMAR; FONDECYT-Regular(Comision Nacional de Investigacion Cientifica y Tecnologica (CONICYT)CONICYT FONDECYT); DFG(German Research Foundation (DFG)); NSFC(National Natural Science Foundation of China (NSFC))</t>
  </si>
  <si>
    <t>Antarctic sampling was possible through FONDAP-IDEAL 15150003. Xunchi Zhu was funded by the Sino-German (CSC-DAAD) Postdoc Scholarship Program with HR-ICP-MS analysis funded by GEOMAR. Juan Hofer was supported by FONDECYT-Regular 1211338. Mark Hopwood received support from the DFG (Award HO 6321/1-1) and from the NSFC0 (RFIS-II 42150610482). Ship time and work in Nuup Kangerlua was conducted in collaboration with MarineBasis-Nuuk, part of the Greenland Ecosystem Monitoring project (GEM). We gratefully acknowledge contributions from the Danish Centre for Marine Research (DCH), Greenland Institute of Natural Resources (GINR) and the Instituto Antartico Chileno (INACH) for their logistical support. Tim Steffens (GEOMAR) is thanked for technical assistance with HR-ICP-MS. Thomas Juul-Pedersen (GINR), Te Liu and Katja Laufer-Meiser (GEOMAR) are thanked for assistance with sample collection. The captain and crew of RV Sanna and Escudero/Yelcho stations are thanked for providing field support. Stephan Krisch (Bundesanstalt fuer Gewaesserkunde) is thanked for comments on the text.</t>
  </si>
  <si>
    <t>2169-8953</t>
  </si>
  <si>
    <t>2169-8961</t>
  </si>
  <si>
    <t>J GEOPHYS RES-BIOGEO</t>
  </si>
  <si>
    <t>J. Geophys. Res.-Biogeosci.</t>
  </si>
  <si>
    <t>e2023JG007514</t>
  </si>
  <si>
    <t>10.1029/2023JG007514</t>
  </si>
  <si>
    <t>U2VQ2</t>
  </si>
  <si>
    <t>WOS:001083434200001</t>
  </si>
  <si>
    <t>Teisberg, T</t>
  </si>
  <si>
    <t>Teisberg, Thomas</t>
  </si>
  <si>
    <t>Seeing Secrets in the Ice: A Drone-Based Radar Looks for the Future of Climate Change</t>
  </si>
  <si>
    <t>IEEE SPECTRUM</t>
  </si>
  <si>
    <t>Climate change; Drones; Radar; Ice; Ice surface; Antarctica</t>
  </si>
  <si>
    <t>I'm standing on top of 100 meters of ice, watching a drone crisscross the Slakbreen glacier on Norway's Svalbard archipelago, more than 600 kilometers north of the mainland. I'm part of a team testing Peregrine-a fixed-wing unmanned aerial vehicle (UAV) equipped with miniaturized ice-penetrating radar, which can image the glacial ice all the way down to the bedrock below. It's -27(degrees)C, dipping below -40 degrees C with wind chill-well below the operating temperature of most of the commercial equipment we brought for this expedition. Our phones, laptops, and cameras are rapidly failing. The last of our computers that is still working is sitting on top of a small heating pad inside its own little tent. Harsh as the weather is here, we intend for Peregrine to operate in even tougher conditions, regularly surveying the Antarctic and Greenland ice sheets. These great masses store enough water to raise global sea level by 65 meters should they melt entirely. Although neither ice sheet is expected to melt completely anytime soon, their incredible scale makes even small changes consequential for the future of our planet. And the data that Peregrine will gather will help scientists to understand how these critical areas will respond to climate change.</t>
  </si>
  <si>
    <t>[Teisberg, Thomas] Stanford Univ, Stanford, CA 94305 USA</t>
  </si>
  <si>
    <t>Stanford University</t>
  </si>
  <si>
    <t>Teisberg, T (corresponding author), Stanford Univ, Stanford, CA 94305 USA.</t>
  </si>
  <si>
    <t>IEEE-INST ELECTRICAL ELECTRONICS ENGINEERS INC</t>
  </si>
  <si>
    <t>PISCATAWAY</t>
  </si>
  <si>
    <t>445 HOES LANE, PISCATAWAY, NJ 08855-4141 USA</t>
  </si>
  <si>
    <t>0018-9235</t>
  </si>
  <si>
    <t>1939-9340</t>
  </si>
  <si>
    <t>IEEE Spectr.</t>
  </si>
  <si>
    <t>10.1109/MSPEC.2023.10269826</t>
  </si>
  <si>
    <t>Engineering, Electrical &amp; Electronic</t>
  </si>
  <si>
    <t>U0PW4</t>
  </si>
  <si>
    <t>WOS:001081922400007</t>
  </si>
  <si>
    <t>Tao, Y; Walter, SHG; Muller, JP; Luo, YW; Xiong, S</t>
  </si>
  <si>
    <t>Tao, Yu; Walter, Sebastian H. G.; Muller, Jan-Peter; Luo, Yaowen; Xiong, Siting</t>
  </si>
  <si>
    <t>A High-Resolution Digital Terrain Model Mosaic of the Mars 2020 Perseverance Rover Landing Site at Jezero Crater</t>
  </si>
  <si>
    <t>EARTH AND SPACE SCIENCE</t>
  </si>
  <si>
    <t>Mars; topography; HiRISE; digital terrain model; Mars 2020 landing site</t>
  </si>
  <si>
    <t>ORBITER LASER ALTIMETER; HRSC</t>
  </si>
  <si>
    <t>We demonstrate the capabilities of a published MADNet monocular height estimation network in producing a refined digital terrain model (DTM) mosaic at 50 cm/pixel resolution for the Mars 2020 Perseverance rover landing site in Jezero crater on Mars. Our approach utilizes the publicly available Mars 2020 Terrain Relative Navigation (TRN) High-Resolution Imaging Science Experiment (HiRISE) Digital Terrain Model (DTM) mosaic, which was originally created by the United States Geological Survey (USGS) Astrogeology Science Centre. Our resultant HiRISE MADNet DTM mosaic is strictly matched with the original HiRISE TRN DTM and orthoimage mosaics. These mosaics are themselves co-aligned with the USGS TRN Context Camera (CTX) based DTM and orthoimage mosaics, as well as the ESA/DLR/FUB (European Space Agency/German Aerospace Center/Free University Berlin) High Resolution Stereo Camera (HRSC) level 5 DTM and orthoimage mosaics. In this paper, we provide a brief description of the technical details, and present both visual and quantitative assessments of the refined MADNet HiRISE Jezero DTM mosaic product. This DTM product is now publicly available at .</t>
  </si>
  <si>
    <t>[Tao, Yu; Walter, Sebastian H. G.; Luo, Yaowen] Free Univ Berlin, Inst Geol Sci, Planetary Sci &amp; Remote Sensing Grp, Berlin, Germany; [Tao, Yu; Muller, Jan-Peter] UCL, Dept Space &amp; Climate Phys, Mullard Space Sci Lab, London, Surrey, England; [Luo, Yaowen] Wuhan Univ, Chinese Antarctic Ctr Surveying &amp; Mapping, Wuhan, Peoples R China; [Xiong, Siting] Guangdong Lab Artificial Intelligence &amp; Digital Ec, Shenzhen, Peoples R China</t>
  </si>
  <si>
    <t>Free University of Berlin; University of London; University College London; Wuhan University; Guangming Laboratory</t>
  </si>
  <si>
    <t>Tao, Y (corresponding author), Free Univ Berlin, Inst Geol Sci, Planetary Sci &amp; Remote Sensing Grp, Berlin, Germany.;Tao, Y (corresponding author), UCL, Dept Space &amp; Climate Phys, Mullard Space Sci Lab, London, Surrey, England.</t>
  </si>
  <si>
    <t>yu.tao@fu-berlin.de</t>
  </si>
  <si>
    <t>Walter, Sebastian/0000-0003-2692-6162; Muller, Jan-Peter/0000-0002-5077-3736</t>
  </si>
  <si>
    <t>This work is supported by the German Space Agency (DLR Bonn), Grant 50 OO 2204 (Koregistrierung), on behalf of the German Federal Ministry for Economic Affairs and Climate Action. Initial development work of the MADNet network was funded by the UKSA Aurora [50 OO 2204]; German Space Agency (DLR Bonn) [2018-2021, ST/S001891/1]; UKSA Aurora program</t>
  </si>
  <si>
    <t>This work is supported by the German Space Agency (DLR Bonn), Grant 50 OO 2204 (Koregistrierung), on behalf of the German Federal Ministry for Economic Affairs and Climate Action. Initial development work of the MADNet network was funded by the UKSA Aurora; German Space Agency (DLR Bonn); UKSA Aurora program</t>
  </si>
  <si>
    <t>This work is supported by the German Space Agency (DLR Bonn), Grant 50 OO 2204 (Koregistrierung), on behalf of the German Federal Ministry for Economic Affairs and Climate Action. Initial development work of the MADNet network was funded by the UKSA Aurora program (2018-2021) under Grant ST/S001891/1 at UCL. Open Access funding enabled and organized by Projekt DEAL.</t>
  </si>
  <si>
    <t>2333-5084</t>
  </si>
  <si>
    <t>EARTH SPACE SCI</t>
  </si>
  <si>
    <t>Earth Space Sci.</t>
  </si>
  <si>
    <t>e2023EA003045</t>
  </si>
  <si>
    <t>10.1029/2023EA003045</t>
  </si>
  <si>
    <t>Astronomy &amp; Astrophysics; Geosciences, Multidisciplinary</t>
  </si>
  <si>
    <t>Astronomy &amp; Astrophysics; Geology</t>
  </si>
  <si>
    <t>U0AK3</t>
  </si>
  <si>
    <t>WOS:001081517900001</t>
  </si>
  <si>
    <t>Hay, A; Watson, C; Legresy, B; King, M; Beardsley, J</t>
  </si>
  <si>
    <t>Hay, Andrea; Watson, Christopher; Legresy, Benoit; King, Matt; Beardsley, Jack</t>
  </si>
  <si>
    <t>In Situ Validation of Altimetry and CFOSAT SWIM Measurements in a High Wave Environment</t>
  </si>
  <si>
    <t>Altimetry; Global positioning systems (GPS); Scatterometer; Wave properties</t>
  </si>
  <si>
    <t>SEA-STATE BIAS; OCEAN WAVES; CALIBRATION; IMPACT; BUOY; RETRIEVAL; JASON-2; DESIGN; TOPEX; PEAK</t>
  </si>
  <si>
    <t>While satellite altimeters have revolutionized ocean science, validation measurements in high wave environments are rare. Using geodetic Global Navigation Satellite System (GNSS) data collected from the Southern Ocean Flux Station (SOFS; -47 degrees S, 142 degrees E) since 2019, as part of the Southern Ocean Time Series (SOTS), we present a validation of satellite missions in this energetic region. Here we show that high rate GNSS observations at SOFS can successfully measure waves in the extreme conditions of the Southern Ocean and obtain robust measurements in all wave regimes [significant wave height (SWH) ranging from 1.5 to 12.6 m]. We find good agreement between the in situ and nadir altimetry SWH (RMSE = 0.16 m, mean bias = 0.04 m, and n = 60). Directional comparisons with the Chinese-French Ocean Satellite (CFOSAT) Surface Waves Investigation and Monitoring (SWIM) instrument also show good agreement, with dominant directions having an RMSE of 9.1 degrees (n = 22), and correlation coefficients between the directional spectra ranging between 0.57 and 0.79. Initial sea level anomaly (SLA) estimates capture eddies propagating through the region. Comparisons show good agreement with daily gridded SLA products (RMSE = 0.03 m, and n = 205), with scope for future improvement. These results demonstrate the utility of high rate geodetic GNSS observations on moored surface platforms in highly energetic regions of the ocean. Such observations are important to maximize the geophysical interpretation from altimeter missions. In particular, the ability to provide collocated directional wave observations and SLA estimates will be useful for the validation of the recently launched Surface Water and Ocean Topography (SWOT) mission where understanding the interactions between sea state and sea surface height poses a major challenge.</t>
  </si>
  <si>
    <t>[Hay, Andrea; Watson, Christopher; King, Matt; Beardsley, Jack] Univ Tasmania, Sch Geog Planning &amp; Spatial Sci, Hobart, Tas, Australia; [Hay, Andrea; Legresy, Benoit; Beardsley, Jack] CSIRO, Hobart, Tas, Australia; [Watson, Christopher; Legresy, Benoit; Beardsley, Jack] Integrated Marine Observing Syst, Hobart, Tas, Australia; [Watson, Christopher; King, Matt] Univ Tasmania, Australian Ctr Excellence Antarctic Sci, Hobart, Tas, Australia</t>
  </si>
  <si>
    <t>University of Tasmania; Commonwealth Scientific &amp; Industrial Research Organisation (CSIRO); University of Tasmania</t>
  </si>
  <si>
    <t>Hay, A (corresponding author), Univ Tasmania, Sch Geog Planning &amp; Spatial Sci, Hobart, Tas, Australia.;Hay, A (corresponding author), CSIRO, Hobart, Tas, Australia.</t>
  </si>
  <si>
    <t>andrea.hay@utas.edu.au</t>
  </si>
  <si>
    <t>; King, Matt/B-4622-2008</t>
  </si>
  <si>
    <t>Hay, Andrea/0000-0001-9556-0059; King, Matt/0000-0001-5611-9498</t>
  </si>
  <si>
    <t>Australian National Environment Science Program (NESP) Climate Science Hub Project [CS-2.10]; AAPP Oceanography project; Australian Research Council Special Research Initiative [SR200100008]; Research Training Program scholarship from the Australian government; CSIRO</t>
  </si>
  <si>
    <t>Australian National Environment Science Program (NESP) Climate Science Hub Project; AAPP Oceanography project; Australian Research Council Special Research Initiative(Australian Research Council); Research Training Program scholarship from the Australian government; CSIRO(Commonwealth Scientific &amp; Industrial Research Organisation (CSIRO))</t>
  </si>
  <si>
    <t>This study was supported by Australia's Integrated Marine Observing System (IMOS) Satellite Altimetry Calibration and Validation Sub-Facility - IMOS is enabled by the National Collaborative Research Infrastructure Strategy (NCRIS) . It is operated by a consortium of institutions as an incorporated joint venture, with the University of Tasmania as lead agent. The Southern Ocean Time Series (SOTS) , supported by IMOS and Australian Antarctic Program Partnership (AAPP) , has been instrumental in making this study happen as a result of the addition of the GNSS system to the SOFS sur-face platform. The SOTS Team, Elizabeth Shadwick, and Eric Schulz and the technical staff were very supportive in making this happen and providing mooring data (https://imos.org.au/facilities/deepwatermoorings/sots) . Thanks are given to Peter Jansen for his assistance and making some engineering data available. The wave analysis and CFOSAT comparison con-tribute to the CFOSAT validation team Australian Applications for CFOSAT: Wind and Wave Climate of the Southern Ocean project. Author Benoit Legresy's contribution is also supported by the Australian National Environment Science Program (NESP) Climate Science Hub Project CS-2.10 and the AAPP Oceanography project. We thank NASA Jet Propulsion Laboratory for the GipsyX software, products, and support. This research was supported by the Australian Research Council Special Research Initiative, Australian Centre for Excellence in Antarctic Science (Project Number SR200100008) . Author Andrea Hay is supported by a Research Training Program scholarship from the Australian government and a Postgraduate Studentship from CSIRO. We also thank two anonymous reviewers whose comments helped to improve this paper.r supported by the Australian National Environment Science Program (NESP) Climate Science Hub Project CS-2.10 and the AAPP Oceanography project. We thank NASA Jet Pro-pulsion Laboratory for the GipsyX software, products, and sup-port. This research was supported by the Australian Research Council Special Research Initiative, Australian Centre for Ex-cellence in Antarctic Science (Project Number SR200100008) . Author Andrea Hay is supported by a Research Training Program scholarship from the Australian government and a Postgraduate Studentship from CSIRO. We also thank two anonymous re-viewers whose comments helped to improve this paper.</t>
  </si>
  <si>
    <t>10.1175/JTECH-D-23-0031.1</t>
  </si>
  <si>
    <t>T9XJ9</t>
  </si>
  <si>
    <t>WOS:001081438800002</t>
  </si>
  <si>
    <t>Li, QD; Luo, YH; Qian, YY; Dou, K; Si, FQ; Liu, WQ</t>
  </si>
  <si>
    <t>Li, Qidi; Luo, Yuhan; Qian, Yuanyuan; Dou, Ke; Si, Fuqi; Liu, Wenqing</t>
  </si>
  <si>
    <t>Record Low Arctic Stratospheric Ozone in Spring 2020: Measurements of Ground-Based Differential Optical Absorption Spectroscopy in Ny-Alesund during 2017-2021</t>
  </si>
  <si>
    <t>Arctic ozone depletion; differential optical absorption spectroscopy; vertical column density; low temperature</t>
  </si>
  <si>
    <t>CHLORINE ACTIVATION; CLIMATE-CHANGE; CROSS-SECTION; DEPLETION; WINTER; UV; VALIDATION; ANTARCTICA; TRENDS; VORTEX</t>
  </si>
  <si>
    <t>The Arctic stratospheric ozone depletion event in spring 2020 was the most severe compared with previous years. We retrieved the critical indicator ozone vertical column density (VCD) using zenith scattered light differential optical absorption spectroscopy (ZSL-DOAS) from March 2017 to September 2021 in Ny-angstrom lesund, Svalbard, Norway. The average ozone VCD over Ny-angstrom lesund between 18 March and 18 April 2020 was approximately 274.8 Dobson units (DU), which was only 64.7 +/- 0.1% of that recorded in other years (2017, 2018, 2019, and 2021). The daily peak difference was 195.7 DU during this period. The retrieved daily averages of ozone VCDs were compared with satellite observations from the Global Ozone Monitoring Experiment-2 (GOME-2), a Brewer spectrophotometer, and a Systeme d'Analyze par Observation Zenithale (SAOZ) spectrometer at Ny-angstrom lesund. As determined using the empirical cumulative density function, ozone VCDs from the ZSL-DOAS dataset were strongly correlated with data from the GOME-2 and SAOZ at lower and higher values, and ozone VCDs from the Brewer instrument were overestimated. The resulting Pearson correlation coefficients were relatively high at 0.97, 0.87, and 0.91, respectively. In addition, the relative deviations were 2.3%, 3.1%, and 3.5%, respectively. Sounding and ERA5 data indicated that severe ozone depletion occurred between mid-March and mid-April 2020 in the 16-20 km altitude range over Ny-angstrom lesund, which was strongly associated with the overall persistently low temperatures in the winter of 2019/2020. Using ZSL-DOAS observations, we obtained ozone VCDs and provided evidence for the unprecedented ozone depletion during the Arctic spring of 2020. This is essential for the study of polar ozone changes and their effect on climate change and ecological conditions.</t>
  </si>
  <si>
    <t>[Li, Qidi; Luo, Yuhan; Qian, Yuanyuan; Dou, Ke; Si, Fuqi; Liu, Wenqing] Chinese Acad Sci, Hefei Inst Phys Sci, Anhui Inst Opt &amp; Fine Mech, Key Lab Environm Opt &amp; Technol, Hefei 230031, Peoples R China; [Li, Qidi; Qian, Yuanyuan] Univ Sci &amp; Technol China, Hefei 230026, Peoples R China</t>
  </si>
  <si>
    <t>Luo, YH (corresponding author), Chinese Acad Sci, Hefei Inst Phys Sci, Anhui Inst Opt &amp; Fine Mech, Key Lab Environm Opt &amp; Technol, Hefei 230031, Peoples R China.</t>
  </si>
  <si>
    <t>qidili@mail.ustc.edu.cn; yhluo@aiofm.ac.cn; yyqian@aiofm.ac.cn; douke@aiofm.ac.cn; sifuqi@aiofm.ac.cn; wqliu@aiofm.ac.cn</t>
  </si>
  <si>
    <t>We thank the organizations of the Chinese Arctic and Antarctic Administration (CAAA), the Polar Research Institute of China, and teammates of the Chinese Arctic Yellow River Station for their kind help. We gratefully thank the BIRA for providing the QDOAS; Chinese Arctic and Antarctic Administration (CAAA); Polar Research Institute of China</t>
  </si>
  <si>
    <t>We thank the organizations of the Chinese Arctic and Antarctic Administration (CAAA), the Polar Research Institute of China, and teammates of the Chinese Arctic Yellow River Station for their kind help. We gratefully thank the BIRA for providing the QDOAS software. The GOME-2 data are available from the University of Bremen. The Brewer data were provided by the World Ozone and Ultraviolet Radiation Data Centre. We appreciate Florence Goutail for providing the SAOZ data. We gratefully thank the Alfred Wegener Institute for providing the ozonesonde data. We also gratefully thank ECMWF for providing the ERA5 data.</t>
  </si>
  <si>
    <t>10.3390/rs15194882</t>
  </si>
  <si>
    <t>U0CK4</t>
  </si>
  <si>
    <t>WOS:001081570500001</t>
  </si>
  <si>
    <t>Liberatore, A; Capobianco, G; Fineschi, S; Massone, G; Zangrilli, L; Susino, R; Nicolini, G</t>
  </si>
  <si>
    <t>Liberatore, Alessandro; Capobianco, Gerardo; Fineschi, Silvano; Massone, Giuseppe; Zangrilli, Luca; Susino, Roberto; Nicolini, Gianalfredo</t>
  </si>
  <si>
    <t>Sky Brightness Evaluation and First Coronal Signal Detection from Concordia Base (Antarctica) with a Calibrated Micropolarizer Array Camera</t>
  </si>
  <si>
    <t>SOLAR PHYSICS</t>
  </si>
  <si>
    <t>Sun; Corona; Earth's atmosphere; Polarization</t>
  </si>
  <si>
    <t>The solar corona is the outer layer of the Sun's atmosphere. The brightness of the solar corona is a million times lower than that of the solar disk. The Earth's sky brightness itself is high enough to cover the coronal signal during ground-based observations. For this reason, the study of sky characteristics plays a fundamental role in observing the solar corona. To date, the only place with the sky characteristics that allow continuous coronagraphic measurements from Earth is at the MLO (Mauna Loa Observatory; Hawaii, approximate to 3400m above sea level). This paper shows the results obtained as part of the Extreme Solar Coronagraphy Antarctic Program Experiment (ESCAPE) at Concordia Base, Antarctica (Dome C plateau-coord.: 75 degrees 06' S, 123 degrees 20' E, approximate to 3300m above sea level) during the 37th campaign and gives a summary of all the sky-brightness measurements obtained from this site (34th and 35th campaigns). Dome C is confirmed to be a coronagraphic site with a sky brightness of about 1 x 10(-6) B-circle dot. For the first time, it was also possible to detect a coronal signal and to compare it with what was measured by the COronal Solar Magnetism Observatory (COSMO) K-coronagraph (K-Cor) at the MLO. All these results were obtained by using a micropolarizer camera mounted within a coronagraph designed for Antarctic environments.</t>
  </si>
  <si>
    <t>[Liberatore, Alessandro] CALTECH, Jet Prop Lab, Pasadena, CA 91109 USA; [Capobianco, Gerardo; Fineschi, Silvano; Massone, Giuseppe; Zangrilli, Luca; Susino, Roberto; Nicolini, Gianalfredo] INAF Astrophys Observ Turin, Pino To se, I-10025 Turin, Italy</t>
  </si>
  <si>
    <t>California Institute of Technology; National Aeronautics &amp; Space Administration (NASA); NASA Jet Propulsion Laboratory (JPL); Istituto Nazionale Astrofisica (INAF)</t>
  </si>
  <si>
    <t>Liberatore, A (corresponding author), CALTECH, Jet Prop Lab, Pasadena, CA 91109 USA.</t>
  </si>
  <si>
    <t>alessandro.liberatore@jpl.nasa.gov</t>
  </si>
  <si>
    <t>Zangrilli, Luca/0000-0002-4184-2031; Capobianco, Gerardo/0000-0003-0520-2528; Susino, Roberto/0000-0002-1017-7163; /0000-0002-2789-816X; Liberatore, Alessandro/0000-0002-0016-7594; Nicolini, Gianalfredo/0000-0002-9459-3841</t>
  </si>
  <si>
    <t>This paper has been possible thanks to the whole INAF amp; ESCAPE Project team and the Italian Piano Nazionale Ricerche Antartico (PNRA). The AntarctiCor - ESCAPE project is funded by the PNRA, grant N. 2015-AC3.02. The authors thank all persons who contr [N. 2015-AC3.02]; INAF amp; ESCAPE Project team and the Italian Piano Nazionale Ricerche Antartico (PNRA) - PNRA; OPTEC S.p.A; European Space Agency - ESA [80NM0018D0004]; National Aeronautics and Space Administration</t>
  </si>
  <si>
    <t>This paper has been possible thanks to the whole INAF amp; ESCAPE Project team and the Italian Piano Nazionale Ricerche Antartico (PNRA). The AntarctiCor - ESCAPE project is funded by the PNRA, grant N. 2015-AC3.02. The authors thank all persons who contr; INAF amp; ESCAPE Project team and the Italian Piano Nazionale Ricerche Antartico (PNRA) - PNRA; OPTEC S.p.A; European Space Agency - ESA(European Space Agency); National Aeronautics and Space Administration(National Aeronautics &amp; Space Administration (NASA))</t>
  </si>
  <si>
    <t>This paper has been possible thanks to the whole INAF &amp; ESCAPE Project team and the Italian Piano Nazionale Ricerche Antartico (PNRA). The AntarctiCor - ESCAPE project is funded by the PNRA, grant N. 2015-AC3.02. The authors thank all persons who contributed in any way to the results reported in this article. Thanks also to Dr. Angelo Lupi (PI of BSRN project) for providing us with access to the images of the AstroConcordia all-sky camera. A particular acknowledgment to OPTEC S.p.A for the AntarctiCor telescope thermal and structural design and realization as well. The authors also thank ALTEC Company for providing logistic support during the many AntarctiCor calibration periods and the European Space Agency - ESA for its support to the PROBA-3/ASPIICS mission. The research was partially carried out at the Jet Propulsion Laboratory, California Institute of Technology, under a contract with the National Aeronautics and Space Administration (80NM0018D0004).</t>
  </si>
  <si>
    <t>0038-0938</t>
  </si>
  <si>
    <t>1573-093X</t>
  </si>
  <si>
    <t>SOL PHYS</t>
  </si>
  <si>
    <t>Sol. Phys.</t>
  </si>
  <si>
    <t>10.1007/s11207-023-02195-6</t>
  </si>
  <si>
    <t>T5PK3</t>
  </si>
  <si>
    <t>WOS:001078504400003</t>
  </si>
  <si>
    <t>Andreev, IO; Mel'nyk, VM; Parnikoza, IY; Kunakh, VA</t>
  </si>
  <si>
    <t>Andreev, I. O.; Mel'nyk, V. M.; Parnikoza, I. Yu.; Kunakh, V. A.</t>
  </si>
  <si>
    <t>Molecular Organization and Intragenomic Variability of Intergenic Spacer of 5S rRNA Genes in Colobanthus quitensis</t>
  </si>
  <si>
    <t>CYTOLOGY AND GENETICS</t>
  </si>
  <si>
    <t>5S rDNA; intergenic spacer; structural organization; variability; Colobanthus quitensis</t>
  </si>
  <si>
    <t>DNA; GENOME</t>
  </si>
  <si>
    <t>The intergenic spacer (IGS) of 5S ribosomal RNA genes (5S rDNA) (that are present in the genome of all living organisms) is characterized by a high variability, due to which it is a convenient and widely used object for clarifying the issues of genome evolution, population genetics, systematics, etc. The aim of this work was to study the IGS of 5S rDNA of the Antarctic pearlwort Colobanthus quitensis. The nucleotide sequence was determined by the methods of molecular genetic analysis, and molecular organization of the C. quitensis 5S rDNA IGS was studied. It was demonstrated that it contains the regulatory elements typical for other vascular plants. The existence of at least two classes of 5S rDNA repeats in the individual genome (that differ significantly in the length and nucleotide sequence of IGS) was established. In addition, based on differences in the length and nucleotide sequence, two subclasses of repeats with a long IGS and three subclasses with a short IGS were identified. A comparison of 5S rDNA IGS sequences in C. quitensis and Silene latifolia Poir. (a member of another section of the Caryophyllaceae family) demonstrated significant differences in the structure of a spacer region of 5S rRNA genes (except for its parts containing regulatory elements). In general, data obtained indicate a significant level of intragenomic polymorphism of C. quitensis 5S rDNA IGS.</t>
  </si>
  <si>
    <t>[Andreev, I. O.; Mel'nyk, V. M.; Parnikoza, I. Yu.; Kunakh, V. A.] Natl Acad Sci Ukraine, Inst Mol Biol &amp; Genet, UA-03143 Kiev, Ukraine; [Parnikoza, I. Yu.] Minist Educ &amp; Sci Ukraine, Natl Antarctic Sci Ctr, UA-01601 Kiev, Ukraine</t>
  </si>
  <si>
    <t>National Academy of Sciences Ukraine; Institute of Molecular Biology &amp; Genetics of NASU; Ministry of Education &amp; Science of Ukraine; State Institution National Antarctic Scientific Center</t>
  </si>
  <si>
    <t>Andreev, IO (corresponding author), Natl Acad Sci Ukraine, Inst Mol Biol &amp; Genet, UA-03143 Kiev, Ukraine.</t>
  </si>
  <si>
    <t>i.o.andreev@imbg.org.ua</t>
  </si>
  <si>
    <t>Andreev, Igor/G-6194-2016; Mel'nyk, Vitaliy/H-6544-2016</t>
  </si>
  <si>
    <t>Andreev, Igor/0000-0002-3706-8514;</t>
  </si>
  <si>
    <t>We are grateful to Dr. A. Zelensky for his assistance in carrying out this work.</t>
  </si>
  <si>
    <t>0095-4527</t>
  </si>
  <si>
    <t>1934-9440</t>
  </si>
  <si>
    <t>CYTOL GENET+</t>
  </si>
  <si>
    <t>Cytol. Genet.</t>
  </si>
  <si>
    <t>10.3103/S0095452723050018</t>
  </si>
  <si>
    <t>S8JA6</t>
  </si>
  <si>
    <t>WOS:001073563600002</t>
  </si>
  <si>
    <t>Bax, N; Carter, S</t>
  </si>
  <si>
    <t>Bax, Narissa; Carter, Stefanie</t>
  </si>
  <si>
    <t>Discovery of solar sea slugs in the Falkland Islands</t>
  </si>
  <si>
    <t>FRONTIERS IN ECOLOGY AND THE ENVIRONMENT</t>
  </si>
  <si>
    <t>[Bax, Narissa; Carter, Stefanie] South Atlantic Environm Res Inst SAERI, Stanley, Falkland Island; [Bax, Narissa] Univ Tasmania, Inst Marine &amp; Antarctic Studies IMAS, Ctr Marine Socioecol CMS, Hobart, Australia; [Carter, Stefanie] UK Ctr Ecol &amp; Hydrol, Bangor, Wales</t>
  </si>
  <si>
    <t>University of Tasmania; UK Centre for Ecology &amp; Hydrology (UKCEH)</t>
  </si>
  <si>
    <t>Bax, N (corresponding author), South Atlantic Environm Res Inst SAERI, Stanley, Falkland Island.;Bax, N (corresponding author), Univ Tasmania, Inst Marine &amp; Antarctic Studies IMAS, Ctr Marine Socioecol CMS, Hobart, Australia.</t>
  </si>
  <si>
    <t>1540-9295</t>
  </si>
  <si>
    <t>1540-9309</t>
  </si>
  <si>
    <t>FRONT ECOL ENVIRON</t>
  </si>
  <si>
    <t>Front. Ecol. Environ.</t>
  </si>
  <si>
    <t>10.1002/fee.2674</t>
  </si>
  <si>
    <t>U0QI4</t>
  </si>
  <si>
    <t>WOS:001081934400007</t>
  </si>
  <si>
    <t>Starzhinskii, SS; Sormakov, DA</t>
  </si>
  <si>
    <t>Starzhinskii, S. S.; Sormakov, D. A.</t>
  </si>
  <si>
    <t>Deep Electrical Conductivity Anomalies in the Chaun Bay Region Based on Magnetic Variation Sounding Data</t>
  </si>
  <si>
    <t>IZVESTIYA-PHYSICS OF THE SOLID EARTH</t>
  </si>
  <si>
    <t>magnetic variation sounding; tipper; 3D inversion; ModEM; Chaun Bay; geoelectric section</t>
  </si>
  <si>
    <t>ARCTIC REGION; INVERSION; CHUKOTKA; ZONE</t>
  </si>
  <si>
    <t>This paper discusses the results of magnetic variation soundings at two sites in the eastern Arctic, in the Chaun Bay region, at the Pevek and Valkarkai weather stations, by using the ModEM program to perform a three-dimensional (3D) inversion of tippers. The inversion has produced a geoelectric model of the region in a subsurface area of 300 x 300 x 200 km. The moduli of tippers at both sites have values between 0.2 and 0.85, reaching the maximum ones in a period of 1000 s. At the Pevek weather station, the real induction arrow in the Parkinson convention is oriented to the west throughout the range of periods. At the second site, its azimuth changes from 30 degrees to the NE to -30 degrees to the NW as the period of variations increases. Throughout the range of depths, conductive inhomogeneities are located to the west and north of the Chaun folded zone. They extend as a narrow strip under the western and northern coastal parts of the zone at depths of 8-12 km. As the depth increases, they are split into blocks, which reach their maximum size in the horizontal plane at depths ranging between 20 and 30 km. The most prominent among them is the conductive block beneath the southern part of the Chaun Bay. The roots of these blocks are distinguishable at depths of up to 100 km. The Chaun folded zone is represented by a high-resistance block down to a depth of 150 km with an electrical resistivity of more than 1000 omega m. Comparison of the obtained geoelectric model with the geophysical studies previously conducted here reveals a correlation between the location of conductive formations and the location of weakly positive anomalies in the gravity field in the Bouguer and isostatic reductions in the coastal water area.</t>
  </si>
  <si>
    <t>[Starzhinskii, S. S.] Russian Acad Sci, VI Ilichev Pacific Oceanol Inst, Far Eastern Branch, Vladivostok 690041, Russia; [Sormakov, D. A.] Arctic &amp; Antarctic Res Inst, St Petersburg 199397, Russia</t>
  </si>
  <si>
    <t>Russian Academy of Sciences; Ilichev Pacific Oceanological Institute; Arctic &amp; Antarctic Research Institute</t>
  </si>
  <si>
    <t>Starzhinskii, SS (corresponding author), Russian Acad Sci, VI Ilichev Pacific Oceanol Inst, Far Eastern Branch, Vladivostok 690041, Russia.;Sormakov, DA (corresponding author), Arctic &amp; Antarctic Res Inst, St Petersburg 199397, Russia.</t>
  </si>
  <si>
    <t>ss_stars@poi.dvo.ru; dimsoa@aari.ru</t>
  </si>
  <si>
    <t>Sormakov, Dmitry A/K-1695-2014</t>
  </si>
  <si>
    <t>1069-3513</t>
  </si>
  <si>
    <t>1555-6506</t>
  </si>
  <si>
    <t>IZV-PHYS SOLID EART+</t>
  </si>
  <si>
    <t>Izv.-Phys. Solid Earth</t>
  </si>
  <si>
    <t>10.1134/S1069351323050130</t>
  </si>
  <si>
    <t>S9XD1</t>
  </si>
  <si>
    <t>WOS:001074613300009</t>
  </si>
  <si>
    <t>Matsuda, R; Makabe, R; Sano, M; Takao, S; Moteki, M; Kurosawa, N</t>
  </si>
  <si>
    <t>Matsuda, R.; Makabe, R.; Sano, M.; Takao, S.; Moteki, M.; Kurosawa, N.</t>
  </si>
  <si>
    <t>Fecal Pellet-Like Gyrodinium Species in Sinking Particles: Newly Found Potential Contributors for Carbon Export in the Antarctic Seasonal Ice Zone</t>
  </si>
  <si>
    <t>Southern Ocean; biological pump; Gyrodinium; drifting sediment trap</t>
  </si>
  <si>
    <t>COMB. NOV. DINOPHYCEAE; HETEROTROPHIC DINOFLAGELLATE; BIOLOGICAL PUMP; SOUTHERN-OCEAN; MARINE SNOW; ZOOPLANKTON; COPEPOD; FLUX; SEA; ULTRASTRUCTURE</t>
  </si>
  <si>
    <t>Fecal pellets (FPs) are generated by various species and have gained attention as contributors to the biological carbon pump. Metazoans and protozoans are known as FP and minipellet-producers, respectively. Herein, we discovered fecal pellet-like dinoflagellates (FLDs) in the seasonal sea ice zone in the Southern Ocean. The size and form of these FLDs were similar to those of zooplankton oval FPs. However, due to their appearance, they have been misclassified as FPs rather than dinoflagellates, leading to potential oversight of their role in the carbon cycle. Thus, we aimed to identify FLD cells at the species level and examine the impact of FLDs on flux estimation of particulate organic carbon (POC). Our findings are as follows: first, FLD cells were identified as Gyrodinium rubrum and Gyrodinium heterogrammum through 18S rRNA gene sequencing. Second, FLDs can potentially excrete larger FPs than minipellets. Third, the sinking rate of FLDs is higher than that of other protozoa and dinoflagellate cysts. Finally, a maximum of 12 mgC m(-2) day(-1) of the POC flux can be attributed to FLDs (representing 32% of POC flux). These results suggest that FLDs are important drivers not only for the microbial loop but also for the biological carbon pump. In future projections of carbon sequestration, the contribution of metazoans to carbon export must be considered, but not that of FLDs. Their unknown physiological and ecological characteristics, especially including the responses to climate changes, must be urgently investigated for future projections of carbon sequestration in the Southern Ocean. Plain Language Summary Zooplankton feed on phytoplankton cells and excrete fecal pellets (FPs). FPs have gained attention as carbon carriers from the surface to the deep ocean because of their high carbon contents and sinking rate. Previous studies have sampled FPs using sediment traps and estimated carbon fluxes through microscopic observations to better understand the ocean carbon cycle. Here, we report the discovery of a dinoflagellate that closely resembles FP and was captured using a drifting sediment trap. This dinoflagellate has been named fecal-pellet-like dinoflagellate (FLD). It is believed that FLD cells have been misclassified as FPs given their appearance. Our findings indicated that a maximum of 12 mgC m(-2) day(-1) (representing 32% of the particulate organic carbon flux at 50 m depths during the summer productive season) may be attributed to FLD carbon flux. This result suggests that FLD cells serve as potential contributors for carbon export, contrary to the knowledge that heterotrophic dinoflagellates had been known as one of the dominant microbial loop components. Studies on FLDs are essential to understand the Southern Ocean carbon cycle.</t>
  </si>
  <si>
    <t>[Matsuda, R.; Kurosawa, N.] Soka Univ, Grad Sch Sci &amp; Engn, Dept Environm Engn Symbiosis, Tokyo, Japan; [Makabe, R.; Sano, M.; Moteki, M.] Natl Inst Polar Res, Tokyo, Japan; [Makabe, R.; Moteki, M.] Tokyo Univ Marine Sci &amp; Technol, Dept Ocean Sci, Tokyo, Japan; [Makabe, R.] Grad Univ Adv Studies SOKENDAI, Dept Polar Sci, Tokyo, Japan; [Sano, M.] Univ Tokyo, Atmosphere &amp; Ocean Res Inst, Kashiwa, Japan; [Takao, S.] Natl Inst Environm Studies, Ibaraki, Japan</t>
  </si>
  <si>
    <t>Soka University; Research Organization of Information &amp; Systems (ROIS); National Institute of Polar Research (NIPR) - Japan; Tokyo University of Marine Science &amp; Technology; Graduate University for Advanced Studies - Japan; University of Tokyo; National Institute for Environmental Studies - Japan</t>
  </si>
  <si>
    <t>Matsuda, R (corresponding author), Soka Univ, Grad Sch Sci &amp; Engn, Dept Environm Engn Symbiosis, Tokyo, Japan.</t>
  </si>
  <si>
    <t>ryomatsuda@soka.gr.jp</t>
  </si>
  <si>
    <t>Takao, Shintaro/M-8269-2019</t>
  </si>
  <si>
    <t>Kurosawa, Norio/0000-0001-5095-2104; Sano, Masayoshi/0000-0001-7264-9528; Takao, Shintaro/0000-0002-0118-6447</t>
  </si>
  <si>
    <t>We would like to express our gratitude to the late Dr. T. Odate from the National Institute of Polar Research, who passed away in February 2021, for providing us with the opportunity to conduct our observations. We also extend our thanks to the captain and [17H06319, 17K07579, 20H04313, 23KJ2057]; Japan Society for the Promotion of Science KAKENHI [KP-308]; Research Project Funds of the National Institute of Polar Research [AP-0939]; Japanese Antarctic Research Expedition [2021-4085]; Sasakawa Scientific Research; Japan Science Society [JPMJSP2143]; Japan Science and Technology Society (Support for Pioneering Research Initiated by the Next Generation [SPRING])</t>
  </si>
  <si>
    <t>We would like to express our gratitude to the late Dr. T. Odate from the National Institute of Polar Research, who passed away in February 2021, for providing us with the opportunity to conduct our observations. We also extend our thanks to the captain and; Japan Society for the Promotion of Science KAKENHI(Ministry of Education, Culture, Sports, Science and Technology, Japan (MEXT)Japan Society for the Promotion of ScienceGrants-in-Aid for Scientific Research (KAKENHI)); Research Project Funds of the National Institute of Polar Research; Japanese Antarctic Research Expedition; Sasakawa Scientific Research; Japan Science Society; Japan Science and Technology Society (Support for Pioneering Research Initiated by the Next Generation [SPRING])</t>
  </si>
  <si>
    <t>We would like to express our gratitude to the late Dr. T. Odate from the National Institute of Polar Research, who passed away in February 2021, for providing us with the opportunity to conduct our observations. We also extend our thanks to the captain and crew of the icebreaker Shirase and the TV Umitaka-maru for their support during the cruises. Special thanks are offered to Dr. M. Yamamoto-Kawai for her valuable comments on the study results. We would also like to acknowledge A. Kagesawa, S. Okano, and J. Han for their technical assistance during the experiments. This work was supported by the Japan Society for the Promotion of Science KAKENHI (Grants 17H06319 to M. Moteki, 17K07579 and 20H04313 to R. Makabe, and 23KJ2057 to R. Matsuda), the Research Project Funds of the National Institute of Polar Research (Grant KP-308 to T. Odate), the Japanese Antarctic Research Expedition (Grant AP-0939 to M. Moteki), the Sasakawa Scientific Research (Grant 2021-4085 to R. Matsuda) from the Japan Science Society, and the Japan Science and Technology Society (Support for Pioneering Research Initiated by the Next Generation [SPRING]; Grant JPMJSP2143).</t>
  </si>
  <si>
    <t>e2023JG007705</t>
  </si>
  <si>
    <t>10.1029/2023JG007705</t>
  </si>
  <si>
    <t>T0NW4</t>
  </si>
  <si>
    <t>WOS:001075050900001</t>
  </si>
  <si>
    <t>Styles, AF; Bell, MJ; Marshall, DP</t>
  </si>
  <si>
    <t>Styles, Andrew F.; Bell, Michael J.; Marshall, David P.</t>
  </si>
  <si>
    <t>The Sensitivity of an Idealized Weddell Gyre to Horizontal Resolution</t>
  </si>
  <si>
    <t>Weddell Gyre; idealized modeling; resolution; sea floor interaction; mesoscale eddies; Antarctic Circumpolar Current</t>
  </si>
  <si>
    <t>WATER-MASS TRANSFORMATION; SEA-ICE; OVERTURNING CIRCULATION; SUBPOLAR GYRES; TIME-SERIES; OCEAN; TRANSPORT; TOPOGRAPHY; MODEL; VARIABILITY</t>
  </si>
  <si>
    <t>Estimates of the Weddell Gyre transport vary widely between climate simulations. Here, we investigate if inter-model variability can originate from differences in the horizontal resolution of the ocean model. We run an idealized model of the Weddell Gyre at eddy-parameterized, eddy-permitting, and eddy-rich resolutions and find that the gyre is strongly sensitive to horizontal resolution. The gyre transport is largest at eddy-permitting resolutions (45 Sv with a noisy bathymetry) and smallest at eddy-parameterized resolutions (12 Sv). The eddy-permitting simulations have the largest horizontal density gradients and the weakest stratification over the gyre basin. The large horizontal density gradients induce a significant thermal wind transport and increase the mean available potential energy for mesoscale eddies. The distribution of eddy kinetic energy indicates that explicit eddies in simulations intensify the bottom circulation of the gyre via non-linear dynamics. If climate models adopt horizontal resolutions that the Weddell Gyre is most sensitive to, then simulations of the Weddell Gyre could become more disparate. The Weddell Gyre is a large horizontal circulation in the southern hemisphere. The gyre is exposed to low atmospheric temperatures and lies under extensive sea ice. Extremely dense water forms in the Weddell Sea, which the Weddell Gyre exports to the global ocean. These exported dense water masses change the Earth's climate by altering the total heat and carbon content in the global ocean. Between climate simulations, the volume of water transported by the Weddell Gyre varies significantly: we investigate if this variability can originate from differences in the horizontal spatial resolution of the ocean models. Using a simplified model of the Weddell Gyre, we find that the intensity of the circulation is extremely sensitive to the horizontal resolution. The circulation is particularly strong at intermediate resolutions, where only the largest ocean eddies are resolved. At intermediate resolutions, horizontal density gradients are the largest and the vertical density gradients are the smallest; this unique density structure allows for a particularly strong Weddell Gyre circulation. These results have important implications for long-range ocean climate projections. An idealized model of the Weddell Gyre demonstrates that the gyre transport can be extremely sensitive to horizontal resolutionThe gyre is strongest at eddy-permitting resolutions where the meridional density gradients are largest and the stratification is weakestThe depth-varying component of the Weddell Gyre is controlled by the density structure and the bottom flow is sensitive to explicit eddies</t>
  </si>
  <si>
    <t>[Styles, Andrew F.; Marshall, David P.] Univ Oxford, Dept Phys, Oxford, England; [Bell, Michael J.] Met Off, Exeter, England</t>
  </si>
  <si>
    <t>University of Oxford; Met Office - UK</t>
  </si>
  <si>
    <t>Styles, AF (corresponding author), Univ Oxford, Dept Phys, Oxford, England.</t>
  </si>
  <si>
    <t>afstylesocean@gmail.com</t>
  </si>
  <si>
    <t>Marshall, David Philip/B-6767-2009</t>
  </si>
  <si>
    <t>Marshall, David Philip/0000-0002-5199-6579; Styles, Andrew/0000-0003-0972-3304</t>
  </si>
  <si>
    <t>Natural Environment Research Council [NE/S007474/1]; Met Office Hadley Centre Climate Programme - BEIS; Defra - Natural Environment Research Council</t>
  </si>
  <si>
    <t>Natural Environment Research Council(UK Research &amp; Innovation (UKRI)Natural Environment Research Council (NERC)); Met Office Hadley Centre Climate Programme - BEIS; Defra - Natural Environment Research Council</t>
  </si>
  <si>
    <t>This work was financially supported by the Natural Environment Research Council NE/S007474/1. This research was funded in whole, by the UKRI (NE/S007474/1). For the purpose of Open Access, the author has applied a CC BY public copyright licence to any Author Accepted Manuscript version arising from this submission. Mike Bell was supported by the Met Office Hadley Centre Climate Programme funded by BEIS and Defra and funding for the Met Office's Public Weather Service. This work used Monsoon2, a collaborative High-Performance Computing facility funded by the Met Office and the Natural Environment Research Council. This work also used the ARCHER2 UK National Supercomputing Service () and JASMIN, the UK collaborative data analysis facility. Data were collected and made publicly available by the International Global Ship-based Hydrographic Investigations Program GO-SHIP () and the national programs that contribute to it. We would also like to thank Andrew Thompson and two anonymous reviewers for their thoughtful comments that improved this manuscript.</t>
  </si>
  <si>
    <t>e2023JC019711</t>
  </si>
  <si>
    <t>10.1029/2023JC019711</t>
  </si>
  <si>
    <t>T0HB3</t>
  </si>
  <si>
    <t>WOS:001074873000001</t>
  </si>
  <si>
    <t>Wang, FY; Wang, L; Dai, TL; Han, YY</t>
  </si>
  <si>
    <t>Wang, Feiyang; Wang, Lei; Dai, Tanlong; Han, Yuanyuan</t>
  </si>
  <si>
    <t>Interplay between Boreal Summer Intraseasonal Oscillation and Southern Hemisphere Stratospheric Polar Vortex Warming</t>
  </si>
  <si>
    <t>Southern Hemisphere; Madden-Julian oscillation; Stratosphere-troposphere coupling; Stratosphere; Intraseasonal variability</t>
  </si>
  <si>
    <t>MADDEN-JULIAN OSCILLATION; TROPICAL CYCLONES; INTERANNUAL VARIABILITY; EASTERN PACIFIC; NORTH-ATLANTIC; MJO; CIRCULATION; MODULATION; IMPACT; SEA</t>
  </si>
  <si>
    <t>The boreal summer intraseasonal oscillation (BSISO) features more distinctive and complex propagation characteristics than its wintertime counterpart, the Madden-Julian oscillation (MJO). While the relationship between the MJO and the Arctic stratosphere during boreal winter has been widely documented, the linkage between the BSISO and the Antarctic stratosphere during austral winter has not been extensively discussed. Here, after identifying the Southern Hemisphere (SH) stratospheric polar vortex warming (SPVW) events, we reveal the bidirectional connection between BSISO and SPVW. Before onset of the SPVW events, the occurrence frequency and amplitude of BSISO phase 5 (P5) shows a significant increase. The most significant responses of the SH polar stratospheric temperature to the BSISO are found about 10 days after BSISO P5. Thus, to some extent, BSISO P5 can be regarded as a precursor to the SH SPVW event, which is attributed to the enhanced upward propagation and dissipation of planetary waves in the SH stratosphere induced by the BSISO P5. After onset of the SPVW events, a significant increase in the occurrence and amplitude of BSISO P6 is ob-served, corresponding to the enhanced convection over the South China Sea and southern Philippine Sea. Tropical upwelling associated with the strengthened Brewer-Dobson circulation (BDC) induced by the SPVW tends to result in unstable circum-stances in the tropical upper troposphere. Then the high correlation between static stability at 150 hPa and outgoing longwave radiation (OLR) anomalies over the South China Sea and southern Philippine Sea provides robust evidence that the intensity of convective activity in the tropics can indeed be modulated by the variability in SH stratospheric polar vortex.</t>
  </si>
  <si>
    <t>[Wang, Feiyang] Hohai Univ, Coll Oceanog, Nanjing, Peoples R China; [Wang, Lei] Fudan Univ, Inst Atmospher Sci, Dept Atmospher &amp; Ocean Sci, Shanghai, Peoples R China; [Dai, Tanlong] China Meteorol Adm, Natl Climate Ctr, Lab Climate Studies, Beijing, Peoples R China; [Han, Yuanyuan] Xian Polytech Univ, Sch Environm &amp; Chem Engn, Xian, Peoples R China</t>
  </si>
  <si>
    <t>Hohai University; Fudan University; China Meteorological Administration; Xi'an Polytechnic University</t>
  </si>
  <si>
    <t>Wang, L (corresponding author), Fudan Univ, Inst Atmospher Sci, Dept Atmospher &amp; Ocean Sci, Shanghai, Peoples R China.</t>
  </si>
  <si>
    <t>wanglei_ias@fudan.edu.cn</t>
  </si>
  <si>
    <t>Wang, Lei/AAE-7991-2020</t>
  </si>
  <si>
    <t>Wang, Lei/0000-0002-1618-1796; Feiyang, Wang/0000-0003-3397-4373</t>
  </si>
  <si>
    <t>National Key Research and Development Program of China [2020YFA0608802]; National Natural Science Foundation of China [41905039, 41875047]; Natural Science Basic Research Plan in Shaanxi Province of China [2022JM-142]</t>
  </si>
  <si>
    <t>National Key Research and Development Program of China; National Natural Science Foundation of China(National Natural Science Foundation of China (NSFC)); Natural Science Basic Research Plan in Shaanxi Province of China</t>
  </si>
  <si>
    <t>Acknowledgments. This work was supported by the National Key Research and Development Program of China (2020YFA0608802) , National Natural Science Foundation of China (41905039 and 41875047) , and Natural Science Basic Research Plan in Shaanxi Province of China (2022JM-142) .</t>
  </si>
  <si>
    <t>10.1175/JCLI-D-22-0786.1</t>
  </si>
  <si>
    <t>S3LN3</t>
  </si>
  <si>
    <t>WOS:001070217900001</t>
  </si>
  <si>
    <t>Goldberg, DN; Twelves, AG; Holland, PR; Wearing, MG</t>
  </si>
  <si>
    <t>Goldberg, Daniel N.; Twelves, Andrew G.; Holland, Paul R.; Wearing, Martin G.</t>
  </si>
  <si>
    <t>The Non-Local Impacts of Antarctic Subglacial Runoff</t>
  </si>
  <si>
    <t>ice sheet; subglacial; ice shelf; ice-ocean interactions; sea ice</t>
  </si>
  <si>
    <t>BENEATH THWAITES GLACIER; ICE-SHELF; AMUNDSEN SEA; MELT RATES; WEST ANTARCTICA; OCEANIC HEAT; PINE ISLAND; MELTWATER; MODEL; WATER</t>
  </si>
  <si>
    <t>Little is known about Antarctic subglacial hydrology, but based on modeling, theory and indirect observations it is thought that subglacial runoff enhances submarine melt locally through buoyancy effects. However, no studies to date have examined effects of runoff on sea ice and oceanography on the continental shelf. Here we use modeled and observational estimates of runoff to force a regional model of the Amundsen Sea Embayment. We find that runoff enhances melt locally (i.e., within the ice-shelf cavity), increasing melt at Thwaites ice shelf by up to 15 Gt/a given estimates of steady runoff, and up to 25 Gt/a if runoff is episodic as remote sensing measurements suggest. However runoff also has smaller non-local effects on melt through freshwater influence on flow and stratification. We further find that runoff reduces summer sea-ice volume over the continental shelf (by up to 10% with steady runoff but over 30% with episodic runoff). Furthermore runoff is much more effective at reducing sea ice than an equivalent volume of ice-shelf meltwater-due in part to the latent heat loss associated with submarine melting. Results suggest that runoff may play an important role in continental shelf dynamics, despite runoff flux being small relative to ice-shelf melting-and that runoff-driven melt and circulation may be an important process missing from regional Antarctic ocean models. A number of floating ice shelves in Antarctica are exposed to warm waters which lead to strong melting, limiting shelves' ability to buttress against ice flow from the continent and also bringing warmed and freshened waters to the ocean surface-waters which in turn influence seasonal sea ice near the continent and insulate the deep ocean from the cold atmosphere. Meanwhile, large rivers under the Antarctic ice sheet carry melt from the ice sheet base to the ocean cavities beneath ice shelves. While a few studies have looked at the role these rivers play in ice-shelf melt, they do not examine the effects on ocean properties and sea ice in the open ocean. We find that these rivers not only amplify melting under ice shelves, but have far-reaching impacts on ocean circulation. We find that while the direct contribution of water from these subglacial rivers is small compared to that of ice-shelf melt, there is a disproportionate impact on seasonal sea ice. Modeled and observed subglacial runoff estimates are used to force a regional model of the Amundsen Sea EmbaymentRunoff influences melt rates regionally as well as locally, and leads to reduction of summer sea ice volume on the continental shelfRunoff impacts on sea ice differ qualitatively from those of an equivalent volume of ice-shelf melting</t>
  </si>
  <si>
    <t>[Goldberg, Daniel N.; Twelves, Andrew G.; Wearing, Martin G.] Univ Edinburgh, Sch Geosci, Edinburgh, Scotland; [Twelves, Andrew G.] Finnish Meteorol Inst, Helsinki, Finland; [Holland, Paul R.] British Antarctic Survey, Cambridge, England; [Wearing, Martin G.] European Space Res Inst, Frascati, Italy</t>
  </si>
  <si>
    <t>University of Edinburgh; Finnish Meteorological Institute; UK Research &amp; Innovation (UKRI); Natural Environment Research Council (NERC); NERC British Antarctic Survey; European Space Agency</t>
  </si>
  <si>
    <t>Goldberg, DN (corresponding author), Univ Edinburgh, Sch Geosci, Edinburgh, Scotland.</t>
  </si>
  <si>
    <t>dan.goldberg@ed.ac.uk</t>
  </si>
  <si>
    <t>Twelves, Andrew/0000-0001-9995-1532; Wearing, Martin/0000-0002-8927-8564</t>
  </si>
  <si>
    <t>UKRI [NE/S006796/1, NE/L002558/1]; European Space Agency [4000128611/19/I-DT]; 4D Antarctica and Digital Twin Antarctica; NERC [NE/S006796/1] Funding Source: UKRI</t>
  </si>
  <si>
    <t>UKRI(UK Research &amp; Innovation (UKRI)); European Space Agency(European Space Agency); 4D Antarctica and Digital Twin Antarctica; NERC(UK Research &amp; Innovation (UKRI)Natural Environment Research Council (NERC))</t>
  </si>
  <si>
    <t>DNG and MGW acknowledge support from UKRI Grant NE/S006796/1 and the European Space Agency funding projects 4000128611/19/I-DT, 4D Antarctica and Digital Twin Antarctica. AGT acknowledges support from UKRI doctoral training partnership Grant NE/L002558/1. The ocean simulations were run on ARCHER2 (https://www.archer2.ac.uk/), requiring approximately 2200 CU (including failed and re-run experiments), with an estimated CO2 cost of ~330 kg (https://frost-group.github.io).</t>
  </si>
  <si>
    <t>e2023JC019823</t>
  </si>
  <si>
    <t>10.1029/2023JC019823</t>
  </si>
  <si>
    <t>S7OO9</t>
  </si>
  <si>
    <t>Green Accepted, Green Submitted, hybrid, Green Published</t>
  </si>
  <si>
    <t>WOS:001073029500001</t>
  </si>
  <si>
    <t>Horswill, C; Warwick-Evans, V; Esmonde, NPG; Reid, N; Kirk, H; Siddiqi-Davies, KR; Josey, SA; Wood, MJ</t>
  </si>
  <si>
    <t>Horswill, C.; Warwick-Evans, V.; Esmonde, N. P. G.; Reid, N.; Kirk, H.; Siddiqi-Davies, K. R.; Josey, S. A.; Wood, M. J.</t>
  </si>
  <si>
    <t>Interpopulation differences and temporal synchrony in rates of adult survival between two seabird colonies that differ in population size and distance to foraging grounds</t>
  </si>
  <si>
    <t>carry-over effects; demography; foraging ecology; mark-recapture; synchrony</t>
  </si>
  <si>
    <t>PUFFINUS-PUFFINUS; SPATIAL SYNCHRONY; MANX SHEARWATER; DYNAMICS; CLIMATE; RECRUITMENT; DRIVERS; TRAITS; CANADA; FLIGHT</t>
  </si>
  <si>
    <t>Understanding the processes that drive interpopulation differences in demography and population dynamics is central to metapopulation ecology. In colonial species, populations are limited by local resource availability. However, individuals from larger colonies will travel greater distances to overcome density-dependent competition. Consequently, these individuals may also experience greater carry-over effects and interpopulation differences in demography. To test this prediction, we use mark-recapture data collected over four decades from two breeding colonies of a seabird, the Manx shearwater (Puffinus puffinus), that exhibit strong spatial overlap throughout the annual cycle but differ in population size and maximum foraging distances. We quantify interpopulation differences and synchrony in rates of survival and assess whether local mean wind speeds act to strengthen or disrupt synchrony. In addition, we examine whether the imputed interpopulation differences in survival can generate population-level consequences. The colony where individuals travel further during the breeding season had slightly lower and more variable rates of survival, indicative of individuals experiencing greater carry-over effects. Fluctuations in survival were highly synchronous between the colonies, but neither synchronous, nor asynchronous, variation could be strongly attributed to fluctuations in local mean wind speeds. Finally, we demonstrate that the imputed interpopulation differences in rates of survival could lead to considerable differences in population growth. We hypothesise that the observed interpopulation differences in rates of adult survival reflect carry-over effects associated with foraging distances during the breeding season. More broadly, our results highlight that breeding season processes can be important for understanding interpopulation differences in the demographic rates and population dynamics of long-lived species, such as seabirds. Populations that spatially overlap on foraging grounds can experience divergent costs if factors determining access to resources differ. To test this prediction, we used mark-recapture data to quantify interpopulation differences and synchrony in rates of survival between two colonies of a trans-Atlantic migratory seabird that exhibit strong spatial overlap throughout the annual cycle but differ in population size and distance to foraging grounds.image</t>
  </si>
  <si>
    <t>[Horswill, C.] ZSL, Inst Zool, London, England; [Horswill, C.] UCL, Ctr Biodivers &amp; Environm Res, Dept Genet Evolut &amp; Environm, London, England; [Warwick-Evans, V.] British Antarctic Survey, Cambridge, England; [Esmonde, N. P. G.; Reid, N.] Queens Univ Belfast, Sch Biol Sci, Belfast, North Ireland; [Kirk, H.] RMIT Univ, Ctr Urban Res, Interdisciplinary Conservat Sci Grp, Melbourne, Vic, Australia; [Siddiqi-Davies, K. R.] Univ Oxford, Dept Zool, Oxford, England; [Josey, S. A.] Natl Oceanog Ctr, Southampton, England; [Wood, M. J.] Univ Gloucestershire, Cheltenham, England; [Horswill, C.] Inst Zool, Regents Pk, London NW1 4RY, England</t>
  </si>
  <si>
    <t>University of London; University College London; UK Research &amp; Innovation (UKRI); Natural Environment Research Council (NERC); NERC British Antarctic Survey; Queens University Belfast; Melbourne Genomics Health Alliance; Royal Melbourne Institute of Technology (RMIT); University of Oxford; NERC National Oceanography Centre; University of Gloucestershire</t>
  </si>
  <si>
    <t>Horswill, C (corresponding author), Inst Zool, Regents Pk, London NW1 4RY, England.</t>
  </si>
  <si>
    <t>catrsw@gmail.com</t>
  </si>
  <si>
    <t>Wood, Matthew J/B-6124-2011; Esmonde, Niamh/JXY-4693-2024; Kirk, Holly/HHC-6449-2022</t>
  </si>
  <si>
    <t>Wood, Matthew J/0000-0003-0920-8396; Kirk, Holly/0000-0002-8724-3210; Warwick-Evans, Victoria/0000-0002-0583-5504; Horswill, Cat/0000-0002-1795-0753</t>
  </si>
  <si>
    <t>C.H. was funded by Research England. K.R.S.-D. was funded by the Merton-OxNav scholarship from Merton College, University of Oxford. We thank the Copeland Bird Observatory (CBO) for sharing their long-term Manx shearwater ringing records where observatory; Research England - Merton-OxNav scholarship from Merton College, University of Oxford; Northern Ireland Environment Agency (NIEA); Department of Agriculture, Environment and Rural Affairs (DAERA); National Trust [NE/S007377/1]; UKRI QUADRAT Doctoral Training Programme (DTP) studentship; Natural Environment Research Council (NERC) - Microsoft Research, Cambridge</t>
  </si>
  <si>
    <t>C.H. was funded by Research England. K.R.S.-D. was funded by the Merton-OxNav scholarship from Merton College, University of Oxford. We thank the Copeland Bird Observatory (CBO) for sharing their long-term Manx shearwater ringing records where observatory; Research England - Merton-OxNav scholarship from Merton College, University of Oxford; Northern Ireland Environment Agency (NIEA); Department of Agriculture, Environment and Rural Affairs (DAERA); National Trust; UKRI QUADRAT Doctoral Training Programme (DTP) studentship; Natural Environment Research Council (NERC) - Microsoft Research, Cambridge</t>
  </si>
  <si>
    <t>C.H. was funded by Research England. K.R.S.-D. was funded by the Merton-OxNav scholarship from Merton College, University of Oxford. We thank the Copeland Bird Observatory (CBO) for sharing their long-term Manx shearwater ringing records where observatory activity was funded by membership fees and conservation grants principally from the Northern Ireland Environment Agency (NIEA) and the Department of Agriculture, Environment and Rural Affairs (DAERA), with additional support from Ulster Wildlife (UW) and National Trust (NT) among others. Digitisation of the Copeland data was undertaken by N.E. supported by a UKRI QUADRAT Doctoral Training Programme (DTP) studentship, grant number NE/S007377/1 funded by the Natural Environment Research Council (NERC). We also thank The Wildlife Trust of South and West Wales for permission to conduct fieldwork on Skomer Island and providing invaluable logistical support. Long-term monitoring of Manx shearwaters on Skomer Island was supported by a partial funding contribution from the Joint Nature Conservation Committee Seabird Monitoring Programme to M.J.W. and previously to Prof. Chris Perrins. Finally, we thank the many duty officers, wardens, volunteers and researchers who have assisted with both long-term population studies. Collection of Manx shearwater movement data was initially funded by Microsoft Research, Cambridge.</t>
  </si>
  <si>
    <t>e10455</t>
  </si>
  <si>
    <t>10.1002/ece3.10455</t>
  </si>
  <si>
    <t>T1DB6</t>
  </si>
  <si>
    <t>WOS:001075451300001</t>
  </si>
  <si>
    <t>Fu, GQ; Yang, Y; Liang, XS; Zhao, YH</t>
  </si>
  <si>
    <t>Fu, Guanqi; Yang, Yang; Liang, X. San; Zhao, Yuhui</t>
  </si>
  <si>
    <t>Characteristics and Dynamics of the Interannual Eddy Kinetic Energy Variation in the Central Pacific Sector of the Southern Ocean</t>
  </si>
  <si>
    <t>WIND STRESS; VARIABILITY; TRANSPORT</t>
  </si>
  <si>
    <t>Mesoscale eddies play a crucial role in the dynamical balance of the Southern Ocean (SO) circulation. Yet, it remains unclear why the SO transient eddy activity has significant variations on interannual time scales, and to what extent these low-frequency variations are attributed to wind forcing changes. Here we use a functional analysis tool, namely, the multiscale window transform (MWT), the MWT-based theory of canonical transfer and a time-dependent energetics framework to investigate these issues. Our focus is on the central Pacific sector of the SO in which there is a significant time-mean and interannual variability of the eddy kinetic energy (EKE). It is found that wind stress does not directly contribute to the interannual EKE variability through wind power injection to the eddies; instead, the influence is fulfilled indirectly through two internal pathways. First, the baroclinic pathway in which the wind-generated mean kinetic energy (MKE) is converted to the mean available potential energy (APE), and is further released to eddy APE and finally to EKE through baroclinic instability, is the dominant one. Second, the barotropic pathway, in which MKE directly fuels EKE through barotropic instability, is faster but secondary, and its influence is only concentrated along the axis of the Antarctic Circumpolar Current. Our results highlight the dynamical connections between the internal and external processes in the SO energy system, and provide insights into the predictability of the SO eddies on interannual time scales. The strength of the transient eddy activity in the Southern Ocean (SO) exhibits considerable variability on interannual time scales. Although the SO eddies respond to wind forcing, it remains unclear how the wind stress modulates the internal oceanic processes, for example, instabilities, and how it determines the low-frequency variability of the eddy activity. Using a novel time-dependent energetics framework, we find that wind stress does not directly control the interannual eddy kinetic energy (EKE) variability by wind power injection to the eddies; instead, we identify two possible internal energy pathways in the central Pacific sector of the SO. First, the baroclinic pathway is the dominant, in which the wind-generated mean kinetic energy (MKE) is converted to the available potential energy, and finally released to EKE through baroclinic instability. Second, the barotropic pathway, in which the MKE directly fuels EKE through barotropic instability, is much faster but secondary. This study provides insights into understanding the energy pathways by connecting the external forcing and internal processes that together determine the low-frequency variation of the eddy activity in the SO. Eddy kinetic energy (EKE) displays significant interannual variation in the central Pacific sector of the Southern Ocean (CPSSO)Interannual EKE variation in the CPSSO is strongly modulated by wind stressWind stress impacts the interannual EKE variation indirectly via baroclinic and barotropic pathways</t>
  </si>
  <si>
    <t>[Fu, Guanqi; Yang, Yang] Xiamen Univ, Coll Ocean &amp; Earth Sci, State Key Lab Marine Environm Sci, Xiamen, Peoples R China; [Fu, Guanqi; Zhao, Yuhui] Nanjing Univ Informat Sci &amp; Technol, Sch Marine Sci, Nanjing, Peoples R China; [Liang, X. San; Zhao, Yuhui] Southern Marine Lab, Div Frontier Res, Artificial Intelligence Grp, Zhuhai, Peoples R China; [Liang, X. San] Fudan Univ, Dept Atmospher &amp; Ocean Sci, Shanghai, Peoples R China; [Liang, X. San] Fudan Univ, Inst Atmospher Sci, Shanghai, Peoples R China</t>
  </si>
  <si>
    <t>Xiamen University; Nanjing University of Information Science &amp; Technology; Fudan University; Fudan University</t>
  </si>
  <si>
    <t>Yang, Y (corresponding author), Xiamen Univ, Coll Ocean &amp; Earth Sci, State Key Lab Marine Environm Sci, Xiamen, Peoples R China.</t>
  </si>
  <si>
    <t>yyang2@xmu.edu.cn</t>
  </si>
  <si>
    <t>Yang, Yang/P-1716-2018</t>
  </si>
  <si>
    <t>Yang, Yang/0000-0002-8264-4816</t>
  </si>
  <si>
    <t>The authors would like to thank the three anonymous referees whose comments helped to greatly improve this manuscript. The study is supported by National Science Foundation of China (NSFC) (Grants 42276017, 42230105, 41975064, 41721005, 92258301), by South [42276017, 42230105, 41975064, 41721005, 92258301]; National Science Foundation of China (NSFC); Southern Marine Science and Engineering Guangdong (Zhuhai) through the Startup Foundation [22230750300]; Shanghai B amp;amp; R Joint Laboratory Project [21230780200]; Shanghai International Science and Technology Partnership Project [2021J02005]; Natural Science Foundation of Fujian Province of China</t>
  </si>
  <si>
    <t>The authors would like to thank the three anonymous referees whose comments helped to greatly improve this manuscript. The study is supported by National Science Foundation of China (NSFC) (Grants 42276017, 42230105, 41975064, 41721005, 92258301), by South; National Science Foundation of China (NSFC)(National Natural Science Foundation of China (NSFC)); Southern Marine Science and Engineering Guangdong (Zhuhai) through the Startup Foundation; Shanghai B amp;amp; R Joint Laboratory Project; Shanghai International Science and Technology Partnership Project; Natural Science Foundation of Fujian Province of China(Natural Science Foundation of Fujian Province)</t>
  </si>
  <si>
    <t>The authors would like to thank the three anonymous referees whose comments helped to greatly improve this manuscript. The study is supported by National Science Foundation of China (NSFC) (Grants 42276017, 42230105, 41975064, 41721005, 92258301), by Southern Marine Science and Engineering Guangdong (Zhuhai) through the Startup Foundation, by Shanghai B &amp; amp; R Joint Laboratory Project (Grant 22230750300), by Shanghai International Science and Technology Partnership Project (Grant 21230780200), and by the Natural Science Foundation of Fujian Province of China (2021J02005).</t>
  </si>
  <si>
    <t>e2022JC019618</t>
  </si>
  <si>
    <t>10.1029/2022JC019618</t>
  </si>
  <si>
    <t>S8US4</t>
  </si>
  <si>
    <t>WOS:001073870300001</t>
  </si>
  <si>
    <t>Chen, J; Ren, XD; Yang, PX; Xu, GZ; Huang, LK; Xiong, S; Zhang, XH</t>
  </si>
  <si>
    <t>Chen, Jun; Ren, Xiaodong; Yang, Pengxin; Xu, Guozhen; Huang, Liangke; Xiong, Si; Zhang, Xiaohong</t>
  </si>
  <si>
    <t>Global Ionosphere Modeling Based on GNSS, Satellite Altimetry, Radio Occultation, and DORIS Data Considering Ionospheric Variation</t>
  </si>
  <si>
    <t>ionosphere; total electron content (TEC); multi-source; single-layer normalization (SLN); low Earth orbit (LEO)</t>
  </si>
  <si>
    <t>TOTAL ELECTRON-CONTENT; VTEC MAPS; CONSTELLATION; MISSION; NEQUICK; SYSTEM; SLANT; TEC</t>
  </si>
  <si>
    <t>The accuracy of ionospheric models estimated by ground-based multiple global navigation satellite system ionospheric data over regions with sparse tracking stations is not ideal. To improve the accuracy of the estimated ionospheric model, different types of ionospheric data with different combinations were employed for previous studies. However, the ionospheric observational ranges for different types of ionospheric data are not the same. In this study, the accuracy of ionospheric maps generated by ground-based ionospheric data (ground-based strategy) and ground-based ionospheric data combined with data provided by other geodetic measurements normalized by the single-layer normalization method (multi-source strategy) were studied. The results showed that the main differences between the ionospheric models estimated by the two strategies occur for data taken over the ocean, which mainly range from -1 to 0 total electron content unit (TECU). When assessed using Jason-3 vertical total electron content data, the mean root mean square (RMS) value of the ionospheric model estimated by the multi-source strategy was 5.03 TECU, which is approximately 15% smaller than that estimated by the ground-based strategy. The maximum reduction in results using the multisource strategy was approximately 25% over different latitudes compared with that of the ground-based strategy. Furthermore, the self-consistency evaluation method was employed for evaluation. The results showed that the RMS of the ionospheric model estimated by the multi-source strategy was 2.41 TECU, which is 3.60% better than that of the ground-based strategy. The maximum reduction was 15% on different days. The single-layer normalization method is employed to make multi-source data have the same observational range compared with those of ground-based global navigation satellite system dataThe distribution of multi-source data has better coverage, especially over the oceanic regionThe main differences between the ionospheric models estimated by the ground-based strategy and the multi-source strategy occur over the ocean</t>
  </si>
  <si>
    <t>[Chen, Jun] Minjiang Univ, Dept Surveying &amp; Mapping Engn, Fuzhou, Peoples R China; [Chen, Jun; Ren, Xiaodong; Yang, Pengxin; Xu, Guozhen; Zhang, Xiaohong] Wuhan Univ, Sch Geodesy &amp; Geomat, Wuhan, Peoples R China; [Huang, Liangke] Guilin Univ Technol, Coll Geomat &amp; Geoinformat, Guilin, Peoples R China; [Xiong, Si] Hubei Univ Sci &amp; Technol, Sch Resources Environm Sci &amp; Engn, Xianning, Peoples R China; [Zhang, Xiaohong] Wuhan Univ, Chinese Antarctic Ctr Surveying &amp; Mapping, Wuhan, Peoples R China</t>
  </si>
  <si>
    <t>Minjiang University; Wuhan University; Guilin University of Technology; Hubei University of Science &amp; Technology; Wuhan University</t>
  </si>
  <si>
    <t>Ren, XD (corresponding author), Wuhan Univ, Sch Geodesy &amp; Geomat, Wuhan, Peoples R China.</t>
  </si>
  <si>
    <t>renxiaodongfly@gmail.com</t>
  </si>
  <si>
    <t>REN, XIAODONG/HJP-2991-2023; Zhang, Xiaohong/A-3060-2015</t>
  </si>
  <si>
    <t>REN, XIAODONG/0000-0002-3213-0067; yang, pengxin/0000-0002-6772-9758</t>
  </si>
  <si>
    <t>This work was funded by the Natural Science Foundation of Fujian Province, China (No. 2022J05241), an initial scientific research fund of talents in Minjiang University (No. MJY21039), and the project of Fujian Educational Bureau (JAT210333), State Key Lab [2022J05241]; Natural Science Foundation of Fujian Province, China [MJY21039]; initial scientific research fund of talents in Minjiang University [JAT210333]; project of Fujian Educational Bureau; State Key Laboratory of Geodesy and Earthamp;apos;s Dynamics, Innovation Academy for Precision Measurement Science and Technology; Chinese Academy of Sciences; (SKLGED2020-3-4-E)</t>
  </si>
  <si>
    <t>This work was funded by the Natural Science Foundation of Fujian Province, China (No. 2022J05241), an initial scientific research fund of talents in Minjiang University (No. MJY21039), and the project of Fujian Educational Bureau (JAT210333), State Key Lab; Natural Science Foundation of Fujian Province, China(Natural Science Foundation of Fujian Province); initial scientific research fund of talents in Minjiang University; project of Fujian Educational Bureau; State Key Laboratory of Geodesy and Earthamp;apos;s Dynamics, Innovation Academy for Precision Measurement Science and Technology; Chinese Academy of Sciences(Chinese Academy of Sciences); (SKLGED2020-3-4-E)</t>
  </si>
  <si>
    <t>This work was funded by the Natural Science Foundation of Fujian Province, China (No. 2022J05241), an initial scientific research fund of talents in Minjiang University (No. MJY21039), and the project of Fujian Educational Bureau (JAT210333), State Key Laboratory of Geodesy and Earth &amp; apos;s Dynamics, Innovation Academy for Precision Measurement Science and Technology, the Chinese Academy of Sciences (No. SKLGED2020-3-4-E). The numerical calculations have been done on the supercomputing system in the Supercomputing Center of Wuhan University. We also gratefully acknowledge the use of Generic Mapping Tool (GMT) software. We thank all anonymous reviewers for their valuable, constructive, and prompt comments.</t>
  </si>
  <si>
    <t>e2023JA031514</t>
  </si>
  <si>
    <t>10.1029/2023JA031514</t>
  </si>
  <si>
    <t>S7UJ2</t>
  </si>
  <si>
    <t>WOS:001073180300001</t>
  </si>
  <si>
    <t>Trusel, LD; Kromer, JD; Datta, RT</t>
  </si>
  <si>
    <t>Trusel, Luke D.; Kromer, Jessica D.; Datta, Rajashree Tri</t>
  </si>
  <si>
    <t>Atmospheric Response to Antarctic Sea-Ice Reductions Drives Ice Sheet SurfaceMass Balance Increases</t>
  </si>
  <si>
    <t>Antarctica; Ice sheets; Sea ice; Ice loss/growth; Atmosphere-ocean interaction</t>
  </si>
  <si>
    <t>MASS-BALANCE; CLIMATE; VARIABILITY; OCEAN; PRECIPITATION; CONSEQUENCES; TEMPERATURE; SENSITIVITY; SNOWFALL; TRENDS</t>
  </si>
  <si>
    <t>The mass balance of the Antarctic ice sheet is intricately linked to the state of the surrounding atmosphere and ocean. As a direct result, improving projections of future sea level change requires understanding change in the Antarctic atmosphere and Southern Ocean, and the processes that couple these systems. Here, we examine the influence of sea ice cover on the overlying atmosphere and subsequently the surface mass balance (SMB) of the adjacent Antarctic ice sheet. We investigate these processes both over the observational era using the ERA5 atmospheric reanalysis and in ensemble simulations of the Community Earth System Model 2.1 (CESM2) where only sea ice coverage is altered. Comparing extreme high and low sea ice over the satellite era in ERA5 reveals atmospheric and ice sheet SMB anomalies that largely mirror anomalies simulated by CESM2 in response to sea ice loss. Results highlight significant near-surface atmospheric warming in response to sea ice reductions that are particularly pronounced in nonsummer seasons and driven by significant ocean-to-atmosphere turbulent heat fluxes. In areas of sea ice loss, significant ocean surface evaporation increases occur. On the eastern flank of climatological low pressure systems, moisture is readily advected toward the ice sheet, driving positive anomalies in the ice sheet SMB. These results indicate that underestimation of Antarctic sea ice, which is common in many current-generation coupled climate models, may lead to overestimation of the ice sheet SMB and therefore underestimation of Antarctica's contributions to global sea level.</t>
  </si>
  <si>
    <t>[Trusel, Luke D.; Kromer, Jessica D.] Penn State Univ, Dept Geog, University Pk, PA 16801 USA; [Datta, Rajashree Tri] Univ Colorado, Dept Atmospher &amp; Ocean Sci, Boulder, CO USA</t>
  </si>
  <si>
    <t>Pennsylvania Commonwealth System of Higher Education (PCSHE); Pennsylvania State University; Pennsylvania State University - University Park; University of Colorado System; University of Colorado Boulder</t>
  </si>
  <si>
    <t>Trusel, LD (corresponding author), Penn State Univ, Dept Geog, University Pk, PA 16801 USA.</t>
  </si>
  <si>
    <t>trusel@psu.edu</t>
  </si>
  <si>
    <t>Datta, Rajashree Tri/0000-0003-2241-0687; Trusel, Luke/0000-0002-7792-6173</t>
  </si>
  <si>
    <t>10.1175/JCLI-D-23-0056.1</t>
  </si>
  <si>
    <t>S1SG6</t>
  </si>
  <si>
    <t>WOS:001069033800001</t>
  </si>
  <si>
    <t>Guerreiro, MF; Borges, FO; Santos, CP; Xavier, JC; Hoving, HJ; Rosa, R</t>
  </si>
  <si>
    <t>Guerreiro, Miguel Fernandes; Borges, Francisco Oliveira; Santos, Catarina Pereira; Xavier, Jose Carlos; Hoving, Henk-Jan; Rosa, Rui</t>
  </si>
  <si>
    <t>Impact of climate change on the distribution and habitat suitability of the world's main commercial squids</t>
  </si>
  <si>
    <t>Species distribution models; Climate change; Fisheries; Cephalopods; Commercial squid</t>
  </si>
  <si>
    <t>DOSIDICUS-GIGAS; RANGE EXPANSION; JUMBO SQUID; ILLEX-ILLECEBROSUS; LOLIGO-OPALESCENS; CEPHALOPODS; ECOLOGY; BIOGEOGRAPHY; ATLANTIC; PREY</t>
  </si>
  <si>
    <t>Climate change is expected to have major negative effects on marine life across phylogenetic groups. Cephalopods, however, have life history characteristics that suggest they may benefit from certain climate change scenarios. Of all cephalopods, squids reach the greatest biomasses; as a result, they are of substantial importance for human and predator consumption. To test the hypothesis that the effects of climate change are beneficial for commercial squid, we used species distribution models on climate scenarios for the period between 2000 and 2014, as well as the years 2050 and 2100 (RCP [representative concentration pathway] 2.6, 4.5, 6.0, and 8.5; CMIP5). Our results suggest that consequences of climate change scenarios are species specific. In the North Pacific and Northwest Atlantic, squid's habitat suitability may increase (from + 0.83% [Doryteuthis pealeii] to + 8.77% increase [Illex illecebrosus]), while it is predicted to decrease in other regions (from - 1.03% [Doryteuthis opalescens] to - 15.04% decrease [Loligo reynaudii]). Increases in habitat suitability occurred mostly at higher latitudes (north of 50 &amp; DEG; N), while suitable habitat decrease was predicted for the tropical regions. These shifts in future habitat suitability were stronger under harsher emission scenarios. Starting in 2050 (with RCP scenarios 4.6, 6.0 and 8.5), as a result of warming of the Arctic, squid habitat may increase along both coasts of North America. In the Southern Hemisphere, squids may lose habitat with no poleward habitat alternatives to move into. Contrary to our hypothesis, these commercial squid do not stand to benefit from climate change. Since these squid are an important food source for marine megafauna and humans, it is imperative that climate change biogeographic impacts are considered for a sustainable management of this important group of molluscs.</t>
  </si>
  <si>
    <t>[Guerreiro, Miguel Fernandes; Hoving, Henk-Jan] GEOMAR Helmholtz Ctr Ocean Res Kiel, Wischhofstr 1-3, D-24148 Kiel, Germany; [Guerreiro, Miguel Fernandes; Borges, Francisco Oliveira; Santos, Catarina Pereira; Rosa, Rui] Univ Lisbon, Fac Ciencias, Lab Maritimo Guia, MARE Marine &amp; Environm Sci Ctr,ARNET Aquat Res Net, Lisbon, Portugal; [Santos, Catarina Pereira] Univ Nova Lisboa, Nova Sch Business &amp; Econ, Environm Econ Knowledge Ctr, Carcavelos, Portugal; [Xavier, Jose Carlos] Univ Coimbra, MARE Marine &amp; Environm Sci Ctr, Dept Life Sci, ARNET Aquat Res Network, P-3004517 Coimbra, Portugal; [Xavier, Jose Carlos] British Antarctic Survey, Nat Environm Res Council, Cambridge CB3 0ET, England; [Rosa, Rui] Univ Lisbon, Fac Ciencias, Dept Biol Anim, P-1749016 Lisbon, Portugal</t>
  </si>
  <si>
    <t>Helmholtz Association; GEOMAR Helmholtz Center for Ocean Research Kiel; Universidade de Lisboa; Universidade Nova de Lisboa; Universidade de Coimbra; UK Research &amp; Innovation (UKRI); Natural Environment Research Council (NERC); NERC British Antarctic Survey; Universidade de Lisboa</t>
  </si>
  <si>
    <t>Guerreiro, MF (corresponding author), GEOMAR Helmholtz Ctr Ocean Res Kiel, Wischhofstr 1-3, D-24148 Kiel, Germany.;Guerreiro, MF (corresponding author), Univ Lisbon, Fac Ciencias, Lab Maritimo Guia, MARE Marine &amp; Environm Sci Ctr,ARNET Aquat Res Net, Lisbon, Portugal.</t>
  </si>
  <si>
    <t>mguerreiro@geomar.de</t>
  </si>
  <si>
    <t>Xavier, José/KFB-6739-2024; Borges, Francisco/J-4028-2019; Rosa, Rui/A-4580-2009; Guerreiro, Miguel/KFB-7819-2024; Guerreiro, Miguel/D-8651-2015</t>
  </si>
  <si>
    <t>Borges, Francisco/0000-0002-3911-0421; Rosa, Rui/0000-0003-2801-5178; Guerreiro, Miguel/0000-0002-0735-9812; /0000-0002-9621-6660</t>
  </si>
  <si>
    <t>We would like to thank the evaluations and feedback of three reviewers.</t>
  </si>
  <si>
    <t>10.1007/s00227-023-04261-w</t>
  </si>
  <si>
    <t>R1IN5</t>
  </si>
  <si>
    <t>WOS:001061948900001</t>
  </si>
  <si>
    <t>Ma, F; Ma, BH; Zhang, BX; He, YD; Wang, Y</t>
  </si>
  <si>
    <t>Ma, Fang; Ma, Baohua; Zhang, Binxia; He, Yude; Wang, Yun</t>
  </si>
  <si>
    <t>Disturbance of oxidation/antioxidant status and histopathological damage in tsinling lenok trout under acute thermal stress</t>
  </si>
  <si>
    <t>TROPICAL ANIMAL HEALTH AND PRODUCTION</t>
  </si>
  <si>
    <t>Fish farming; Stressor; Non-specific immunity; Histopathology</t>
  </si>
  <si>
    <t>OXIDATIVE STRESS; BRACHYMYSTAX-LENOK; ANTARCTIC FISH; TEMPERATURE; RESPONSES; ANTIOXIDANT; EXPRESSION; PARAMETERS; LYSOZYME; EXPOSURE</t>
  </si>
  <si>
    <t>The tsinling lenok trout (Brachymystax Lenok tsinlingensis) is a typical land-locked cold salmon. In this study, through the acute high temperature stress (16, 24, and 26 &amp; DEG;C), samples were taken at multiple temperature points to analyze the dynamic changes of serum non-specific immune indexes and histopathological changes of tissues of tsinling lenok trout. The histopathological investigation of different studied tissues revealed an increase of histological lesions' frequency and severity with increasing water temperature. The activity of T-SOD, GSH-Px, CAT, ACP, and LZM and MDA concentration are all impacted by high temperature stress. The activities of T-SOD, GSH-Px, and ACP are significantly lower in temperatures higher than 16 &amp; DEG;C (P&lt;0.05). However, with the increase of water temperature, MDA content increased significantly. The activities of CAT and LZM were the highest at 24 &amp; DEG;C, which were significantly higher than those at 26 &amp; DEG;C (P&lt;0.05). The above results indicate that 24 &amp; DEG;C is a critical high temperature point for tsinling lenok trout under heat stress, and this temperature point may be the critical point for tsinling lenok trout to enter damaged from adaptive adjustment. Our results can provide a theoretical basis for the development of genetic breeding, improvement, and control measures of heat stress in tsinling lenok trout in the future.</t>
  </si>
  <si>
    <t>[Ma, Fang; Zhang, Binxia; Wang, Yun] Tianshui Normal Univ, Key Lab Resource Utilizat Agr Solid Waste Gansu Pr, South Xihe Rd, Tianshui 741000, Gansu, Peoples R China; [Ma, Baohua; He, Yude] Zhangjiachuan Country Fishery Technol Promot Stn, Tianshui, Gansu, Peoples R China</t>
  </si>
  <si>
    <t>Tianshui Normal University</t>
  </si>
  <si>
    <t>Ma, F (corresponding author), Tianshui Normal Univ, Key Lab Resource Utilizat Agr Solid Waste Gansu Pr, South Xihe Rd, Tianshui 741000, Gansu, Peoples R China.</t>
  </si>
  <si>
    <t>mafangfighting@163.com</t>
  </si>
  <si>
    <t>National Natural Science Foundation of China [32260258]; Natural Science Foundation of Gansu Province [21JR7RE178]; Double first-class key projects in Gansu Province [GSSYLXM-08]</t>
  </si>
  <si>
    <t>National Natural Science Foundation of China(National Natural Science Foundation of China (NSFC)); Natural Science Foundation of Gansu Province; Double first-class key projects in Gansu Province</t>
  </si>
  <si>
    <t>This work was supported by the National Natural Science Foundation of China (No. 32260258), Natural Science Foundation of Gansu Province (No. 21JR7RE178), and Double first-class key projects in Gansu Province (No. GSSYLXM-08).</t>
  </si>
  <si>
    <t>0049-4747</t>
  </si>
  <si>
    <t>1573-7438</t>
  </si>
  <si>
    <t>TROP ANIM HEALTH PRO</t>
  </si>
  <si>
    <t>Trop. Anim. Health Prod.</t>
  </si>
  <si>
    <t>10.1007/s11250-023-03705-1</t>
  </si>
  <si>
    <t>Agriculture, Dairy &amp; Animal Science; Veterinary Sciences</t>
  </si>
  <si>
    <t>Agriculture; Veterinary Sciences</t>
  </si>
  <si>
    <t>O3JE7</t>
  </si>
  <si>
    <t>WOS:001042806200001</t>
  </si>
  <si>
    <t>Aureli, L; Coleine, C; Delgado-Baquerizo, M; Ahren, D; Cemmi, A; Di Sarcina, I; Onofri, S; Selbmann, L</t>
  </si>
  <si>
    <t>Aureli, Lorenzo; Coleine, Claudia; Delgado-Baquerizo, Manuel; Ahren, Dag; Cemmi, Alessia; Di Sarcina, Ilaria; Onofri, Silvano; Selbmann, Laura</t>
  </si>
  <si>
    <t>Geography and environmental pressure are predictive of class-specific radioresistance in black fungi</t>
  </si>
  <si>
    <t>IONIZING-RADIATION; DEINOCOCCUS-RADIODURANS; OXIDATIVE STRESS; GAMMA-RAYS; RESISTANCE; GENOMICS; LIFE; RADIOPROTECTION; CONTAMINATION; DESICCATION</t>
  </si>
  <si>
    <t>Black fungi are among the most resistant organisms to ionizing radiation on Earth. However, our current knowledge is based on studies on a few isolates, while the overall radioresistance limits across this microbial group and the relationship with local environmental conditions remain largely undetermined. To address this knowledge gap, we assessed the survival of 101 strains of black fungi isolated across a worldwide spatial distribution to gamma radiation doses up to 100 kGy. We found that intra and inter-specific taxonomy, UV radiation, and precipitation levels primarily influence the radioresistance in black fungi. Altogether, this study provides insights into the adaptive mechanisms of black fungi to extreme environments and highlights the role of local adaptation in shaping the survival capabilities of these extreme-tolerant organisms. Representative strains of black fungi tested in this study. Colony aspect of Exophiala xenobiotica CCFEE6194 (Eurotomycetes); colony aspect of Cryomyces antarcticus MNA-CCFEE515 (Dothideomycetes); colony growth of E. xenobiotica CCFEE5811 after gamma irradiation at 0, 0.5, 1, 2, and 3 kGy (from left to right panel); colony growth of Friedmanniomyces endolithicus MNA-CCFEE5001 after gamma irradiation at 0, 5, 15, 30, and 50 kGy (from left to right panel).image</t>
  </si>
  <si>
    <t>[Aureli, Lorenzo; Coleine, Claudia; Onofri, Silvano; Selbmann, Laura] Univ Tuscia, Dept Ecol &amp; Biol Sci, Viterbo, Italy; [Aureli, Lorenzo; Ahren, Dag] Lund Univ, Dept Biol, Lund, Sweden; [Delgado-Baquerizo, Manuel] Univ Pablo Olavide, Unidad Asociada CSIC UPO BioFun, Seville, Spain; [Delgado-Baquerizo, Manuel] CSIC, Inst Recursos Nat &amp; Agrobiol Sevilla IRNAS, Lab Biodivers &amp; Funcionamiento Ecosistem, Seville, Spain; [Ahren, Dag] Lund Univ, Dept Biol, Natl Bioinformat Infrastructure Sweden NBIS, Lund, Sweden; [Cemmi, Alessia; Di Sarcina, Ilaria] Italian Natl Agcy New Technol, Fus &amp; Technol Nucl Safety &amp; Secur Dept, Energy &amp; Sustainable Econ Dev ENEA FSN FISS SNI, Rome, Italy; [Selbmann, Laura] Italian Antarctic Natl Museum MNA, Mycol Sect, Genoa, Italy</t>
  </si>
  <si>
    <t>Tuscia University; Lund University; Universidad Pablo de Olavide; Consejo Superior de Investigaciones Cientificas (CSIC); CSIC - Instituto de Recursos Naturales y Agrobiologia de Sevilla (IRNAS); Lund University; Italian National Agency New Technical Energy &amp; Sustainable Economics Development</t>
  </si>
  <si>
    <t>Coleine, C (corresponding author), Univ Tuscia, Dept Ecol &amp; Biol Sci, Viterbo, Italy.</t>
  </si>
  <si>
    <t>coleine@unitus.it</t>
  </si>
  <si>
    <t>Delgado-Baquerizo, Manuel/L-3653-2017; Selbmann, Laura/L-3056-2013; Coleine, Claudia/AAE-1889-2020</t>
  </si>
  <si>
    <t>Delgado-Baquerizo, Manuel/0000-0002-6499-576X; Selbmann, Laura/0000-0002-8967-3329; Coleine, Claudia/0000-0002-9289-6179</t>
  </si>
  <si>
    <t>BioSigN MicroFossils [2018-6-U.0]; Fondo Europeo de Desarrollo Regional (FEDER); Italian National Antarctic Museum Felice Ippolito (MNA); Italian National Program of Antarctic Research (PNRA); Italian Space Agency (ASI), Life in Space [2019-3-U.0]; Spanish Ministry of Science and Innovation [PID2020-115813RA-I00]; MCIN/AEI; Consejeria de Transformacion Economica, Industria, Conocimiento y Universidades of the Junta de Andalucia [P20_00879]</t>
  </si>
  <si>
    <t>BioSigN MicroFossils; Fondo Europeo de Desarrollo Regional (FEDER)(European Union (EU)Spanish Government); Italian National Antarctic Museum Felice Ippolito (MNA); Italian National Program of Antarctic Research (PNRA); Italian Space Agency (ASI), Life in Space; Spanish Ministry of Science and Innovation(Spanish Government); MCIN/AEI; Consejeria de Transformacion Economica, Industria, Conocimiento y Universidades of the Junta de Andalucia(Junta de Andalucia)</t>
  </si>
  <si>
    <t>BioSigN MicroFossils, Grant/Award Number: ASI N. 2018-6-U.0; Fondo Europeo de Desarrollo Regional (FEDER); Italian National Antarctic Museum Felice Ippolito (MNA); Italian National Program of Antarctic Research (PNRA); Italian Space Agency (ASI), Life in Space, Grant/Award Number: ASI N. 2019-3-U.0; Spanish Ministry of Science and Innovation, Grant/Award Number: PID2020-115813RA-I00; MCIN/AEI; Consejeria de Transformacion Economica, Industria, Conocimiento y Universidades of the Junta de Andalucia, Grant/Award Number: P20_00879 (ANDABIOMA)</t>
  </si>
  <si>
    <t>10.1111/1462-2920.16510</t>
  </si>
  <si>
    <t>SEP 2023</t>
  </si>
  <si>
    <t>CG6X6</t>
  </si>
  <si>
    <t>WOS:001119300300001</t>
  </si>
  <si>
    <t>Flynn, CM; Hart, T; Clucas, G; Lynch, HJ</t>
  </si>
  <si>
    <t>Flynn, Clare M.; Hart, Tom; Clucas, Gemma, V; Lynch, Heather J.</t>
  </si>
  <si>
    <t>Penguins in the anthropause: COVID-19 closures drive gentoo penguin movement among breeding colonies</t>
  </si>
  <si>
    <t>Antarctic Peninsula; Anthropause; Gentoo penguin; IAATO; Metapopulation; Tourism</t>
  </si>
  <si>
    <t>ANTARCTIC TOURIST SITE; PYGOSCELIS-PAPUA; GOUDIER ISLAND; HEART-RATE; RESPONSES</t>
  </si>
  <si>
    <t>The COVID-19 pandemic caused the Port Lockroy post office, a popular Antarctic tourism destination, to close in 2020, creating a natural experiment to test human impacts on the local gentoo penguins. This study examines the abundance of nesting gentoo penguins before, during, and after the COVID-19 anthropause at different spatial scales centered around the post office. We found that the Port Lockroy population increased 83 % (similar to 450 nesting pairs) from 2018 to 2021, with areas of the island open to pedestrians seeing the greatest gains in the number of nests. Jougla Point, a site just 150 m away from Port Lockroy and located within the same harbor, increased 90 % (similar to 900 nesting pairs) during the closure, while two nearby sites outside the harbor decreased by 60 % and 59 % (similar to 1000 nesting pairs total). We conclude that gentoo penguins immigrated from neighboring sites into the Port Lockroy harbor. This apparent redistribution of nesting gentoo penguins immediately reversed itself when the post office re-opened in 2022. These findings, which are particularly striking given the assumed strong site fidelity of gentoo penguins, suggest that human activity can alter gentoo penguins' choice in nesting location, and that the spatial extent of disturbance is perhaps larger than previously appreciated. We suggest testing the impacts of ship and zodiac traffic on breeding behavior, the cumulative effects of tourism on sets of geographically proximate colonies, and the timing of tourism in relation to nest initiation to inform policies focusing on minimizing disturbances to gentoo penguins as Antarctic tourism resumes.</t>
  </si>
  <si>
    <t>[Flynn, Clare M.; Lynch, Heather J.] SUNY Stony Brook, Dept Ecol &amp; Evolut, Stony Brook, NY 11794 USA; [Hart, Tom] Oxford Brookes Univ, Dept Biol &amp; Med Sci, Oxford OX3 0BP, England; [Clucas, Gemma, V] Cornell Univ, Cornell Lab Ornithol, Ithaca, NY 14850 USA; [Lynch, Heather J.] SUNY Stony Brook, Inst Adv Computat Sci, Stony Brook, NY 11794 USA; [Flynn, Clare M.] 650 Life Sci Bldg, Stony Brook, NY 11794 USA</t>
  </si>
  <si>
    <t>State University of New York (SUNY) System; State University of New York (SUNY) Stony Brook; Oxford Brookes University; Cornell University; State University of New York (SUNY) System; State University of New York (SUNY) Stony Brook</t>
  </si>
  <si>
    <t>Flynn, CM (corresponding author), 650 Life Sci Bldg, Stony Brook, NY 11794 USA.</t>
  </si>
  <si>
    <t>clare.flynn@stonybrook.edu; t.hart@brookes.ac.uk; heather.lynch@stonybrook.edu</t>
  </si>
  <si>
    <t>NASA biodiversity program [80NSSC21K1027]</t>
  </si>
  <si>
    <t>NASA biodiversity program(National Aeronautics &amp; Space Administration (NASA))</t>
  </si>
  <si>
    <t>We thank everyone who contributed to the collection of the data used in this paper, especially Jane Younger who organized and led the 2021 expedition to Port Lockroy and Jougla Point. C.M.F. also gratefully acknowledges her committee members Resit Akcakaya and Lesley Thorne for providing guidance and feedback on this project, and her labmates Katherine Gallagher, Emma Talis, Rachael Herman, Michael Wethington, Caitlin Blackwell, Carole Hall, and Madeline Hallet for their feedback on the writing in this manuscript. C.M.F. acknowledges funding from the NASA biodiversity program (Award 80NSSC21K1027), and T.H. from Quark Expeditions, Cheeseman's Ecology Safaris, and Save Our Seas Foundation, who also provided logistical support for the 2020 expedition.</t>
  </si>
  <si>
    <t>10.1016/j.biocon.2023.110318</t>
  </si>
  <si>
    <t>W6NL7</t>
  </si>
  <si>
    <t>WOS:001092773600001</t>
  </si>
  <si>
    <t>Shiomoto, A; Sasaki, H; Nomura, D</t>
  </si>
  <si>
    <t>Shiomoto, Akihiro; Sasaki, Hiroko; Nomura, Daiki</t>
  </si>
  <si>
    <t>Size-fractionated phytoplankton biomass and primary production in the eastern Indian sector of the Southern Ocean in the austral summer 2018/2019</t>
  </si>
  <si>
    <t>Primary production; Chlorophyll a; Size-fractionation; The eastern Indian sector of the Southern; Ocean</t>
  </si>
  <si>
    <t>ANTARCTIC PENINSULA; NITROGEN UPTAKE; COMMUNITY STRUCTURE; ROSS SEA; ICE-ZONE; FOOD-WEB; MARINE-PHYTOPLANKTON; BIOLOGICAL-CONTROL; ATLANTIC SECTOR; BIOGENIC CARBON</t>
  </si>
  <si>
    <t>The Southern Ocean significantly contributes to primary production in the global ocean. In this study, size-fractionated primary production and chlorophyll a (Chl a), which are not well elucidated, were determined in the eastern Indian sector in the austral summer of 2018-2019. The Southern Antarctic Circumpolar Current Front, Southern Boundary of the Antarctic Circumpolar Current (SB), and Antarctic Slope Front (ASF) were set as study areas, and sampling stations were divided into the three areas: to the north of the SB, the area between the SB and ASF, and to the south of the ASF. Primary production was 85.1-385.7 mg C m(-2) day(-1) north of the SB, 131.4-192.5 mg C m(-2) day(-1) between the SB and ASF, and 95.6-472.7 mg C m(-2) day(-1) south of the ASF. The Chl a biomass integrated within the euphotic zone in each area was 19.8-46.1 mg m(-2), 10.3-19.9 mg m(-2), and 17.0-77.9 mg m(-2), respectively. Although no significant difference was observed in the primary production and Chl a biomass among the three areas, the biomass tended to be lower between the SB and ASF than in the other two areas. The large phytoplankton (&gt;10 mu m) significantly contributed to the primary production and the Chl a biomass at every station north of the SB, accounting for approximately 65-90%. In the other two areas, there were some stations where large phytoplankton accounted for 60-85%, and others where large phytoplankton did not dominate. The flow to the secondary production was one order of magnitude higher to the north of the SB than to the south of the SB. The time since sea-ice melt possibly plays an important role in determining the dominant phytoplankton size and hence size structure of phytoplankton in the survey area. The features in phytoplankton size structure observed north and south of the SB may not be unique to the areas. High phytoplankton biomass and primary production were also observed in the west of 130 degrees E, which was similar to the results of the previous study. A time lag between the west and east surveys, about one month, may have caused the high-west and low-east patterns.</t>
  </si>
  <si>
    <t>[Shiomoto, Akihiro] Tokyo Univ Agr, Fac Bioind, 196 Yasaka, Abashiri, Hokkaido 0992493, Japan; [Sasaki, Hiroko] Japan Fisheries Res &amp; Educ Agcy, Fisheries Resources Inst, 2-12-4 Fukuura, Yokohama, Kanagawa 2368648, Japan; [Nomura, Daiki] Hokkaido Univ, Field Sci Ctr Northern Biosphere, 3-1-1 Minato Cho, Hakodate, Hokkaido 0418611, Japan; [Nomura, Daiki] Hokkaido Univ, Fac Fisheries Sci, 3-1-1 Minato Cho, Hakodate, Hokkaido 0418611, Japan; [Nomura, Daiki] Hokkaido Univ, Arctic Res Ctr, N21 W11,Kita Ku, Sapporo, Hokkaido 0010021, Japan</t>
  </si>
  <si>
    <t>Tokyo University of Agriculture; Japan Fisheries Research &amp; Education Agency (FRA); Hokkaido University; Hokkaido University; Hokkaido University</t>
  </si>
  <si>
    <t>Shiomoto, A (corresponding author), Tokyo Univ Agr, Fac Bioind, 196 Yasaka, Abashiri, Hokkaido 0992493, Japan.</t>
  </si>
  <si>
    <t>a3shiomo@nodai.ac.jp</t>
  </si>
  <si>
    <t>Institute of Cetacean Research; Japan Fisheries Research and Education Agency; Fisheries Agency of Japan</t>
  </si>
  <si>
    <t>We thank the officers, crew, and researchers onboard the R/V Kaiyo- maru for their assistance with the survey. The Kaiyo-maru survey was supported by the Institute of Cetacean Research, the Japan Fisheries Research and Education Agency, and the Fisheries Agency of Japan. We also thank Mr. Takuma Ishihara, a student, at the Tokyo University of Agriculture, for his contribution to the measurement of primary production. We would like to thank two anonymous reviewers for their very valuable comments during the process of completing this manuscript.</t>
  </si>
  <si>
    <t>10.1016/j.pocean.2023.103119</t>
  </si>
  <si>
    <t>W6GH4</t>
  </si>
  <si>
    <t>WOS:001092585600001</t>
  </si>
  <si>
    <t>Gattoni, G; Di Costanzo, F; de la Haba, RR; Fernandez, AB; Guerrero-Flores, S; Selem-Mojica, N; Ventosa, A; Corral, P</t>
  </si>
  <si>
    <t>Gattoni, Giuliano; Di Costanzo, Fabiana; de la Haba, Rafael R.; Fernandez, Ana B.; Guerrero-Flores, Shaday; Selem-Mojica, Nelly; Ventosa, Antonio; Corral, Paulina</t>
  </si>
  <si>
    <t>Biosynthetic gene profiling and genomic potential of the novel photosynthetic marine bacterium Roseibaca domitiana</t>
  </si>
  <si>
    <t>biosynthetic profiling; photosynthetic bacteria; bacteriochlorophyll; genome mining; Roseibaca; biosynthetic gene cluster (BGC)</t>
  </si>
  <si>
    <t>DNA-DNA HYBRIDIZATION; SALINISPORA; DISCOVERY; SELECTION; TAXONOMY; DATABASE; ECOLOGY; QUALITY; TOOL</t>
  </si>
  <si>
    <t>Shifting the bioprospecting targets toward underexplored bacterial groups combined with genome mining studies contributes to avoiding the rediscovery of known compounds by revealing novel, promising biosynthetic gene clusters (BGCs). With the aim of determining the biosynthetic potential of a novel marine bacterium, strain V10(T), isolated from the Domitian littoral in Italy, a comparative phylogenomic mining study was performed across related photosynthetic bacterial groups from an evolutionary perspective. Studies on polyphasic and taxogenomics showed that this bacterium constitutes a new species, designated Roseibaca domitiana sp. nov. To date, this genus has only one other validly described species, which was isolated from a hypersaline Antarctic lake. The genomic evolutionary study linked to BGC diversity revealed that there is a close relationship between the phylogenetic distance of the members of the photosynthetic genera Roseibaca, Roseinatronobacter, and Rhodobaca and their BGC profiles, whose conservation pattern allows discriminating between these genera. On the contrary, the rest of the species related to Roseibaca domitiana exhibited an individual species pattern unrelated to genome size or source of isolation. This study showed that photosynthetic strains possess a streamlined content of BGCs, of which 94.34% of the clusters with biotechnological interest (NRPS, PKS, RRE, and RiPP) are completely new. Among these stand out T1PKS, exclusive of R. domitiana V10T, and RRE, highly conserved only in R. domitiana V10T and R. ekhonensis, both categories of BGCs involved in the synthesis of plant growth-promoting compounds and antitumoral compounds, respectively. In all cases, with very low homology with already patented molecules. Our findings reveal the high biosynthetic potential of infrequently cultured bacterial groups, suggesting the need to redirect attention to microbial minorities as a novel and vast source of bioactive compounds still to be exploited.</t>
  </si>
  <si>
    <t>[Gattoni, Giuliano; Di Costanzo, Fabiana; Corral, Paulina] Univ Naples Federico II, Dept Biol, Naples, Italy; [de la Haba, Rafael R.; Ventosa, Antonio; Corral, Paulina] Univ Seville, Fac Pharm, Dept Microbiol &amp; Parasitol, Seville, Spain; [Fernandez, Ana B.] Univ Publ Navarra, Inst Multidisciplinary Res Appl Biol, Pamplona, Spain; [Fernandez, Ana B.] Bioinsectis SL, Res &amp; Dev Dept, Navarra, Spain; [Guerrero-Flores, Shaday; Selem-Mojica, Nelly] Univ Nacl Autonoma Mexico, Ctr Ciencias Matemat, Morelia, Mexico</t>
  </si>
  <si>
    <t>University of Naples Federico II; University of Sevilla; Universidad Publica de Navarra; Universidad Nacional Autonoma de Mexico</t>
  </si>
  <si>
    <t>Corral, P (corresponding author), Univ Naples Federico II, Dept Biol, Naples, Italy.;Corral, P (corresponding author), Univ Seville, Fac Pharm, Dept Microbiol &amp; Parasitol, Seville, Spain.</t>
  </si>
  <si>
    <t>paulina.corral@unina.it</t>
  </si>
  <si>
    <t>de la Haba, Rafael R./K-1788-2014; Corral, Paulina/R-3809-2018</t>
  </si>
  <si>
    <t>de la Haba, Rafael R./0000-0002-4615-780X; Corral, Paulina/0000-0002-7798-4816; Ventosa, Antonio/0000-0002-7573-0556</t>
  </si>
  <si>
    <t>This study was conducted under the frame of the project BluePharma grant 2018-PDR-00533 funded by Fondazione CON IL SUD (Italy) to PC and supported by the following grants: PAPIIT IA103822 funded by UNAM to NS-M, PID2020-118136GB-I00 funded by the Spanish [2018-PDR-00533]; Fondazione CON IL SUD (Italy) [PAPIIT IA103822]; UNAM [PID2020-118136GB-I00]; Spanish Ministry of Science and Innovation [MCIN/AEI/10.13039/501100011033]; Junta de Andaluca [P20_01066, BIO-213]; FEDER funds</t>
  </si>
  <si>
    <t>This study was conducted under the frame of the project BluePharma grant 2018-PDR-00533 funded by Fondazione CON IL SUD (Italy) to PC and supported by the following grants: PAPIIT IA103822 funded by UNAM to NS-M, PID2020-118136GB-I00 funded by the Spanish; Fondazione CON IL SUD (Italy); UNAM(Universidad Nacional Autonoma de Mexico); Spanish Ministry of Science and Innovation(Spanish Government); Junta de Andaluca(Junta de Andalucia); FEDER funds(European Union (EU))</t>
  </si>
  <si>
    <t>This study was conducted under the frame of the project BluePharma grant 2018-PDR-00533 funded by Fondazione CON IL SUD (Italy) to PC and supported by the following grants: PAPIIT IA103822 funded by UNAM to NS-M, PID2020-118136GB-I00 funded by the Spanish Ministry of Science and Innovation MCIN/AEI/10.13039/501100011033, and from the Junta de Andalucia (P20_01066 and BIO-213), both with FEDER funds to AV.r This study was conducted under the frame of the project BluePharma grant 2018-PDR-00533 funded by Fondazione CON IL SUD (Italy) to PC and supported by the following grants: PAPIIT IA103822 funded by UNAM to NS-M, PID2020-118136GB-I00 funded by the Spanish Ministry of Science and Innovation MCIN/AEI/10.13039/501100011033, and from the Junta de Andalucia (P20_01066 and BIO-213), both with FEDER funds to AV.</t>
  </si>
  <si>
    <t>SEP 29</t>
  </si>
  <si>
    <t>10.3389/fmicb.2023.1238779</t>
  </si>
  <si>
    <t>W1ZD2</t>
  </si>
  <si>
    <t>WOS:001089675100001</t>
  </si>
  <si>
    <t>Velásquez, R; Bastías-Silva, J; Salazar, E; Poblete, F; Guillot, MG; Chew, D; Peña, M; Tapia, F; Ramirez, A; Drakou, F</t>
  </si>
  <si>
    <t>Velasquez, Ricardo; Bastias-Silva, Joaquin; Salazar, Esteban; Poblete, Fernando; Guillot, Mauricio Gonzalez; Chew, David; Pena, Matias; Tapia, Felipe; Ramirez, Adan; Drakou, Foteini</t>
  </si>
  <si>
    <t>Magmatic arc evolution during the tectonic closure of the Rocas Verdes basin: insights from Cretaceous-earliest Paleocene intrusive rocks of Navarino Island (55°S), Fuegian Andes</t>
  </si>
  <si>
    <t>JOURNAL OF THE GEOLOGICAL SOCIETY</t>
  </si>
  <si>
    <t>TIERRA-DEL-FUEGO; U-PB; PATAGONIAN BATHOLITH; ANTARCTIC PENINSULA; SOUTHERNMOST CHILE; CRUSTAL THICKNESS; YAHGAN FORMATION; GEOCHEMICAL DATA; MARGINAL BASIN; TRACE-ELEMENT</t>
  </si>
  <si>
    <t>Navarino Island is located in the southernmost part of the Fuegian Andes, south of the Beagle Channel. Its geological record documents the complex tectonic history of Tierra del Fuego, which includes the opening and closure of the Rocas Verdes basin, Cordillera arc collision and subsequent subduction processes. The geology of the island is mostly composed of the Cretaceous Yahgan Formation, a marine metasedimentary sequence, which is intruded by diverse plutons that are mostly exposed on the northwestern tip of the island. We herein present a new dataset that shows the presence of three Cretaceous-earliest Paleocene magmatic suites of active margin magmatism emplaced during the early stage of the Fuegian Andes, which are referred to as (1) the Dientes de Navarino Microdioritic Sills, a suite of pre-tectonic microdioritic sills that formed at c. 101-97 Ma; (2) the Castores Plutonic Complex, a series of pre- to syntectonic gabbroic to tonalitic plutons emplaced at c. 90-87 Ma, and (3) the Samantha Monzonites, a suite of isolated monzonitic to monzodioritic post-tectonic plutons that formed at c. 66-65 Ma. These distinct magmatic episodes are recognized by field observations, geological mapping, petrography and whole-rock geochemistry integrated with amphibole and biotite Ar-40/Ar-39 and U-Pb LA-ICP-MS. The geochemical compositions of these rocks are consistent with a continental arc setting that existed during the interval c. 101-65 Ma. Whereas the three pulses spatially overlap in Navarino Island, the arc magmatism shows a migration (or expansion) throughout the Late Cretaceous. The locus of the arc then migrates at c. 68-66 Ma towards the SW. We suggest that this trenchward migration at c. 68-66 Ma may be associated with a change in the subduction angle. The three Cretaceous-earliest Paleocene plutonic pulses recorded in Navarino Island formed during the early stages of development of the Fuegian Andes, and are pre-, syn- and post-tectonic with respect to a major compressional event caused by the collision and obduction of the back-arc Rocas Verdes oceanic floor.</t>
  </si>
  <si>
    <t>[Velasquez, Ricardo; Salazar, Esteban] Serv Nacl Geol &amp; Min, Ave Santa Maria 0104, Providencia, Santiago, Chile; [Bastias-Silva, Joaquin; Chew, David; Drakou, Foteini] Trinity Coll Dublin, Sch Nat Sci, Dept Geol, Coll Green 2, Ireland; [Bastias-Silva, Joaquin] Univ Andres Bello, Fac Ingn, Carrera Geol, Santiago, Chile; [Poblete, Fernando] Univ Chile, Dept Geol, Plaza Ercilla 803, Santiago 8370450, Chile; [Poblete, Fernando] Univ OHiggins, Inst Ciencias Ingn, Rancagua, Chile; [Guillot, Mauricio Gonzalez] Ctr Austral Invest Cient CAD CONICET, Houssay 200, Ushuaia, Argentina; [Guillot, Mauricio Gonzalez] UNTDF, Inst Ciencias Polares Ambiente &amp; Recursos Nat, Fuegia Basket 251, Ushuaia, Argentina; [Pena, Matias] Univ Mayor, Escuela Geol, Manuel Montt 367, Providencia, Santiago, Chile; [Tapia, Felipe] Univ Buenos Aires, Fac Ciencias Exactas &amp; Nat, Consejo Nacl Invest Cient &amp; Tecn, Inst Estudios Andinos'Don Pablo Groeber IDEAN,Dept, Buenos Aires, Argentina; [Ramirez, Adan] Serv Nacl Geol &amp; Min, Nunoa 1993, Santiago, Chile</t>
  </si>
  <si>
    <t>Trinity College Dublin; Universidad Andres Bello; Universidad de Chile; Universidad de O'Higgins; Universidad Mayor; Consejo Nacional de Investigaciones Cientificas y Tecnicas (CONICET); University of Buenos Aires</t>
  </si>
  <si>
    <t>Velásquez, R (corresponding author), Serv Nacl Geol &amp; Min, Ave Santa Maria 0104, Providencia, Santiago, Chile.</t>
  </si>
  <si>
    <t>ricardo.velasquez@sernageomin.cl; j.bastias.silva@gmail.com; esteban.salazar@sernageomin.cl; ferpoble@uchile.cl; gguillot@gmail.com; chewd@tcd.ie; geodeckard@gmail.com; ftapiasilva@gmail.com; adan.ramirez@sernageomin.cl; drakouf@tcd.ie</t>
  </si>
  <si>
    <t>tapia, felipe/KFS-6611-2024; Tapia, Felipe/F-5036-2018; Bastias, Joaquin/A-6995-2016</t>
  </si>
  <si>
    <t>Bastias, Joaquin/0000-0001-6678-3173; Drakou, Foteini/0000-0001-6618-4541</t>
  </si>
  <si>
    <t>Plan Nacional de Geologia,SERNAGEOMIN (Chilean Geological and Mining Survey); Universidad de O'Higgins; Universidad de Chile; Swiss National Science Foundation [P500PN_202847]; Science Foundation Ireland (SFI) [13/RC/2092, 13/RC/2092_P2]; Swiss National Science Foundation (SNF) [P500PN_202847] Funding Source: Swiss National Science Foundation (SNF)</t>
  </si>
  <si>
    <t>Plan Nacional de Geologia,SERNAGEOMIN (Chilean Geological and Mining Survey); Universidad de O'Higgins; Universidad de Chile; Swiss National Science Foundation(Swiss National Science Foundation (SNSF)); Science Foundation Ireland (SFI)(Science Foundation Ireland); Swiss National Science Foundation (SNF)(Swiss National Science Foundation (SNSF))</t>
  </si>
  <si>
    <t>This work was funded by the Plan Nacional de Geologia,SERNAGEOMIN (Chilean Geological and Mining Survey) and grants from Universidad de O'Higgins and Universidad de Chile. J.B. was funded by the Swiss National Science Foundation (project P500PN_202847). D.C. acknowledges support from Science Foundation Ireland (SFI) under Grant Numbers 13/RC/2092 and 13/RC/2092_P2 (SFI Research Centre in Applied Geosciences, iCRAG).</t>
  </si>
  <si>
    <t>GEOLOGICAL SOC PUBL HOUSE</t>
  </si>
  <si>
    <t>BATH</t>
  </si>
  <si>
    <t>UNIT 7, BRASSMILL ENTERPRISE CENTRE, BRASSMILL LANE, BATH BA1 3JN, AVON, ENGLAND</t>
  </si>
  <si>
    <t>0016-7649</t>
  </si>
  <si>
    <t>2041-479X</t>
  </si>
  <si>
    <t>J GEOL SOC LONDON</t>
  </si>
  <si>
    <t>J. Geol. Soc.</t>
  </si>
  <si>
    <t>jgs2022163</t>
  </si>
  <si>
    <t>10.1144/jgs2022-163</t>
  </si>
  <si>
    <t>T7LR6</t>
  </si>
  <si>
    <t>WOS:001079766600012</t>
  </si>
  <si>
    <t>Shi, ZX; Shi, S; Gong, W; Xu, L; Wang, BH; Sun, J; Chen, BW; Xu, Q</t>
  </si>
  <si>
    <t>Shi, Zixi; Shi, Shuo; Gong, Wei; Xu, Lu; Wang, Binhui; Sun, Jia; Chen, Bowen; Xu, Qian</t>
  </si>
  <si>
    <t>LAI estimation based on physical model combining airborne LiDAR waveform and Sentinel-2 imagery</t>
  </si>
  <si>
    <t>FRONTIERS IN PLANT SCIENCE</t>
  </si>
  <si>
    <t>Leaf Area Index (LAI); remote sensing; full-waveform LiDAR; physical model; forest canopy; GORT model; data fusion</t>
  </si>
  <si>
    <t>LEAF-AREA INDEX; CANOPY COVER; VEGETATION INDEXES; FOLIAGE PROFILE; FOREST LAI; CROP LAI; RETRIEVAL; INVERSION; REFLECTANCE; HEIGHT</t>
  </si>
  <si>
    <t>Leaf area index (LAI) is an important biophysical parameter of vegetation and serves as a significant indicator for assessing forest ecosystems. Multi-source remote sensing data enables large-scale and dynamic surface observations, providing effective data for quantifying various indices in forest and evaluating ecosystem changes. However, employing single-source remote sensing spectral or LiDAR waveform data poses limitations for LAI inversion, making the integration of multi-source remote sensing data a trend. Currently, the fusion of active and passive remote sensing data for LAI inversion primarily relies on empirical models, which are mainly constructed based on field measurements and do not provide a good explanation of the fusion mechanism. In this study, we aimed to estimate LAI based on physical model using both spectral imagery and LiDAR waveform, exploring whether data fusion improved the accuracy of LAI inversion. Specifically, based on the physical model geometric-optical and radiative transfer (GORT), a fusion strategy was designed for LAI inversion. To ensure inversion accuracy, we enhanced the data processing by introducing a constraint-based EM waveform decomposition method. Considering the spatial heterogeneity of canopy/ground reflectivity ratio in regional forests, calculation strategy was proposed to improve this parameter in inversion model. The results showed that the constraint-based EM waveform decomposition method improved the decomposition accuracy with an average 12% reduction in RMSE, yielding more accurate waveform energy parameters. The proposed calculation strategy for the canopy/ground reflectivity ratio, considering dynamic variation of parameter, effectively enhanced previous research that relied on a fixed value, thereby improving the inversion accuracy that increasing on the correlation by 5% to 10% and on R-2 by 62.5% to 132.1%. Based on the inversion strategy we proposed, data fusion could effectively be used for LAI inversion. The inversion accuracy achieved using both spectral and LiDAR data (correlation=0.81, R-2 = 0.65, RMSE=1.01) surpassed that of using spectral data or LiDAR alone. This study provides a new inversion strategy for large-scale and high-precision LAI inversion, supporting the field of LAI research.</t>
  </si>
  <si>
    <t>[Shi, Zixi; Shi, Shuo; Gong, Wei; Xu, Lu; Chen, Bowen; Xu, Qian] Wuhan Univ, State Key Lab Informat Engn Surveying Mapping &amp; Re, Wuhan, Hubei, Peoples R China; [Shi, Shuo] State Key Lab Geoinformat Engn, Xian, Shaanxi, Peoples R China; [Shi, Shuo; Gong, Wei] Minist Educ, Percept &amp; Effectiveness Assessment Carbon Neutral, Engn Res Ctr, Wuhan, Hubei, Peoples R China; [Gong, Wei] Wuhan Inst Quantum Technol, Wuhan, Hubei, Peoples R China; [Wang, Binhui] Hubei Univ Technol, Sch Elect &amp; Elect Engn, Wuhan, Hubei, Peoples R China; [Sun, Jia] China Univ Geosci, Sch Geog &amp; Informat Engn, Wuhan, Hubei, Peoples R China; [Chen, Bowen] Wuhan Univ, Chinese Antarctic Ctr Surveying &amp; Mapping, Wuhan, Hubei, Peoples R China</t>
  </si>
  <si>
    <t>Wuhan University; Hubei University of Technology; China University of Geosciences; Wuhan University</t>
  </si>
  <si>
    <t>Shi, S (corresponding author), Wuhan Univ, State Key Lab Informat Engn Surveying Mapping &amp; Re, Wuhan, Hubei, Peoples R China.;Shi, S (corresponding author), State Key Lab Geoinformat Engn, Xian, Shaanxi, Peoples R China.;Shi, S (corresponding author), Minist Educ, Percept &amp; Effectiveness Assessment Carbon Neutral, Engn Res Ctr, Wuhan, Hubei, Peoples R China.</t>
  </si>
  <si>
    <t>shishuo@whu.edu.cn</t>
  </si>
  <si>
    <t>Chen, Bowen/KFB-3986-2024; zhou, yuwei/KHD-4127-2024; liu, zhao/KGM-5884-2024</t>
  </si>
  <si>
    <t>This work is supported by the National Natural Science Foundation of China (Grant No.41971307), Fundamental Research Funds for the Central Universities (Grant No.2042022kf1200, 2042023kf0217), State Key Laboratory of Geo-Information Engineering (Grant No.S [41971307]; National Natural Science Foundation of China [2042022kf1200, 2042023kf0217]; Fundamental Research Funds for the Central Universities; State Key Laboratory of Geo-Information Engineering; Wuhan University Specific Fund for Major School-level Internationalization Initiatives; LIESMARS Special Research Funding</t>
  </si>
  <si>
    <t>This work is supported by the National Natural Science Foundation of China (Grant No.41971307), Fundamental Research Funds for the Central Universities (Grant No.2042022kf1200, 2042023kf0217), State Key Laboratory of Geo-Information Engineering (Grant No.S; National Natural Science Foundation of China(National Natural Science Foundation of China (NSFC)); Fundamental Research Funds for the Central Universities(Fundamental Research Funds for the Central Universities); State Key Laboratory of Geo-Information Engineering; Wuhan University Specific Fund for Major School-level Internationalization Initiatives; LIESMARS Special Research Funding</t>
  </si>
  <si>
    <t>We gratefully acknowledge the Harvard Forest, National Snow &amp; Ice Data Center (NSIDC) and Copernicus SENTINEL-2 mission for providing public data and the open access to the python, SNAP. The authors would also like to thank reviewers for many constructive comments on the manuscript.r This work is supported by the National Natural Science Foundation of China (Grant No.41971307), Fundamental Research Funds for the Central Universities (Grant No.2042022kf1200, 2042023kf0217), State Key Laboratory of Geo-Information Engineering (Grant No.SKLGIE2023-Z-3-1), Wuhan University Specific Fund for Major School-level Internationalization Initiatives, and LIESMARS Special Research Funding.</t>
  </si>
  <si>
    <t>1664-462X</t>
  </si>
  <si>
    <t>FRONT PLANT SCI</t>
  </si>
  <si>
    <t>Front. Plant Sci.</t>
  </si>
  <si>
    <t>10.3389/fpls.2023.1237988</t>
  </si>
  <si>
    <t>U6GF0</t>
  </si>
  <si>
    <t>WOS:001085758900001</t>
  </si>
  <si>
    <t>Labrousse, S; Nerini, D; Fraser, AD; Salas, L; Sumner, M; Le Manach, F; Jenouvrier, S; Iles, D; Larue, M</t>
  </si>
  <si>
    <t>Labrousse, Sara; Nerini, David; Fraser, Alexander D.; Salas, Leonardo; Sumner, Michael; Le Manach, Frederic; Jenouvrier, Stephanie; Iles, David; Larue, Michelle</t>
  </si>
  <si>
    <t>Where to live? Landfast sea ice shapes emperor penguin habitat around Antarctica</t>
  </si>
  <si>
    <t>CLIMATE-CHANGE; SOUTHERN-OCEAN; APTENODYTES FORSTERI; FORAGING ECOLOGY; BREEDING SUCCESS; VARIABILITY; TRANSFERABILITY; RESPONSES; DYNAMICS; SEABIRDS</t>
  </si>
  <si>
    <t>Predicting species survival in the face of climate change requires understanding the drivers that influence their distribution. Emperor penguins (Aptenodytes forsteri) incubate and rear chicks on landfast sea ice, whose extent, dynamics, and quality are expected to vary substantially due to climate change. Until recently, this species' continent-wide observations were scarce, and knowledge on their distribution and habitat limited. Advances in satellite imagery now allow their observation and characterization of habitats across Antarctica at high resolution. Using circumpolar high-resolution satellite images, unique fast ice metrics, and geographic and biological factors, we identified diverse penguin habitats across the continent, with no significant difference between areas with penguins or not. There is a clear geographic partitioning of colonies with respect to their defining habitat characteristics, indicating possible behavioral plasticity among different metapopulations. This coincides with geographic structures found in previous genetic studies. Given projections of quasi-extinction for this species in 2100, this study provides essential information for conservation measures.</t>
  </si>
  <si>
    <t>[Labrousse, Sara] Sorbonne Univ, UMR 7159, CNRS,MNHN,IRD,IPSL, Lab Oceanog &amp; Climat Exp &amp; Approches Numer LOCEAN, F-75005 Paris, France; [Nerini, David] Aix Marseille Univ, Mediterranean Inst Oceanog, MIO, Marseille, France; [Fraser, Alexander D.] Univ Tasmania, Australian Antarctic Program Partnership, Inst Marine &amp; Antarctic Studies, Hobart, Tas, Australia; [Salas, Leonardo] Point Blue Conservat Sci, Petaluma, CA USA; [Sumner, Michael] Australian Antarctic Div, Integrated Digital East Antarct, Channel Highway, Kingston, Tas 7050, Australia; [Le Manach, Frederic] BLOOM, 16 Rue Martel, F-75010 Paris, France; [Jenouvrier, Stephanie] Woods Hole Oceanog Inst, Dept Biol, Woods Hole, MA USA; [Iles, David] Environm &amp; Climate Change Canada, Canadian Wildlife Serv, Ottawa, ON, Canada; [Larue, Michelle] Univ Minnesota, Dept Earth &amp; Environm Sci, Minneapolis, MN USA; [Larue, Michelle] Univ Canterbury, Sch Earth &amp; Environm, Christchurch, New Zealand</t>
  </si>
  <si>
    <t>Institut de Recherche pour le Developpement (IRD); Sorbonne Universite; Museum National d'Histoire Naturelle (MNHN); Centre National de la Recherche Scientifique (CNRS); CNRS - National Institute for Earth Sciences &amp; Astronomy (INSU); Aix-Marseille Universite; University of Tasmania; Australian Antarctic Division; Woods Hole Oceanographic Institution; Environment &amp; Climate Change Canada; Canadian Wildlife Service; University of Minnesota System; University of Minnesota Twin Cities; University of Canterbury</t>
  </si>
  <si>
    <t>Labrousse, S (corresponding author), Sorbonne Univ, UMR 7159, CNRS,MNHN,IRD,IPSL, Lab Oceanog &amp; Climat Exp &amp; Approches Numer LOCEAN, F-75005 Paris, France.</t>
  </si>
  <si>
    <t>sara.labrousse@locean.ipsl.fr</t>
  </si>
  <si>
    <t>Le Manach, Frederic/K-1901-2013</t>
  </si>
  <si>
    <t>Le Manach, Frederic/0000-0002-7217-0530; Labrousse, Sara/0000-0002-8099-3254</t>
  </si>
  <si>
    <t>NSF [1744989, 1744794]; NASA [80NSSC20K1289]; Australian Government as part of the Antarctic Science Collaboration Initiative program</t>
  </si>
  <si>
    <t>NSF(National Science Foundation (NSF)); NASA(National Aeronautics &amp; Space Administration (NASA)); Australian Government as part of the Antarctic Science Collaboration Initiative program(Australian Government)</t>
  </si>
  <si>
    <t>This study was supported by the NSF (grant nos. 1744989 for M.L. and 1744794 for S.J.), the NASA (grant no. 80NSSC20K1289 for S.J.), and the Australian Government as part of the Antarctic Science Collaboration Initiative program for A.D.F. Author contributions:</t>
  </si>
  <si>
    <t>eadg8340</t>
  </si>
  <si>
    <t>10.1126/sciadv.adg8340</t>
  </si>
  <si>
    <t>T1YQ6</t>
  </si>
  <si>
    <t>WOS:001076013000015</t>
  </si>
  <si>
    <t>Zahnow, F; Stracke, T; di Rocco, T; Hasse, T; Pack, A</t>
  </si>
  <si>
    <t>Zahnow, Fabian; Stracke, Tido; di Rocco, Tommaso; Hasse, Thilo; Pack, Andreas</t>
  </si>
  <si>
    <t>High precision triple oxygen isotope composition of small size urban micrometeorites indicating constant influx composition in the early geologic past</t>
  </si>
  <si>
    <t>COSMIC SPHERULES; TRANSANTARCTIC MOUNTAINS; TRACE-ELEMENT; IRON; FRACTIONATION; COLLECTION; ROCKS</t>
  </si>
  <si>
    <t>In this study, we present a method for high precision Delta ' O-17 (Delta ' O-17(RL) = ln(delta O-17 + 1) - lambda(RL) ln(delta O-18 + 1)) analysis of small mass silicate and oxide materials. The analyses were conducted by laser fluorination in combination with gas chromatography and continuous flow isotope ratio monitoring gas spectrometry. We could analyze the oxygen isotope composition of samples down to 1 mu g, which corresponded to about 13 nmol O-2. The analytical error (we report the 1 sigma external reproducibility of a single analysis) in delta O-18 increases with decreasing sample sizes from similar to 0.2 parts per thousand for similar to 20 mu g samples to similar to 0.9 parts per thousand for 1 mu g samples. For Delta ' O-17, we achieved an external reproducibility of 0.04 parts per thousand for a sample mass range between 1 and 27 mu g. The uncertainty in Delta ' O-17 is smaller than the uncertainty in delta O-18 due to the correlated errors in delta O-17 and delta O-18. We applied the method to urban micrometeorites, that is, small meteorites (&lt;2 mm) that were sampled from a rooftop in Berlin, Germany. A total of 10 melted micrometeorites (S-type cosmic spherules, masses between 11 and 22 mu g) were analyzed. The oxygen isotope compositions are comparable to that of modern Antarctic collections, indicating that the urban micrometeorites sample the same population. No indication for terrestrial weathering had been identified in the studied set of urban micrometeorites making them suitable materials for the study of micrometeorite origins.</t>
  </si>
  <si>
    <t>[Zahnow, Fabian; Stracke, Tido; di Rocco, Tommaso; Pack, Andreas] Univ Gottingen, Geowissensch Liches Zentrum, Goldschmidtstr 1, D-37077 Gottingen, Germany; [Hasse, Thilo] Leibniz Inst Evolut &amp; Biodiversitatsforsch, Museum Nat Kunde, Berlin, Germany</t>
  </si>
  <si>
    <t>University of Gottingen; Leibniz Institut fur Evolutions und Biodiversitatsforschung</t>
  </si>
  <si>
    <t>Zahnow, F (corresponding author), Univ Gottingen, Geowissensch Liches Zentrum, Goldschmidtstr 1, D-37077 Gottingen, Germany.</t>
  </si>
  <si>
    <t>fabian.zahnow@uni-goettingen.de</t>
  </si>
  <si>
    <t>Zahnow, Fabian/0009-0006-4557-7155</t>
  </si>
  <si>
    <t>FZapos;s PhD research is funded by the Deutsche Forschungsgemeinschaft (DFG, German Research Foundation)-Project number 6140074. We sincerely thank M. Zhang and an anonymous reviewer for their helpful input and constructive reviews that helped to improve [6140074]; Deutsche Forschungsgemeinschaft (DFG, German Research Foundation)</t>
  </si>
  <si>
    <t>FZapos;s PhD research is funded by the Deutsche Forschungsgemeinschaft (DFG, German Research Foundation)-Project number 6140074. We sincerely thank M. Zhang and an anonymous reviewer for their helpful input and constructive reviews that helped to improve(German Research Foundation (DFG)); Deutsche Forschungsgemeinschaft (DFG, German Research Foundation)(German Research Foundation (DFG))</t>
  </si>
  <si>
    <t>FZ &amp; apos;s PhD research is funded by the Deutsche Forschungsgemeinschaft (DFG, German Research Foundation)-Project number 6140074. We sincerely thank M. Zhang and an anonymous reviewer for their helpful input and constructive reviews that helped to improve this manuscript. Finally, we gratefully acknowledge Donald E. Brownlee for the editorial work. Open Access funding enabled and organized by Projekt DEAL.</t>
  </si>
  <si>
    <t>10.1111/maps.14084</t>
  </si>
  <si>
    <t>X9KO1</t>
  </si>
  <si>
    <t>WOS:001074860400001</t>
  </si>
  <si>
    <t>Qi, XY; Ji, MK; Yin, CF; Zhou, NY; Liu, YQ</t>
  </si>
  <si>
    <t>Qi, Xiaoyan; Ji, Mukan; Yin, Chao-Fan; Zhou, Ning-Yi; Liu, Yongqin</t>
  </si>
  <si>
    <t>Glacier as a source of novel polyethylene terephthalate hydrolases</t>
  </si>
  <si>
    <t>MULTIPLE SEQUENCE ALIGNMENT; DEGRADES; ENZYME; CARBON</t>
  </si>
  <si>
    <t>Polyethylene terephthalate (PET) is a major component of microplastic contamination globally, which is now detected in pristine environments including Polar and mountain glaciers. As a carbon-rich molecule, PET could be a carbon source for microorganisms dwelling in glacier habitats. Thus, glacial microorganisms may be potential PET degraders with novel PET hydrolases. Here, we obtained 414 putative PET hydrolase sequences by searching a global glacier metagenome dataset. Metagenomes from the Alps and Tibetan glaciers exhibited a higher relative abundance of putative PET hydrolases than those from the Arctic and Antarctic. Twelve putative PET hydrolase sequences were cloned and expressed, with one sequence (designated as GlacPETase) proven to degrade amorphous PET film with a similar performance as IsPETase, but with a higher thermostability. GlacPETase exhibited only 30% sequence identity to known active PET hydrolases with a novel disulphide bridge location and, therefore may represent a novel PET hydrolases class. The present work suggests that extreme carbon-poor environments may harbour a diverse range of known and novel PET hydrolases for carbon acquisition as an environmental adaptation mechanism. Qi et al. identified 414 genes of potential Polyethylene terephthalate (PET) hydrolases from metagenomes of global glaciers. By cloning and expression in E. coli, one enzyme demonstrated evident activity against PET. This enzyme, designated as GlacPETase is mesophilic and harbours a single disulphide bridge at the N-terminus. This work revealed the potential of obtaining novel PET degradation enzymes from glacier environment.image</t>
  </si>
  <si>
    <t>[Qi, Xiaoyan; Yin, Chao-Fan; Zhou, Ning-Yi] Shanghai Jiao Tong Univ, State Key Lab Microbial Metab, Joint Int Res Lab Metab &amp; Dev Sci, Shanghai, Peoples R China; [Qi, Xiaoyan; Yin, Chao-Fan; Zhou, Ning-Yi] Shanghai Jiao Tong Univ, Sch Life Sci &amp; Biotechnol, Shanghai, Peoples R China; [Ji, Mukan; Liu, Yongqin] Lanzhou Univ, Ctr Pan Pole Environm 3, Lanzhou, Peoples R China; [Liu, Yongqin] Chinese Acad Sci, Inst Tibetan Plateau Res, State Key Lab Tibetan Plateau Earth Syst Resources, Beijing, Peoples R China; [Liu, Yongqin] Univ Chinese Acad Sci, Beijing, Peoples R China; [Zhou, Ning-Yi] Shanghai Jiao Tong Univ, State Key Lab Microbial Metab, Joint Int Res Lab Metab &amp; Dev Sci, 800 Dongchuan Rd, Shanghai 200240, Peoples R China; [Zhou, Ning-Yi] Shanghai Jiao Tong Univ, Sch Life Sci &amp; Biotechnol, 800 Dongchuan Rd, Shanghai 200240, Peoples R China; [Liu, Yongqin] Lanzhou Univ, Ctr Pan Pole Environm 3, Lanzhou 730000, Peoples R China</t>
  </si>
  <si>
    <t>Shanghai Jiao Tong University; Shanghai Jiao Tong University; Lanzhou University; Chinese Academy of Sciences; Institute of Tibetan Plateau Research, CAS; Chinese Academy of Sciences; University of Chinese Academy of Sciences, CAS; Shanghai Jiao Tong University; Shanghai Jiao Tong University; Lanzhou University</t>
  </si>
  <si>
    <t>Liu, YQ (corresponding author), Chinese Acad Sci, Inst Tibetan Plateau Res, State Key Lab Tibetan Plateau Earth Syst Resources, Beijing, Peoples R China.;Liu, YQ (corresponding author), Univ Chinese Acad Sci, Beijing, Peoples R China.;Zhou, NY (corresponding author), Shanghai Jiao Tong Univ, State Key Lab Microbial Metab, Joint Int Res Lab Metab &amp; Dev Sci, 800 Dongchuan Rd, Shanghai 200240, Peoples R China.;Zhou, NY (corresponding author), Shanghai Jiao Tong Univ, Sch Life Sci &amp; Biotechnol, 800 Dongchuan Rd, Shanghai 200240, Peoples R China.;Liu, YQ (corresponding author), Lanzhou Univ, Ctr Pan Pole Environm 3, Lanzhou 730000, Peoples R China.</t>
  </si>
  <si>
    <t>ningyi.zhou@sjtu.edu.cn; yql@lzu.edu.cn</t>
  </si>
  <si>
    <t>Wang, Jinlong/KHC-3829-2024; wang, rong/KFQ-7187-2024; zhang, hao/KEJ-2291-2024; Lu, Yi/KEJ-2560-2024; Yan, Lu/KHW-7015-2024; zhang, shengqi/KGL-7519-2024; WANG, YANAN/KCL-4840-2024; yan, xu/KCY-8174-2024; xu, wei/JZD-2112-2024; yu, hui/KDO-3946-2024; Wang, Xingyu/JNE-0602-2023; Sun, Yang/KHY-5117-2024; yang, yuyuan/KHC-8879-2024</t>
  </si>
  <si>
    <t>?, ??/0000-0003-2876-7484; Qi, Xiaoyan/0000-0001-8599-139X</t>
  </si>
  <si>
    <t>This study was supported by the Second Tibetan Plateau Scientific Expedition and Research Program (STEP) (2019QZKK0503), the Seed Industry Revitalisation Project of Guangdong Province (23050202), the National Key Research and Development Plans (2021YFC2300 [2019QZKK0503]; Second Tibetan Plateau Scientific Expedition and Research Program (STEP) [23050202]; Seed Industry Revitalisation Project of Guangdong Province [2021YFC2300904]; National Key Research and Development Plans [42171138, 918512]; National Natural Science Foundation of China [91851207]; Major Research plan of the National Natural Science Foundation of China</t>
  </si>
  <si>
    <t>This study was supported by the Second Tibetan Plateau Scientific Expedition and Research Program (STEP) (2019QZKK0503), the Seed Industry Revitalisation Project of Guangdong Province (23050202), the National Key Research and Development Plans (2021YFC2300; Second Tibetan Plateau Scientific Expedition and Research Program (STEP); Seed Industry Revitalisation Project of Guangdong Province; National Key Research and Development Plans; National Natural Science Foundation of China(National Natural Science Foundation of China (NSFC)); Major Research plan of the National Natural Science Foundation of China(National Natural Science Foundation of China (NSFC))</t>
  </si>
  <si>
    <t>This study was supported by the Second Tibetan Plateau Scientific Expedition and Research Program (STEP) (2019QZKK0503), the Seed Industry Revitalisation Project of Guangdong Province (23050202), the National Key Research and Development Plans (2021YFC2300904), National Natural Science Foundation of China (General Program 42171138 and 918512), and the Major Research plan of the National Natural Science Foundation of China (91851207).</t>
  </si>
  <si>
    <t>10.1111/1462-2920.16516</t>
  </si>
  <si>
    <t>CQ9J6</t>
  </si>
  <si>
    <t>WOS:001073146200001</t>
  </si>
  <si>
    <t>Santiago, R; Marin, FB; Caxito, FD; Neves, MA; Rangel, CVGT; Calegari, SS; Lana, C</t>
  </si>
  <si>
    <t>Santiago, Raissa; Marin, Fernanda Boina; Caxito, Fabricio de Andrade; Neves, Mirna Aparecida; Rangel, Caio Vinicius Gabrig Turbay; Calegari, Salomao Silva; Lana, Cristiano</t>
  </si>
  <si>
    <t>Detrital zircon U-Pb analysis indicate a provenance shift on the Neogene Barreiras formation, atlantic coast of Brazil</t>
  </si>
  <si>
    <t>JOURNAL OF SOUTH AMERICAN EARTH SCIENCES</t>
  </si>
  <si>
    <t>Miocene; Cenozoic; Sedimentary provenance; U-Pb geochronology; Landscape denudation; Eustatic variations</t>
  </si>
  <si>
    <t>RIBEIRA OROGENIC SYSTEM; SAO-FRANCISCO CRATON; ARACUAI OROGEN; CONTINENTAL-MARGIN; MINAS-GERAIS; BREAK-UP; EVOLUTION; GEOCHRONOLOGY; BAHIA; STATE</t>
  </si>
  <si>
    <t>The Neogene Barreiras Formation is composed of continental to shallow marine sedimentary rocks that fringe the Brazilian Atlantic coast. Due to the large outcropping extent, various open questions about the evolution of this unit are still under debate. We present new U-Pb detrital zircon age spectra of four samples from the southern Espirito Santo state (Marataizes section) and two samples from the southern Bahia state (Arraial section). In both of the studied outcrops, a basal succession composed of coarse-grained cross-bedded sandstone, conglomerate and arkose with mudstone and claystone intercalations is superposed by an upper succession composed of massive sandstone, conglomerate and wacke. The U-Pb detrital zircon age spectra of all samples are dominated by Cambrian and Neoproterozoic grains. However, while the lower portion of both sections is dominated by Ediacaran-Cambrian grains, their upper portions also present significant Cryogenian-Tonian and sparse Paleoproterozoic (mainly Rhyacian and Statherian) and Neoarchean grains. This marks an important provenance shift within the Barreiras Formation, with a simple, local provenance sourced from the G1 to G5 granite supersuites of the Brasiliano Aracuai Orogen for the basal layers contrasting with exposure of older basement rocks and Neoproterozoic anorogenic suites during deposition of the superior layers. We interpret the lower coarse sandstone and arkose-rich succession as deposited in an alluvial setting, with mud/claystones related to local flooding plains. Tectonic movements related to the evolution of the Atlantic passive margin, as described in previous works, caused a renewed uplift of the basement areas, exposing and denuding older rocks. Then, the upper layers deposited through debris flows covering the first succession. Further geochronological data is needed to test if the erosional event responsible for exposure of older basement rocks and sourcing of the upper layers would correspond to the Tortonian Sea level fall, related to growth of the Antarctic ice sheet to its present size. In this case, deposition of the lower succession would have occurred during the early Miocene, and the upper succession during the Pliocene. Our results shed light in the complex evolution of the sedimentary rocks generally grouped under the Barreiras Formation, and suggest important tectonic and climatic shifts during the Neogene evolution of the Brazilian Atlantic coast.</t>
  </si>
  <si>
    <t>[Santiago, Raissa; Marin, Fernanda Boina; Caxito, Fabricio de Andrade] Univ Fed Minas Gerais CPMTC IGC UFMG, Programa Posgrad Geol &amp; Ctr Pesquisas Manoel Teixe, Campus Pampulha,Av Antonio Carlos 6627, BR-31270901 Belo Horizonte, MG, Brazil; [Neves, Mirna Aparecida; Calegari, Salomao Silva] Alto Univ, Univ Fed Espirito Santo, Dept Geol, S-N Guararema, BR-29500000 Alegre, ES, Brazil; [Rangel, Caio Vinicius Gabrig Turbay] Univ Fed Bahia, Ctr Formacao Ciencias Ambientais, Estr Porto Seguro Eunapolis, BR-29500000 Porto Seguro, BA, Brazil; [Lana, Cristiano] Univ Fed Ouro Preto, Dept Geol, Campus Morro Cruzeiro, BR-35400000 Ouro Preto, MG, Brazil</t>
  </si>
  <si>
    <t>Universidade Federal do Espirito Santo; Universidade Federal da Bahia; Universidade Federal de Ouro Preto</t>
  </si>
  <si>
    <t>Santiago, R (corresponding author), Univ Fed Minas Gerais CPMTC IGC UFMG, Programa Posgrad Geol &amp; Ctr Pesquisas Manoel Teixe, Campus Pampulha,Av Antonio Carlos 6627, BR-31270901 Belo Horizonte, MG, Brazil.</t>
  </si>
  <si>
    <t>raissa.smendes@gmail.com</t>
  </si>
  <si>
    <t>Neves, Mirna A./G-9038-2013; Silva Calegari, Salomão/ABG-3385-2021</t>
  </si>
  <si>
    <t>Silva Calegari, Salomão/0000-0002-9059-0432</t>
  </si>
  <si>
    <t>Instituto Serrapilheira [304509/2021-3, Serra-1912-31510]; CNPq, Brazil [304509/2021-3, 408815/2021-3]</t>
  </si>
  <si>
    <t>Instituto Serrapilheira; CNPq, Brazil(Conselho Nacional de Desenvolvimento Cientifico e Tecnologico (CNPQ))</t>
  </si>
  <si>
    <t>We thank Instituto Serrapilheira (Serra-1912-31510) for the ongoing support through Project MOBILE: Mountain Belts and the Inception of Complex Life on Earth (geolifemobile.com ) , and CNPq, Brazil, through grant number 408815/2021-3 and 304509/2021-3 (Research Productivity grant to FAC) . We thank all of the involved in developing and supporting the activities of the CAPIM (CAPixaba-Mineiro) study group on the geology of Espirito Santo, Brazil. The authors are part of Instituto GeoAtlantico, a National Institute of Science and Technology, CNPq-Brazil process nb. 405653/2022-0. A previous version was improved after comments and suggestions from two anonymous reviewers.</t>
  </si>
  <si>
    <t>0895-9811</t>
  </si>
  <si>
    <t>1873-0647</t>
  </si>
  <si>
    <t>J S AM EARTH SCI</t>
  </si>
  <si>
    <t>J. South Am. Earth Sci.</t>
  </si>
  <si>
    <t>10.1016/j.jsames.2023.104626</t>
  </si>
  <si>
    <t>U8GN3</t>
  </si>
  <si>
    <t>WOS:001087132000001</t>
  </si>
  <si>
    <t>Smith, RM; Bigg, GR</t>
  </si>
  <si>
    <t>Smith, R. M.; Bigg, G. R.</t>
  </si>
  <si>
    <t>Impact of Giant Iceberg A68A on the Physical Conditions of the Surface South Atlantic, Derived Using Remote Sensing</t>
  </si>
  <si>
    <t>icebergs; remote sensing; Antarctica</t>
  </si>
  <si>
    <t>SEA; SALINITY; DISTRIBUTIONS; PRODUCTIVITY; CLIMATOLOGY; EVOLUTION; MODEL; WIND; MELT</t>
  </si>
  <si>
    <t>Giant icebergs release cold, fresh meltwater as they drift, perturbing the physical conditions of the surface ocean. This study uses satellite-derived sea surface salinity and temperature measurements to explore the physical impact of supergiant iceberg A68A between September 2020 and June 2021. During A68A's drift through the Scotia Sea in austral spring, gradual but persistent edge-wasting contributed to a freshening of several psu extending hundreds of kilometers ahead of the iceberg, whilst the cooling signal was more pronounced in the iceberg's wake. The magnitude of the physical perturbation intensified during A68A's breakup near South Georgia. Several large meltwater lenses surrounding the descendant icebergs displayed temperature anomalies of up to -4.5 degrees C, whilst the salinity measurements indicated a surface (skin-depth) anomaly regularly exceeding order -10 psu. The perturbations stretched at times &gt;1,000 km and persisted for &gt;2 months following A68A's melt in April 2021. Plain Language Summary Giant icebergs release cold, fresh meltwater as they drift, altering the conditions of the ocean. This study uses sea surface salinity and temperature data collected by satellites to explore these impacts for iceberg A68 between September 2020 and June 2021. During A68A's drift through the Scotia Sea, a freshening of several psu extended hundreds of kilometers ahead of the iceberg, and a pronounced cooling followed behind. The magnitude of the salinity and temperature anomalies intensified when A68A fragmented near South Georgia. The surface ocean displayed temperature anomalies of up to -4.5 degrees C, and salinity anomalies regularly exceeding -10 psu. The perturbation stretched at times &gt;1,000 km and persisted for &gt;2 months following A68A's melt in April 2021.</t>
  </si>
  <si>
    <t>[Smith, R. M.] British Antarctic Survey, Cambridge, England; [Smith, R. M.] Univ Cambridge, Dept Chem, Cambridge, England; [Bigg, G. R.] Univ Sheffield, Dept Geog, Sheffield, England</t>
  </si>
  <si>
    <t>UK Research &amp; Innovation (UKRI); Natural Environment Research Council (NERC); NERC British Antarctic Survey; University of Cambridge; University of Sheffield</t>
  </si>
  <si>
    <t>Smith, RM (corresponding author), British Antarctic Survey, Cambridge, England.;Smith, RM (corresponding author), Univ Cambridge, Dept Chem, Cambridge, England.</t>
  </si>
  <si>
    <t>rosmit19@bas.ac.uk</t>
  </si>
  <si>
    <t>We are grateful to N. Lucas for providing their glider measurements and for their constructive advice during the drafting of this paper. Much of this work was carried out during the Sheffield-based MSc(Res) dissertation of R. M. Smith, but the work was com; University of Cambridge; NERC</t>
  </si>
  <si>
    <t>We are grateful to N. Lucas for providing their glider measurements and for their constructive advice during the drafting of this paper. Much of this work was carried out during the Sheffield-based MSc(Res) dissertation of R. M. Smith, but the work was com; University of Cambridge(University of Cambridge); NERC(UK Research &amp; Innovation (UKRI)Natural Environment Research Council (NERC))</t>
  </si>
  <si>
    <t>We are grateful to N. Lucas for providing their glider measurements and for their constructive advice during the drafting of this paper. Much of this work was carried out during the Sheffield-based MSc(Res) dissertation of R. M. Smith, but the work was completed, prepared and submitted during their NERC-funded PhD at the British Antarctic Survey and University of Cambridge. This paper was supported by NERC core funding to BAS.</t>
  </si>
  <si>
    <t>SEP 28</t>
  </si>
  <si>
    <t>e2023GL104028</t>
  </si>
  <si>
    <t>10.1029/2023GL104028</t>
  </si>
  <si>
    <t>S2XC9</t>
  </si>
  <si>
    <t>WOS:001069842300001</t>
  </si>
  <si>
    <t>Bassis, JN; Kachuck, SB</t>
  </si>
  <si>
    <t>Bassis, Jeremy N.; Kachuck, Samuel B.</t>
  </si>
  <si>
    <t>Beyond the Stokes approximation: shallow visco-elastic ice-sheet models</t>
  </si>
  <si>
    <t>iceberg calving; ice dynamics; ice/ocean interactions; ice-sheet modeling; ice shelves</t>
  </si>
  <si>
    <t>SHELF RIFT PROPAGATION; DYNAMICS; STREAM; GLACIERS; ANTARCTICA; INSIGHTS; FRACTURE; BASE</t>
  </si>
  <si>
    <t>The hypothesis that ice-sheet evolution is only controlled by the long-term non-Newtonian viscous behavior of ice has been challenged by observations indicating that effects like brittle failure, stick-slip sliding, tides and wave action may affect ice-sheet evolution on sub-daily timescales. Over these timescales, the quasi-static-creep approximation is no longer appropriate and elastic effects become important. Simulating elastic effects in ice-sheet models over relevant timescales, however, remains challenging. Here, we show that by including a visco-elastic rheology and reintroducing the oft neglected acceleration term back into the ice-sheet stress balance, we can create a visco-elastic system where the velocity is locally determined and information propagates at the elastic wave speed. Crucially, the elastic wave speed can be treated like an adjustable parameter and set to any value to reproduce a range of phenomena, provided the wave speed is large compared to the viscous velocity. We illustrate the system using three examples. The first two examples demonstrate that the system converges to the steady-state viscous and elastic limits. The third example examines ice-shelf rifting and iceberg calving. This final example hints at the utility of the visco-elastic formulation in treating both long-term evolution and short-term environmental effects.</t>
  </si>
  <si>
    <t>[Bassis, Jeremy N.; Kachuck, Samuel B.] Univ Michigan, Dept Climate &amp; Space Sci &amp; Engn, Ann Arbor, MI 48109 USA</t>
  </si>
  <si>
    <t>University of Michigan System; University of Michigan</t>
  </si>
  <si>
    <t>Bassis, JN (corresponding author), Univ Michigan, Dept Climate &amp; Space Sci &amp; Engn, Ann Arbor, MI 48109 USA.</t>
  </si>
  <si>
    <t>jbassis@umich.edu</t>
  </si>
  <si>
    <t>Bassis, Jeremy/J-1706-2012</t>
  </si>
  <si>
    <t>Bassis, Jeremy/0000-0003-2946-7176; Kachuck, Samuel/0000-0002-8708-8425</t>
  </si>
  <si>
    <t>DoE [C3710]; NASA [80NSSC22K0378]; DOMINOS; National Science Foundation (NSF) [1738896]; Natural Environment Research Council (NERC) [NE/S006605/1]</t>
  </si>
  <si>
    <t>DoE(United States Department of Energy (DOE)); NASA(National Aeronautics &amp; Space Administration (NASA)); DOMINOS; National Science Foundation (NSF)(National Science Foundation (NSF)); Natural Environment Research Council (NERC)(UK Research &amp; Innovation (UKRI)Natural Environment Research Council (NERC))</t>
  </si>
  <si>
    <t>This work is funded by DoE grant C3710, Framework for Antarctic System Science in E3SM, NASA grant 80NSSC22K0378 and by the DOMINOS project, a component of the International Thwaites Glacier Collaboration (ITGC). Support from National Science Foundation (NSF: Grant 1738896) and Natural Environment Research Council (NERC: Grant NE/S006605/1). ITGC Contribution No. ITGC-113. Code to solve the hyperbolic system and produce all figures is available at https://github.com/jbassis/ hyperIce.git.</t>
  </si>
  <si>
    <t>2023 SEP 28</t>
  </si>
  <si>
    <t>10.1017/jog.2023.75</t>
  </si>
  <si>
    <t>S5VL4</t>
  </si>
  <si>
    <t>WOS:001071839600001</t>
  </si>
  <si>
    <t>Mcquaid, CD</t>
  </si>
  <si>
    <t>Mcquaid, C. D.</t>
  </si>
  <si>
    <t>Understanding the effects of climate change on Southern Ocean ecosystems</t>
  </si>
  <si>
    <t>AFRICAN JOURNAL OF MARINE SCIENCE</t>
  </si>
  <si>
    <t>advective flow; ecosystem structure; phytoplankton community structure; sea ice; sub-Antarctic islands; water-column stability</t>
  </si>
  <si>
    <t>ANTARCTIC SEA-ICE; EUPHAUSIA-SUPERBA; ATLANTIC SECTOR; ANNULAR MODE; PHYTOPLANKTON PRODUCTION; ENVIRONMENTAL-CHANGE; PELAGIC ECOSYSTEMS; BREEDING SUCCESS; ADELIE PENGUINS; GRAZING IMPACT</t>
  </si>
  <si>
    <t>Understanding the future of Southern Ocean ecosystems requires approaches at micro to macro scales. The Southern Ocean has experienced both top-down and bottom-up perturbations driven by man. The removal of whales and finfish was a top-down disruption, removing enormous levels of biomass of consumers and driving competitive release for other predators. In contrast, climate change is altering physical conditions in complex, interrelated ways likely to change primary-producer community structure, with bottom-up consequences for the efficiency of energy transfer to top predators, and for the biological pump. The physiological effects of increasing ocean temperatures on animal species are likely to be less important than three key physical changes: loss of sea ice, changes to water-column stability, and patterns of water transport; these will affect krill abundances, primary producer community structure, and prey availability to land-breeding predators, respectively. The Southern Ocean is vast and critically influenced by global teleconnections, with different regions already exhibiting different patterns of physical and biological change. Given the strong physical forcing of these ecosystems, many of the initial consequences of climate change will operate through direct physiological effects on the primary producers and indirect effects on the larger organisms. This will disrupt species interactions and drive new ecological relationships.</t>
  </si>
  <si>
    <t>[Mcquaid, C. D.] Rhodes Univ, Dept Zool &amp; Entomol, Makhanda, South Africa</t>
  </si>
  <si>
    <t>Rhodes University</t>
  </si>
  <si>
    <t>Mcquaid, CD (corresponding author), Rhodes Univ, Dept Zool &amp; Entomol, Makhanda, South Africa.</t>
  </si>
  <si>
    <t>c.mcquaid@ru.ac.za</t>
  </si>
  <si>
    <t>McQuaid, Christopher/G-3512-2017</t>
  </si>
  <si>
    <t>McQuaid, Christopher/0000-0002-3473-8308</t>
  </si>
  <si>
    <t>Rhodes University; National Research Foundation of South Africa [64801]</t>
  </si>
  <si>
    <t>Rhodes University; National Research Foundation of South Africa(National Research Foundation - South Africa)</t>
  </si>
  <si>
    <t>This review was supported by Rhodes University and is based on research supported by the National Research Foundation of South Africa (grant no. 64801).</t>
  </si>
  <si>
    <t>1814-232X</t>
  </si>
  <si>
    <t>1814-2338</t>
  </si>
  <si>
    <t>AFR J MAR SCI</t>
  </si>
  <si>
    <t>Afr. J. Mar. Sci.</t>
  </si>
  <si>
    <t>10.2989/1814232X.2023.2239871</t>
  </si>
  <si>
    <t>W0CW4</t>
  </si>
  <si>
    <t>WOS:001073861700001</t>
  </si>
  <si>
    <t>Gei, D; Brancolini, G; De Santis, L; Geletti, R</t>
  </si>
  <si>
    <t>Gei, Davide; Brancolini, Giuliano; De Santis, Laura; Geletti, Riccardo</t>
  </si>
  <si>
    <t>Well-log integration and seismic-to-well tie off George V Land (Antarctica)</t>
  </si>
  <si>
    <t>GEOPHYSICAL PROSPECTING</t>
  </si>
  <si>
    <t>borehole geophysics; data processing; logging; modelling; seismics</t>
  </si>
  <si>
    <t>EAST ANTARCTICA; ICE-SHEET; CONTINENTAL RISE; MARGIN; PLIOCENE; BASIN</t>
  </si>
  <si>
    <t>Cenozoic sediments from the continental rise off the George V Land consist of silty/clayey facies variably rich in diatom ooze; these sediments hold a record of the glacial history of the Wilkes Subglacial Basin and are important for estimating the contribution of the East Antarctic Ice Sheet to global sea level changes during past transition to warmer climates. This is fundamental to predict future scenarios related to the global warming. The petrophysical properties of Antarctic marine sediments are influenced by the ice sheet dynamics and may affect the amplitude of seismic reflections. Through a seismic-to-well tie procedure, we investigate the origin of high amplitude reflections from Miocene-early Pliocene deposits identified in two seismic lines crossing at the Integrated Ocean Drilling Program Expedition 318 drill site U1359. Downhole and core log measurements are preconditioned and merged to obtain complete velocity and density records from the sea floor to the bottom of the deepest of the four wells drilled at this site. We generate a synthetic trace by convolving the reflectivity series with the seismic wavelet obtained from the sea-floor reflection and match the synthetic trace to the seismic data with a time variant cross-correlation procedure. This procedure established a robust time-depth relationship, not achievable from the available small-offset seismic data. To our knowledge, this is the first seismic-to-well tying in the George V Land area. Based on results from synthetic data, the anomalous high amplitude seismic package can be linked to changes in density of sediments. Such changes are interpreted as representative for the alternation of diatom-rich (warm climate) and silty-clay layers with ice-rafted debris (cold climate) inside the deposits. We suggest that the analysis of the characteristics and the distribution of similar seismic anomaly around Antarctica can give insight into the modality of past Antarctic ice sheet dynamics.</t>
  </si>
  <si>
    <t>[Gei, Davide; Brancolini, Giuliano; De Santis, Laura; Geletti, Riccardo] Ist Nazl Oceanog &amp; Geofis Sperimentale OGS, Borgo Grotta Gigante 42c, I-34010 Trieste, Italy</t>
  </si>
  <si>
    <t>Gei, D (corresponding author), Ist Nazl Oceanog &amp; Geofis Sperimentale OGS, Borgo Grotta Gigante 42c, I-34010 Trieste, Italy.</t>
  </si>
  <si>
    <t>dgei@ogs.it</t>
  </si>
  <si>
    <t>Gei, Davide/0000-0002-5755-6697; Geletti, Riccardo/0000-0002-6574-011X</t>
  </si>
  <si>
    <t>Open Access Funding provided by Istituto Nazionale di Oceanografia e di Geofisica Sperimentale within the CRUI-CARE Agreement.; Istituto Nazionale di Oceanografia e di Geofisica Sperimentale within the CRUI-CARE Agreement</t>
  </si>
  <si>
    <t>Part of the well-log analysis and seismic-to-well tying has been performed with the Matlab packages Seislab3.01 () developed by E. Rietsch, and CREWES () by T. Cui and G. F. Margrave. The authors also thank Aspen Technology Inc. for the academic license of the software Echos. The IHS supported this work with a Kingdom academic license released to OGS. This work is carried out in the frame of the PNRA19_00022 COLLAPSE project. The authors thank an anonymous reviewer whose comments and suggestions helped improve and clarify this manuscript.r Open Access Funding provided by Istituto Nazionale di Oceanografia e di Geofisica Sperimentale within the CRUI-CARE Agreement.</t>
  </si>
  <si>
    <t>0016-8025</t>
  </si>
  <si>
    <t>1365-2478</t>
  </si>
  <si>
    <t>GEOPHYS PROSPECT</t>
  </si>
  <si>
    <t>Geophys. Prospect.</t>
  </si>
  <si>
    <t>10.1111/1365-2478.13425</t>
  </si>
  <si>
    <t>GR3T6</t>
  </si>
  <si>
    <t>WOS:001072675600001</t>
  </si>
  <si>
    <t>Xiao, X; Zhou, C; Yang, QX; Jing, ZY; Liu, ZY; Yuan, DL; Xu, ZH; Zhao, W; Tian, JW</t>
  </si>
  <si>
    <t>Xiao, Xin; Zhou, Chun; Yang, Qingxuan; Jing, Zhiyou; Liu, Zhiyu; Yuan, Dongliang; Xu, Zhenhua; Zhao, Wei; Tian, Jiwei</t>
  </si>
  <si>
    <t>Diapycnal Upwelling Over the Kyushu-Palau Ridge in the North Pacific Ocean</t>
  </si>
  <si>
    <t>INTERNAL WAVES; OVERTURNING CIRCULATION; ROUGH TOPOGRAPHY; KAENA RIDGE; DEEP-OCEAN; WATER; TURBULENCE; SHEAR; DISSIPATION; TRANSPORT</t>
  </si>
  <si>
    <t>A significant portion (&amp; SIM;2.1 Sv, 1 Sv = 106 m3 s-1) of deep water penetrates into the Philippine Sea through the Yap-Mariana Junction, the sole passage of the Philippine Sea below 4,000 m, and is then upwelled into shallower layers, closing regional overturning circulation. Yet, the structure and variability of this diapycnal upwelling remain poorly understood. Here, we report on a fine-resolution hydrographic observation conducted at the most significant topographic feature in the Philippine Sea, the Kyushu-Palau Ridge (KPR). Enhanced mixing up to O(10-2) m2 s-1 near the KPR is manifested, indicating the presence of substantial upwelling herein. Besides, the ridge-related topography contributes more deep-water mass transformation than abyssal basins in the Philippine Sea. This study highlights the significant role of rough bathymetry features in generating diapycnal upwelling in the North Pacific. In the North Pacific, a significant portion of deep water from the Antarctic enters the Philippine Sea below 4,000 m, where it is upwelled into shallower layers, closing regional overturning circulation. However, where the deep water gains buoyancy in the deep Philippine Sea required to upwell into shallower layers remains largely unknown, rendering our understanding of the western Pacific overturning circulation incomplete. To fill this gap, we conducted observations at two transects over the Kyushu-Palau Ridge (KPR), the most significant topographic feature in the Philippine Sea. Based on this observational program, we reveal the mixing structure down to the bottom across the KPR and estimate the deep water transformation in the deep Philippine Sea. This study illuminates the role of ridge-related topography in driving diapycnal upwelling in the deep ocean and improves our understanding of the deep circulation in the North Pacific Ocean. A three-dimensional distribution of diapycnal mixing over the Kyushu-Palau Ridge is presentedThe spatially variable of mixing across the Kyushu-Palau Ridge results in varying vertical velocitiesThe Kyushu-Palau Ridge contributes more deep-water mass transformation than abyssal basins in the Philippine Sea</t>
  </si>
  <si>
    <t>[Xiao, Xin; Zhou, Chun; Yang, Qingxuan; Zhao, Wei; Tian, Jiwei] Ocean Univ China, Sanya Oceanog Inst, Frontier Sci Ctr Deep Ocean Multispheres &amp; Earth S, Qingdao Sanya, Peoples R China; [Xiao, Xin; Zhou, Chun; Yang, Qingxuan; Zhao, Wei; Tian, Jiwei] Ocean Univ China, Sanya Oceanog Inst, Phys Oceanog Lab, Qingdao Sanya, Peoples R China; [Xiao, Xin; Zhou, Chun; Yang, Qingxuan; Zhao, Wei; Tian, Jiwei] Ocean Univ China, Sanya Oceanog Inst, Key Lab Ocean Observat &amp; Informat Hainan Prov, Sanya, Peoples R China; [Zhou, Chun; Yang, Qingxuan; Yuan, Dongliang; Zhao, Wei; Tian, Jiwei] Laoshan Lab, Qingdao, Peoples R China; [Jing, Zhiyou; Tian, Jiwei] Chinese Acad Sci, South China Sea Inst Oceanol, State Key Lab Trop Oceanog, Guangzhou, Peoples R China; [Liu, Zhiyu] Xiamen Univ, Coll Ocean &amp; Earth Sci, Dept Phys Oceanog, State Key Lab Marine Environm Sci, Xiamen, Peoples R China; [Yuan, Dongliang] Minist Nat Resources, Inst Oceanog 1, Key Lab Marine Sci &amp; Numer Modeling, Qingdao, Peoples R China; [Yuan, Dongliang] Shandong Key Lab Marine Sci &amp; Numer Modeling, Qingdao, Peoples R China; [Yuan, Dongliang] Univ Chinese Acad Sci, Beijing, Peoples R China; [Xu, Zhenhua] Chinese Acad Sci, Inst Oceanol, CAS Key Lab Ocean Circulat &amp; Waves, Qingdao, Peoples R China</t>
  </si>
  <si>
    <t>Ocean University of China; Ocean University of China; Ocean University of China; Laoshan Laboratory; Chinese Academy of Sciences; South China Sea Institute of Oceanology, CAS; Xiamen University; Ministry of Natural Resources of the People's Republic of China; First Institute of Oceanography, Ministry of Natural Resources; Chinese Academy of Sciences; University of Chinese Academy of Sciences, CAS; Chinese Academy of Sciences; Institute of Oceanology, CAS</t>
  </si>
  <si>
    <t>Zhou, C (corresponding author), Ocean Univ China, Sanya Oceanog Inst, Frontier Sci Ctr Deep Ocean Multispheres &amp; Earth S, Qingdao Sanya, Peoples R China.;Zhou, C (corresponding author), Ocean Univ China, Sanya Oceanog Inst, Phys Oceanog Lab, Qingdao Sanya, Peoples R China.;Zhou, C (corresponding author), Ocean Univ China, Sanya Oceanog Inst, Key Lab Ocean Observat &amp; Informat Hainan Prov, Sanya, Peoples R China.;Zhou, C (corresponding author), Laoshan Lab, Qingdao, Peoples R China.</t>
  </si>
  <si>
    <t>chunzhou@ouc.edu.cn</t>
  </si>
  <si>
    <t>Liu, Zhiyu/G-3386-2010; Jing, Zhiyou/C-8747-2016; Xu, Zhenhua/H-8609-2012</t>
  </si>
  <si>
    <t>Liu, Zhiyu/0000-0001-5293-1390; Jing, Zhiyou/0000-0003-4251-562X; Xu, Zhenhua/0000-0002-2341-4746; Zhou, Chun/0000-0002-3989-5943</t>
  </si>
  <si>
    <t>National Natural Science Foundation of China [42076027, 92258301, 91858205, 41720104008, 91858204]; Taishan Talents program [tsqn202306094]; National Key R&amp;D Program of China [2020YFA0608800]; Laoshan Laboratory [2022LSL010304-4]; Strategic Priority Research Program of the Chinese Academy of Sciences [XDB42000000]; Taishan Scholar Project of the Shandong province; Kunpeng Outstanding Scholar Program of the FIO/MNR of China; NSFC Shiptime Sharing Project [42049582]</t>
  </si>
  <si>
    <t>National Natural Science Foundation of China(National Natural Science Foundation of China (NSFC)); Taishan Talents program; National Key R&amp;D Program of China; Laoshan Laboratory; Strategic Priority Research Program of the Chinese Academy of Sciences(Chinese Academy of Sciences); Taishan Scholar Project of the Shandong province; Kunpeng Outstanding Scholar Program of the FIO/MNR of China; NSFC Shiptime Sharing Project</t>
  </si>
  <si>
    <t>This study was supported by the National Natural Science Foundation of China (Grant 42076027, 92258301, 91858205, 41720104008, 91858204) and the Taishan Talents program (tsqn202306094). D. Yuan is also supported by National Key R&amp;D Program of China (2020YFA0608800), Laoshan Laboratory (No. 2022LSL010304-4), the Strategic Priority Research Program of the Chinese Academy of Sciences (XDB42000000), the Taishan Scholar Project of the Shandong province and the Kunpeng Outstanding Scholar Program of the FIO/MNR of China. The authors thank the cruise NORC2021-582 supported by NSFC Shiptime Sharing Project (Grant 42049582) and thank the crew of the R/V Dongfanghong 3.</t>
  </si>
  <si>
    <t>e2023GL104369</t>
  </si>
  <si>
    <t>10.1029/2023GL104369</t>
  </si>
  <si>
    <t>R6KU3</t>
  </si>
  <si>
    <t>WOS:001065433500001</t>
  </si>
  <si>
    <t>Kromer, JD; Trusel, LD</t>
  </si>
  <si>
    <t>Kromer, Jessica D.; Trusel, Luke D.</t>
  </si>
  <si>
    <t>Identifying the Impacts of Sea Ice Variability on the Climate and Surface Mass Balance of West Antarctica</t>
  </si>
  <si>
    <t>West Antarctic; surface mass balance; sea ice variability; snowfall</t>
  </si>
  <si>
    <t>ATLANTIC; MELT</t>
  </si>
  <si>
    <t>The Antarctic ice sheet (AIS) is the largest freshwater body on Earth and a major component of the sea level budget. Over the satellite era, the AIS has experienced &amp; SIM;130 Gt/year of mass loss. Net losses are partially mitigated by snow accumulation that varies &amp; SIM;100-130 Gt/yr, underscoring a need to understand the drivers of snowfall variability. Here, we evaluate impacts of decreased sea ice in the Amundsen Sea region of West Antarctica on the overlying atmosphere and surface mass balance of the adjacent AIS using composites, spatial correlations, and a causal effect network method. Importantly, our findings show sea ice declines in the Amundsen Sea lead to enhanced integrated water vapor that is subsequently transported to the AIS resulting in positive anomalies in West Antarctic ice sheet snowfall. Our results suggest future decreases in sea ice may likely enhance ice sheet snowfall, thus partially offsetting Antarctic sea level contributions. The Antarctic ice sheet (AIS) is the largest freshwater body on Earth and is a major component of the sea level budget. Since the start of the satellite record in 1980, the AIS has been losing mass at an increasing rate. These losses are attributed to increased flow of ice into the ocean and are partially balanced each year by the accumulation of snow across the ice sheet's surface. The degree to which it snows across Antarctica therefore controls how much the ice sheet contributes to sea level in any given year. Thus, it is crucial for us to understand the drivers of snowfall variability. Here, we evaluate the impacts of decreased sea ice in the Amundsen Sea region of West Antarctica on snowfall over the adjacent ice sheet. Importantly, our findings show that sea ice declines in this region lead to enhanced moisture in the atmosphere which is then transported over the West Antarctic ice sheet resulting in greater snowfall. Observations and reanalyzes reveal decreased sea ice leads to increased precipitation over the West Antarctic ice sheetCausal discovery links low sea ice to enhanced water vapor and precipitation-bearing clouds over the ice sheetPast and future changes in sea ice hold implications for ice sheet surface mass balance</t>
  </si>
  <si>
    <t>[Kromer, Jessica D.; Trusel, Luke D.] Penn State Univ, Dept Geog, University Pk, PA 16802 USA</t>
  </si>
  <si>
    <t>Pennsylvania Commonwealth System of Higher Education (PCSHE); Pennsylvania State University; Pennsylvania State University - University Park</t>
  </si>
  <si>
    <t>Kromer, JD (corresponding author), Penn State Univ, Dept Geog, University Pk, PA 16802 USA.</t>
  </si>
  <si>
    <t>kromer@psu.edu</t>
  </si>
  <si>
    <t>Trusel, Luke/0000-0002-7792-6173</t>
  </si>
  <si>
    <t>NASA Cryospheric Sciences Program [80NSSC20K0888]</t>
  </si>
  <si>
    <t>NASA Cryospheric Sciences Program(National Aeronautics &amp; Space Administration (NASA))</t>
  </si>
  <si>
    <t>This research was supported by the NASA Cryospheric Sciences Program (award number 80NSSC20K0888 to L. D. T.).</t>
  </si>
  <si>
    <t>e2023GL104436</t>
  </si>
  <si>
    <t>10.1029/2023GL104436</t>
  </si>
  <si>
    <t>R5DS4</t>
  </si>
  <si>
    <t>WOS:001064559800001</t>
  </si>
  <si>
    <t>Thomas, M; Ridley, JK; Smith, IJ; Stevens, DP; Holland, PR; Mackie, S</t>
  </si>
  <si>
    <t>Thomas, Max; Ridley, Jeff K.; Smith, Inga J.; Stevens, David P.; Holland, Paul R.; Mackie, Shona</t>
  </si>
  <si>
    <t>Future Response of Antarctic Continental Shelf Temperatures to Ice Shelf Basal Melting and Calving</t>
  </si>
  <si>
    <t>Antarctic; Southern Ocean; ice shelf; continental shelf; climate model; freshwater</t>
  </si>
  <si>
    <t>SEA-ICE; NORTH-ATLANTIC; FRESH-WATER; DEEP-WATER; OCEAN; MODEL</t>
  </si>
  <si>
    <t>We investigate feedbacks between subsurface continental shelf ocean temperatures and Antarctic glacial melt using a coupled climate model. The model was forced with SSP5-8.5 and an uncoupled projection of basal melt and calving fluxes. SSP5-8.5 forcing with fixed pre-industrial glacial melt warms all continental shelves, such that historically cool and fresh shelves transition to warm. Additional glacial melt, added at depth, cools the Eastern Ross, Amundsen, and Bellingshausen seas, suggesting a negative feedback on basal melt-a novel result for a coarse resolution coupled model. From the Weddell Sea, along East Antarctica, and into the western Ross Sea-where continental shelves transition to a warm state-additional glacial melt increases temperatures at the continental shelf sea floor, suggesting a positive feedback. The sign of the glacial melt-subsurface temperature feedback is critically dependent on continental shelf properties, climate state, and the vertical distribution of glacial melt inputs. Antarctic ice shelves lose mass as freshwater-primarily from melting at their base and when icebergs break off. We know that the rate at which Antarctic ice shelves are losing mass is increasing and we expect this freshwater input into the ocean to increase further in a warmer world. Most climate models do not include a representation of this changing freshwater input, and its climatic impacts are uncertain. One particularly important climate impact is how the additional freshwater changes the subsurface ocean temperature. If freshwater warms/cools the coastal ocean it could increase/decrease melt in a positive/negative feedback loop. But existing studies disagree about this effect and even about the sign of the feedback. We added a timeseries of freshwater input to a climate model and ran experiments with strong climate warming to investigate this feedback. The sign of the feedback varies by region. Where climate change drives a cold coastal ocean to transition to a new warmer state, we find that freshwater causes a strong additional warming (a positive feedback). Where the coastal ocean is already warm in the present day and warms in future, freshwater reduces this warming (a negative feedback). To achieve the negative feedback freshwater must be added at depth. A glacial melt projection is added to a 1 &amp; DEG; coupled climate model under SSP5-8.5 to investigate ocean temperature feedbacksAdditional glacial melt cools the Eastern Ross, Amundsen, and Bellingshausen seas at depth, but warms elsewhereThe addition of glacial melt at depth is necessary to generate the cooling response</t>
  </si>
  <si>
    <t>[Thomas, Max; Smith, Inga J.; Mackie, Shona] Univ Otago, Dept Phys, Dunedin, New Zealand; [Ridley, Jeff K.] Met Off, Exeter, England; [Stevens, David P.] Univ East Anglia, Ctr Ocean &amp; Atmospher Sci, Sch Math, Norwich, England; [Holland, Paul R.] British Antarctic Survey, Cambridge, England</t>
  </si>
  <si>
    <t>University of Otago; Met Office - UK; University of East Anglia; UK Research &amp; Innovation (UKRI); Natural Environment Research Council (NERC); NERC British Antarctic Survey</t>
  </si>
  <si>
    <t>Thomas, M (corresponding author), Univ Otago, Dept Phys, Dunedin, New Zealand.</t>
  </si>
  <si>
    <t>max.thomas@otago.ac.nz</t>
  </si>
  <si>
    <t>; Stevens, David/F-2509-2010</t>
  </si>
  <si>
    <t>Thomas, Max/0000-0002-2327-3664; Ridley, Jeff/0000-0002-2612-9924; Stevens, David/0000-0002-7283-4405</t>
  </si>
  <si>
    <t>Deep South National Science Challenge (MBIE) [C01X1412]; Antarctic Science Platform (University of Otago from VUW's ASP Project 4) [19424]; Antarctic Science Platform (Antarctica New Zealand through MBIE SSIF Programmes Investment) [ANTA1801]; NeSI; MBIE's Research Infrastructure programme; Met Office Hadley Centre Climate Programme - DBEIS; Defra</t>
  </si>
  <si>
    <t>Deep South National Science Challenge (MBIE); Antarctic Science Platform (University of Otago from VUW's ASP Project 4); Antarctic Science Platform (Antarctica New Zealand through MBIE SSIF Programmes Investment); NeSI; MBIE's Research Infrastructure programme(New Zealand Ministry of Business, Innovation and Employment (MBIE)); Met Office Hadley Centre Climate Programme - DBEIS; Defra(Department for Environment, Food &amp; Rural Affairs (DEFRA))</t>
  </si>
  <si>
    <t>MT and IJS were supported by the Deep South National Science Challenge (MBIE contract number C01X1412) and the Antarctic Science Platform (University of Otago subcontract 19424 from VUW's ASP Project 4 contract with Antarctica New Zealand through MBIE SSIF Programmes Investment contract number ANTA1801). The authors acknowledge use of New Zealand eScience Infrastructure (NeSI) high performance computing facilities, consulting support, and training services. New Zealand's national facilities are provided by NeSI and funded jointly by NeSI's collaborator institutions and through MBIE's Research Infrastructure programme. JR was supported by the Met Office Hadley Centre Climate Programme funded by DBEIS and Defra. Thanks to Jonny Williams (NIWA) for help setting up and working with the model. Open access publishing facilitated by University of Otago, as part of the Wiley - University of Otago agreement via the Council of Australian University Librarians.</t>
  </si>
  <si>
    <t>e2022GL102101</t>
  </si>
  <si>
    <t>10.1029/2022GL102101</t>
  </si>
  <si>
    <t>R5DM3</t>
  </si>
  <si>
    <t>WOS:001064553700001</t>
  </si>
  <si>
    <t>van Calcar, CJ; van de Wal, RSW; Blank, B; de Boer, B; van der Wal, W</t>
  </si>
  <si>
    <t>van Calcar, Caroline J.; van de Wal, Roderik S. W.; Blank, Bas; de Boer, Bas; van der Wal, Wouter</t>
  </si>
  <si>
    <t>Simulation of a fully coupled 3D glacial isostatic adjustment - ice sheet model for the Antarctic ice sheet over a glacial cycle</t>
  </si>
  <si>
    <t>RAPID BEDROCK UPLIFT; SEA-LEVEL CHANGE; MANTLE VISCOSITY; SOLID-EARTH; FUTURE; RHEOLOGY; PERSPECTIVES; TEMPERATURES; TIMESCALES; EVOLUTION</t>
  </si>
  <si>
    <t>Glacial isostatic adjustment (GIA) has a stabilizing effect on the evolution of the Antarctic ice sheet by reducing the grounding line migration following ice melt. The timescale and strength of this feedback depends on the spatially varying viscosity of the Earth's mantle. Most studies assume a relatively long and laterally homogenous response time of the bedrock. However, the mantle viscosity is spatially variable, with a high mantle viscosity beneath East Antarctica and a low mantle viscosity beneath West Antarctica. For this study, we have developed a new method to couple a 3D GIA model and an ice sheet model to study the interaction between the solid Earth and the Antarctic ice sheet during the last glacial cycle. With this method, the ice sheet model and GIA model exchange ice thickness and bedrock elevation during a fully coupled transient experiment. The feedback effect is taken into account with a high temporal resolution, where the coupling time steps between the ice sheet and GIA model are 5000 years over the glaciation phase and vary between 500 and 1000 years over the deglaciation phase of the last glacial cycle. During each coupling time step, the bedrock elevation is adjusted at every ice sheet model time step, and the deformation is computed for a linearly changing ice load. We applied the method using the ice sheet model ANICE and a 3D GIA finite element model. We used results from a regional seismic model for Antarctica embedded in the global seismic model SMEAN2 to determine the patterns in the mantle viscosity. The results of simulations over the last glacial cycle show that differences in mantle viscosity of an order of magnitude can lead to differences in the grounding line position up to 700 km and to differences in ice thickness of the order of 2 km for the present day near the Ross Embayment. These results underline and quantify the importance of including local GIA feedback effects in ice sheet models when simulating the Antarctic ice sheet evolution over the last glacial cycle.</t>
  </si>
  <si>
    <t>[van Calcar, Caroline J.; Blank, Bas; van der Wal, Wouter] Delft Univ Technol, Fac Aerosp Engn, NL-2629 HS Delft, Netherlands; [van Calcar, Caroline J.; van de Wal, Roderik S. W.] Univ Utrecht, Inst Marine &amp; Atmospher Res Utrecht, NL-3508 TA Utrecht, Netherlands; [van de Wal, Roderik S. W.] Univ Utrecht, Dept Phys Geog, NL-3584 CB Utrecht, Netherlands; [de Boer, Bas] Vrije Univ Amsterdam, Fac Sci Earth &amp; Climate Cluster, NL-1081 HV Amsterdam, Netherlands; [van der Wal, Wouter] Delft Univ Technol, Fac Civil Engn &amp; Geosci, NL-2628 CN Delft, Netherlands</t>
  </si>
  <si>
    <t>Delft University of Technology; Utrecht University; Utrecht University; Vrije Universiteit Amsterdam; Delft University of Technology</t>
  </si>
  <si>
    <t>van Calcar, CJ (corresponding author), Delft Univ Technol, Fac Aerosp Engn, NL-2629 HS Delft, Netherlands.;van Calcar, CJ (corresponding author), Univ Utrecht, Inst Marine &amp; Atmospher Res Utrecht, NL-3508 TA Utrecht, Netherlands.</t>
  </si>
  <si>
    <t>c.j.vancalcar@tudelft.nl</t>
  </si>
  <si>
    <t>van Calcar, Caroline/0000-0003-4659-0678</t>
  </si>
  <si>
    <t>European Commission</t>
  </si>
  <si>
    <t>European Commission(European Union (EU)European Commission Joint Research Centre)</t>
  </si>
  <si>
    <t>We would like to thank Maryam Yousefi, Pippa Whitehouse, and Volker Klemann for their constructive feedback on our work. This led to a significantly improved model and paper.</t>
  </si>
  <si>
    <t>SEP 27</t>
  </si>
  <si>
    <t>10.5194/gmd-16-5473-2023</t>
  </si>
  <si>
    <t>IV2O1</t>
  </si>
  <si>
    <t>WOS:001169048000001</t>
  </si>
  <si>
    <t>Plumptre, AJ; Butchart, SHM; von Staden, L; Smith, RJ; Matimele, H; Starnes, T; Brooks, TM; Baisero, D; Costa, H; Duarte, E</t>
  </si>
  <si>
    <t>Plumptre, Andrew J.; Butchart, Stuart H. M.; von Staden, Lize; Smith, Robert J.; Matimele, Hermenegildo; Starnes, Thom; Brooks, Thomas M.; Baisero, Daniele; Costa, Hugo; Duarte, Eleuterio</t>
  </si>
  <si>
    <t>Key Biodiversity Areas are proving useful for spatial planning if the criteria are applied correctly</t>
  </si>
  <si>
    <t>PERSPECTIVES IN ECOLOGY AND CONSERVATION</t>
  </si>
  <si>
    <t>[Plumptre, Andrew J.] KBA Secretariat, BirdLife Int, Cambridge, England; [Plumptre, Andrew J.; Butchart, Stuart H. M.; Starnes, Thom] BirdLife Int, Cambridge, England; [Plumptre, Andrew J.; Butchart, Stuart H. M.] Univ Cambridge, Dept Zool, Cambridge, England; [von Staden, Lize] South Africa Natl Biodivers Inst, Cape Town, South Africa; [Smith, Robert J.; Matimele, Hermenegildo] Univ Kent, Durrell Inst Conservat &amp; Ecol, Canterbury, England; [Matimele, Hermenegildo; Costa, Hugo] Wildlife Conservat Soc, Maputo, Mozambique; [Starnes, Thom] IUCN, Cambridge, England; [Brooks, Thomas M.] IUCN, Gland, Switzerland; [Brooks, Thomas M.] Univ Philippines Los Banos, World Agroforestry Ctr ICRAF, Laguna, Philippines; [Brooks, Thomas M.] Univ Tasmania, Inst Marine &amp; Antarctic Studies, Hobart, Australia</t>
  </si>
  <si>
    <t>BirdLife International; BirdLife International; University of Cambridge; South African National Biodiversity Institute; University of Kent; University of the Philippines System; University of the Philippines Los Banos; CGIAR; World Agroforestry (ICRAF); University of Tasmania</t>
  </si>
  <si>
    <t>Plumptre, AJ (corresponding author), KBA Secretariat, BirdLife Int, Cambridge, England.;Plumptre, AJ (corresponding author), BirdLife Int, Cambridge, England.;Plumptre, AJ (corresponding author), Univ Cambridge, Dept Zool, Cambridge, England.</t>
  </si>
  <si>
    <t>aplumptre@keybiodiversityareas.org</t>
  </si>
  <si>
    <t>Butchart, Stuart HM/Y-2711-2018; Starnes, Thomas/AAT-2333-2020; Baisero, Daniele/N-1890-2016</t>
  </si>
  <si>
    <t>Starnes, Thomas/0000-0002-6190-6098; Brooks, Thomas/0000-0001-8159-3116; Plumptre, Andrew/0000-0002-9333-4047</t>
  </si>
  <si>
    <t>KBA Partnership</t>
  </si>
  <si>
    <t>We could acknowledge the KBA Partnership as funders: The KBA Partnership contributed to the salaries of the lead author and one co-author in writing this article.</t>
  </si>
  <si>
    <t>2530-0644</t>
  </si>
  <si>
    <t>PERSPECT ECOL CONSER</t>
  </si>
  <si>
    <t>Perspect. Ecol. Conserv.</t>
  </si>
  <si>
    <t>JUL-SEP</t>
  </si>
  <si>
    <t>10.1016/j.pecon.2023.07.001</t>
  </si>
  <si>
    <t>W7DB5</t>
  </si>
  <si>
    <t>WOS:001093183300001</t>
  </si>
  <si>
    <t>Zeng, LX; Peng, Q; Li, Q; Bi, YG; Kong, FS; Wang, Z; Tan, SF</t>
  </si>
  <si>
    <t>Zeng, Lixia; Peng, Qiang; Li, Qiao; Bi, Yongguang; Kong, Fansheng; Wang, Zhong; Tan, Shaofan</t>
  </si>
  <si>
    <t>Synthesis, characterization, biological activity, and in vitro digestion of selenium nanoparticles stabilized by Antarctic ice microalgae polypeptide</t>
  </si>
  <si>
    <t>BIOORGANIC CHEMISTRY</t>
  </si>
  <si>
    <t>Antarctic ice microalgae polypeptide; Selenium nanoparticles; Characterization; In vitro digestion; Antioxidant capacity; Antibacterial properties</t>
  </si>
  <si>
    <t>ANTIOXIDANT; PROTEIN; IDENTIFICATION; PURIFICATION; PEPTIDES; GLUTELIN; TOXICITY; STARCH</t>
  </si>
  <si>
    <t>A new type of uniformly dispersed selenium nanoparticles (SeNPs) was prepared using Antarctic ice microalgae polypeptides (AIMP) as the stabilizer and dispersant. Different characterization techniques and tests show that the SeNPs are effectively combined with AIMP through physical adsorption and hydrogen bonding to form a more stable structure. Orange-red, zero-valence, amorphous, and spherical AIMP-SeNPs with a diameter of 52.07 +/- 1.011 nm and a zeta potential of-41.41 +/- 0.882 mV were successfully prepared under the optimal conditions. The AIMP-SeNPs had significantly higher DPPH, ABTS and hydroxyl radicals scavenging abilities compared with AIMP and Na2SeO3, and prevented the growth of both Gram-negative and Gram-positive bacteria by disrupting the integrity of cell walls, cell membranes and mitochondrial membranes. The AIMP-SeNPs had higher gastro-intestinal stability compared with SeNPs. Thus, this research highlights the crucial role of AIMP as a biopolymer framework in the dispersion, stabilization, and size management of SeNPs and concludes that AIMP-SeNPs can be exploited as a potent antioxidant supplement and antibacterial substance in foods and medicine.</t>
  </si>
  <si>
    <t>[Zeng, Lixia; Peng, Qiang; Li, Qiao; Bi, Yongguang; Kong, Fansheng] Guangdong Pharmaceut Univ, Sch Pharm, Guangzhou 510006, Guangdong, Peoples R China; [Bi, Yongguang] Guangdong Pharmaceut Univ, Guangdong Prov Engn Ctr Top Precise Drug Delivery, Guangdong Prov Key Lab Adv Drug Delivery, Guangzhou, Peoples R China; [Bi, Yongguang; Tan, Shaofan] Guangdong Dongshenglin Pharmaceut Co Ltd, Guangzhou, Peoples R China; [Bi, Yongguang; Wang, Zhong] Yunfu Tradit Chinese Med Hosp, Guangzhou, Peoples R China</t>
  </si>
  <si>
    <t>Guangdong Pharmaceutical University; Guangdong Pharmaceutical University</t>
  </si>
  <si>
    <t>Bi, YG (corresponding author), Guangdong Pharmaceut Univ, Sch Pharm, Guangzhou 510006, Guangdong, Peoples R China.</t>
  </si>
  <si>
    <t>biyongguang2002@163.com</t>
  </si>
  <si>
    <t>Yunfu Traditional Chinese Medicine (Southern Medicine) Innovation Team Project, Guangdong Provincial Doctoral Workstation [KTP20200170]; Science and Technology Planning Project of Guangzhou Science and Technology Bureau [2020020101]; Yunfu City Science and Technology Plan Project [20231422]; Science and Technology Planning Project of Guangdong Science and Technology Department [GDOE [2019] A27]; Project of Traditional Chinese Medicine Bureau of Guangdong Province [2020B2005]; Zhongshan Social Welfare and basic research program [2021ZDZX4013]; Project of Guangdong Provincial Department of Education-special projects in key areas [2018014]; Heyuan City Science and Technology Plan Project [2020-216 (192)]; Guangdong MEPP Fund; [202102080365]</t>
  </si>
  <si>
    <t>Yunfu Traditional Chinese Medicine (Southern Medicine) Innovation Team Project, Guangdong Provincial Doctoral Workstation; Science and Technology Planning Project of Guangzhou Science and Technology Bureau; Yunfu City Science and Technology Plan Project; Science and Technology Planning Project of Guangdong Science and Technology Department; Project of Traditional Chinese Medicine Bureau of Guangdong Province; Zhongshan Social Welfare and basic research program; Project of Guangdong Provincial Department of Education-special projects in key areas; Heyuan City Science and Technology Plan Project; Guangdong MEPP Fund;</t>
  </si>
  <si>
    <t>This work is financially supported by Yunfu Traditional Chinese Medicine (Southern Medicine) Innovation Team Project, Guangdong Provincial Doctoral Workstation [No.2020-216 (192) ] , Science and Technology Planning Project of Guangzhou Science and Technology Bureau (No.202102080365) , Yunfu City Science and Technology Plan Project (No.2020020101) , Science and Technology Planning Project of Guangdong Science and Technology Department (No.KTP20200170) , Project of Traditional Chinese Medicine Bureau of Guangdong Province (No.20231422) , Zhongshan Social Welfare and basic research program (No.2020B2005) , Project of Guangdong Provincial Department of Education-special projects in key areas (No.2021ZDZX4013) , Heyuan City Science and Technology Plan Project (No.2018014) and Guangdong MEPP Fund (No.GDOE [2019] A27) .</t>
  </si>
  <si>
    <t>0045-2068</t>
  </si>
  <si>
    <t>1090-2120</t>
  </si>
  <si>
    <t>BIOORG CHEM</t>
  </si>
  <si>
    <t>Bioorganic Chem.</t>
  </si>
  <si>
    <t>10.1016/j.bioorg.2023.106884</t>
  </si>
  <si>
    <t>Biochemistry &amp; Molecular Biology; Chemistry, Organic</t>
  </si>
  <si>
    <t>U5SB8</t>
  </si>
  <si>
    <t>WOS:001085389900001</t>
  </si>
  <si>
    <t>Salvó, CS; Saez, LG; Arce, JC</t>
  </si>
  <si>
    <t>Salvo, Constanza S.; Saez, Ludmila Gomez; Arce, Julieta C.</t>
  </si>
  <si>
    <t>Multi-band SAR intercomparison study in the Antarctic Peninsula for sea ice and iceberg detection</t>
  </si>
  <si>
    <t>SAOCOM; L-band; Sentinel-1; C-band; COSMO-SkyMed; X-band; multifrequency analysis; operational monitoring</t>
  </si>
  <si>
    <t>SYNTHETIC-APERTURE RADAR; L-BAND SAR; X-BAND; CLASSIFICATION</t>
  </si>
  <si>
    <t>Synthetic aperture radar (SAR) systems are one of the best resources to gather information in polar environments, but the detection and monitoring of sea ice types and icebergs using them is still a challenge. Limitations using single-frequency images in sea ice characterization are well known, and using different SAR bands has been revealed to be useful. In this paper, we present the quantitative results of an intercomparison experiment conducted by the Argentine Naval Hydrographic Service (SHN) using X-, C-, and L-bands from COSMO-SkyMed, Sentinel-1, and SAOCOM satellites, respectively. The aim of the experiment was to evaluate SAOCOM for its use on SHN products. There were 25 images with different SAR parameters that were analyzed, incorporating the diversity in the information that everyday Ice Services attend to. Particularly, iceberg detections, fast first-year ice, and belts and strips were studied in the Antarctic Sound, the surroundings of Marambio Island, and Erebus and Terror Gulf. The results show that the HV polarization channel of the L-band provides useful information for iceberg detection and fast first-year ice surface feature recognition and is a promising frequency for the study of strip identification under windy sea conditions and snow accumulation on first-year ice.</t>
  </si>
  <si>
    <t>[Salvo, Constanza S.; Saez, Ludmila Gomez; Arce, Julieta C.] Serv Hidrog Naval, Dept Meteorol, Buenos Aires, Argentina</t>
  </si>
  <si>
    <t>Servicio de Hidrografia Naval</t>
  </si>
  <si>
    <t>Salvó, CS (corresponding author), Serv Hidrog Naval, Dept Meteorol, Buenos Aires, Argentina.</t>
  </si>
  <si>
    <t>csalvo@agro.uba.ar</t>
  </si>
  <si>
    <t>We would like to thank the World Meteorological Organization (WMO) for all the support that has been provided to the Argentine Hydrographic Service over the years, and for the financial support that has made this publication possible and open to the scient</t>
  </si>
  <si>
    <t>We would like to thank the World Meteorological Organization(WMO) for all the support that has been provided to the Argentine Hydrographic Service over the years, and for the financial support that has made this publication possible and open to the scientific community and operational usersr We would like to thank the World Meteorological Organization (WMO) for all the support that has been provided to the Argentine Hydrographic Service over the years, and for the financial support that has made this publication possible and open to the scientific community and operational users.</t>
  </si>
  <si>
    <t>10.3389/fmars.2023.1255425</t>
  </si>
  <si>
    <t>U0GV2</t>
  </si>
  <si>
    <t>WOS:001081685800001</t>
  </si>
  <si>
    <t>Molina-Montenegro, MA; Ballesteros, GI; Acuña-Rodríguez, IS; Pertierra, LR; Greve, M; Richardson, DM; Convey, P; Biersma, EM; Goodall-Copestake, WP; Newsham, KK</t>
  </si>
  <si>
    <t>Molina-Montenegro, Marco A.; Ballesteros, Gabriel I.; Acuna-Rodriguez, Ian S.; Pertierra, Luis R.; Greve, Michelle; Richardson, David M.; Convey, Peter; Biersma, Elisabeth M.; Goodall-Copestake, William P.; Newsham, Kevin K.</t>
  </si>
  <si>
    <t>The Trojan horse strategy: Seed fungal endophyte symbiosis helps to explain the invasion success of the grass, Poa annua, in Maritime Antarctica</t>
  </si>
  <si>
    <t>annual bluegrass (Poa annua); Antarctic hairgrass (Deschampsia antarctica); biological invasion; Cladosporium; King George Island; Maritime Antarctica; seed fungal endophytes; symbiosis</t>
  </si>
  <si>
    <t>CLIMATE-CHANGE SCENARIO; BIOLOGICAL INVASIONS; POSITIVE INTERACTIONS; ANNUAL BLUEGRASS; VASCULAR PLANTS; COMPETITION; EVOLUTION; STRESS; PENINSULA; RESPONSES</t>
  </si>
  <si>
    <t>Aim Poa annua L. (annual bluegrass) is presently the sole invasive vascular plant species to have successfully established in Maritime Antarctica, where it poses a significant conservation threat to native plant species. However, the reasons for its success in the region have yet to be established. Here, we determined whether the invasiveness of P. annua, and its competitiveness with the native Antarctic hairgrass Deschampsia antarctica, is influenced by symbioses formed with seed fungal endophytes, and whether plants derived from seeds from four global regions differ in their performance.Locations Four regions (Maritime Antarctica, sub-Antarctica, South America and Europe).Methods Endophyte frequency was measured in P. annua seeds collected from the four regions. The germination, survival, biomass accumulation, flowering and competitiveness with D. antarctica of P. annua plants grown from endophyte-uncolonised and uncolonised seeds was determined in the laboratory. The effects of endophytes on P. annua seed germination and survival and seedling osmoprotection were also assessed in the Maritime Antarctic natural environment using locally-sourced seeds.Results Endophytes were at least twice as frequent in seeds from Maritime Antarctica than in those from other regions. A higher proportion of endophyte-colonized seeds germinated and survived than did uncolonised seeds, but only when they originated from Maritime Antarctica. Seed endophytes increased the competitiveness of P. annua with D. antarctica, but only for plants grown from Maritime Antarctic seeds. In the field, endophyte-colonized seeds from Maritime Antarctica germinated and survived more frequently than uncolonised seeds, and osmoprotection was higher in seedlings grown from colonized seed.Main Conclusions The findings indicate beneficial effects of seed endophytes on invasion-related traits of P. annua, such as survival, germination success and flowering. Together with vegetative and reproductive traits facilitating the colonization process, the seed-fungal endophyte symbiosis can be invoked as an important factor explaining the invasiveness of P. annua in Maritime Antarctica.</t>
  </si>
  <si>
    <t>[Molina-Montenegro, Marco A.; Ballesteros, Gabriel I.; Acuna-Rodriguez, Ian S.] Univ Talca, Inst Ciencias Biol, Ctr Integrat Ecol CIE, Campus Talca, Talca, Chile; [Molina-Montenegro, Marco A.] Univ Catolica Maule, Ctr Invest Estudios Avanzados Maule CIEAM, Talca, Chile; [Ballesteros, Gabriel I.; Acuna-Rodriguez, Ian S.] Univ Talca, Inst Invest Interdisciplinaria I3, Talca, Chile; [Pertierra, Luis R.; Greve, Michelle] Univ Pretoria, Dept Plant &amp; Soil Sci, Pretoria, South Africa; [Pertierra, Luis R.; Convey, Peter] Stellenbosch Univ, Inst Milenio Biodivers Ecosistemas Antarticos &amp; Su, Santiago, Chile; [Richardson, David M.] Stellenbosch Univ, Ctr Invas Biol, Dept Bot &amp; Zool, Stellenbosch, South Africa; [Richardson, David M.] Czech Acad Sci, Inst Bot, Pruhonice, Czech Republic; [Convey, Peter; Biersma, Elisabeth M.; Goodall-Copestake, William P.; Newsham, Kevin K.] NERC, British Antarctic Survey, Cambridge, England; [Convey, Peter] Univ Johannesburg, Dept Zool, Auckland Pk, South Africa; [Biersma, Elisabeth M.] Univ Copenhagen, Nat Hist Museum Denmark, Copenhagen, Denmark; [Molina-Montenegro, Marco A.] Univ Talca, Avda Lircay s-n, Talca, Chile</t>
  </si>
  <si>
    <t>Universidad de Talca; Universidad Catolica del Maule; Universidad de Talca; University of Pretoria; Stellenbosch University; Czech Academy of Sciences; Institute of Botany of the Czech Academy of Sciences; UK Research &amp; Innovation (UKRI); Natural Environment Research Council (NERC); NERC British Antarctic Survey; University of Johannesburg; University of Copenhagen; Universidad de Talca</t>
  </si>
  <si>
    <t>Ballesteros, Gabriel/IAN-7082-2023; Pertierra, Luis R./K-3727-2017; Biersma, Elisabeth Machteld/JKI-1084-2023</t>
  </si>
  <si>
    <t>Ballesteros, Gabriel/0000-0002-3179-3168; Pertierra, Luis R./0000-0002-2232-428X; Biersma, Elisabeth Machteld/0000-0002-9877-2177; Goodall-Copestake, Will/0000-0003-3586-9091</t>
  </si>
  <si>
    <t>FONDECYT [1220710]; ANID ANILLO POLARIX [ACT192057]; NERC-CONICYT [NE/P003079/1 - PII20150126]; Univeridad de Talca [208/2022]; Fondos para Estadias de Investigacion en el Extranjero Convocatoria; Ministry of Education, Youth and Sports of the Czech Republic [CZ.02.2.69/0.0/0.0/18_053/0017850]; Czech Academy of Sciences [RVO 67985939]</t>
  </si>
  <si>
    <t>FONDECYT(Comision Nacional de Investigacion Cientifica y Tecnologica (CONICYT)CONICYT FONDECYT); ANID ANILLO POLARIX; NERC-CONICYT; Univeridad de Talca; Fondos para Estadias de Investigacion en el Extranjero Convocatoria; Ministry of Education, Youth and Sports of the Czech Republic(Ministry of Education, Youth &amp; Sports - Czech Republic); Czech Academy of Sciences(Czech Academy of Sciences)</t>
  </si>
  <si>
    <t>We thank Maria Jose Romero, Daniel Zunino and Krys Michalski for their assistance in the field and the laboratory. We also thank CEAZA staff for help with the biochemical and molecular analyses. We thank INACH and the staff of the Polish Arctowski Station for logistic support. This study was funded by project FONDECYT 1220710, grant ANID ANILLO POLARIX ACT192057 and a NERC-CONICYT award (NE/P003079/1 - PII20150126). MAM-M acknowledges support from Fondos para Estadias de Investigacion en el Extranjero Convocatoria 2022, R.U. 208/2022 from Univeridad de Talca. DMR acknowledges support from Mobility 2020 project no. CZ.02.2.69/0.0/0.0/18_053/0017850 (Ministry of Education, Youth and Sports of the Czech Republic) and long-term research development project RVO 67985939 (Czech Academy of Sciences).</t>
  </si>
  <si>
    <t>10.1111/ddi.13768</t>
  </si>
  <si>
    <t>AP8Y0</t>
  </si>
  <si>
    <t>WOS:001077695500001</t>
  </si>
  <si>
    <t>Hromádková, T; Pavel, V; Weidinger, K</t>
  </si>
  <si>
    <t>Hromadkova, Tereza; Pavel, Vaclav; Weidinger, Karel</t>
  </si>
  <si>
    <t>Incubation behaviour of Arctic (Sterna paradisaea) and Antarctic (Sterna vittata) terns under disturbance by humans and predators</t>
  </si>
  <si>
    <t>Antarctic Peninsula; Anthropogenic disturbance; Incubation behaviour; Incubation rhythm; Predator disturbance; Svalbard</t>
  </si>
  <si>
    <t>BREEDING SUCCESS; BIRDS; VIGILANCE; IMPACTS</t>
  </si>
  <si>
    <t>The activity of people increased worldwide and has become an important source of disturbance to nesting birds even in a pristine environment of the polar regions. In this study, we focused on the correlation between disturbances and incubation behaviour of two Sterna species. By video surveillance of nests on low-disturbance and high-disturbance sites we evaluated (i) whether the incubation behaviour of Arctic terns Sterna paradisaea in Svalbard differed between various levels of mostly anthropogenic (passing people) disturbances and (ii) whether the incubation behaviour of Antarctic terns Sterna vittata on the Antarctic Peninsula differed between various levels of mostly natural (predators) disturbances. We analysed whole-day continuous recordings (median length &gt; 24 h) of 72 nests from four study sites. Incubation behaviour at high-disturbance sites was characterized by lower nest attentiveness, shorter on-bouts, and recurrent interruptions, whilst off-bout length remained mostly unchanged. The total time spent sleeping and average sleep-bout length were shorter, whilst the frequency of visual inspection of the surroundings was higher at high-disturbance sites. In all, the responses of incubating terns to human disturbance did not exceed those induced by native predators. The behavioural responses, as measured by the direction and size of effects, were remarkably consistent for both species, representing the two polar regions with different natural predation risks as well as a different history of human impacts. Unless there are specific long-term costs associated with human disturbance that we cannot evaluate here, the coexistence of people and breeding terns might be sustainable even in the polar regions.</t>
  </si>
  <si>
    <t>[Hromadkova, Tereza] Univ South Bohemia, Fac Sci, Dept Zool, Branisovska 31a, Ceske Budejovice 37005, Czech Republic; [Hromadkova, Tereza; Pavel, Vaclav] Univ South Bohemia, Fac Sci, Ctr Polar Ecol, Branisovska 31a, Ceske Budejovice 37005, Czech Republic; [Pavel, Vaclav; Weidinger, Karel] Palacky Univ Olomouc, Fac Sci, Dept Zool, 17 Listopadu 50, Olomouc 77146, Czech Republic</t>
  </si>
  <si>
    <t>University of South Bohemia Ceske Budejovice; University of South Bohemia Ceske Budejovice; Palacky University Olomouc</t>
  </si>
  <si>
    <t>Hromádková, T (corresponding author), Univ South Bohemia, Fac Sci, Dept Zool, Branisovska 31a, Ceske Budejovice 37005, Czech Republic.;Hromádková, T (corresponding author), Univ South Bohemia, Fac Sci, Ctr Polar Ecol, Branisovska 31a, Ceske Budejovice 37005, Czech Republic.</t>
  </si>
  <si>
    <t>thromadkova@prf.jcu.cz; vaclav.pavel@upol.cz; karel.weidinger@upol.cz</t>
  </si>
  <si>
    <t>Hromadkova, Tereza/0000-0002-6360-0754</t>
  </si>
  <si>
    <t>Czech Geological Survey; Ministry of Education [MSM6198959212]; Ministry of Environment of the Czech Republic [1a9/23/07]; Ministry of Education, Youth and Sports of the Czech Republic [LM2010009]; Czech Geological Survey; Grant Agency of the University of South Bohemia (GAJU) [14/2022/P]; Ministry of Education; Ministry of Environment (VaVSPII) of the Czech Republic; Ministry of Education, Youth and Sports of the Czech Republic [MSM6198959212]; Grant Agency of the University of South Bohemia (GAJU) [1a9/23/07]</t>
  </si>
  <si>
    <t>Czech Geological Survey; Ministry of Education; Ministry of Environment of the Czech Republic; Ministry of Education, Youth and Sports of the Czech Republic(Ministry of Education, Youth &amp; Sports - Czech Republic); Czech Geological Survey; Grant Agency of the University of South Bohemia (GAJU); Ministry of Education; Ministry of Environment (VaVSPII) of the Czech Republic; Ministry of Education, Youth and Sports of the Czech Republic(Ministry of Education, Youth &amp; Sports - Czech Republic); Grant Agency of the University of South Bohemia (GAJU)</t>
  </si>
  <si>
    <t>The work in Antarctica was supported by the Czech Geological Survey and by grants from the Ministry of Education (MSM6198959212) and Ministry of Environment (VaVSPII 1a9/23/07) of the Czech Republic. The work in Svalbard was supported by the Ministry of Education, Youth and Sports of the Czech Republic (LM2010009), and by the Grant Agency of the University of South Bohemia (GAJU n. 14/2022/P). We would like to acknowledge the crew members of the Johann Gregor Mendel Station and the Czech Arctic Research Station for their support and accommodation during the field work and all who helped us with collecting data and as bear guards in Svalbard. We thank Petr Vesel &amp; yacute; for valuable comments.</t>
  </si>
  <si>
    <t>10.1007/s00300-023-03199-5</t>
  </si>
  <si>
    <t>WOS:001076523100001</t>
  </si>
  <si>
    <t>Bahlburg, D; Hueppe, L; Böhrer, T; Thorpe, SE; Murphy, EJ; Berger, U; Meyer, B</t>
  </si>
  <si>
    <t>Bahlburg, Dominik; Hueppe, Lukas; Boehrer, Thomas; Thorpe, Sally E.; Murphy, Eugene J.; Berger, Uta; Meyer, Bettina</t>
  </si>
  <si>
    <t>Plasticity and seasonality of the vertical migration behaviour of Antarctic krill using acoustic data from fishing vessels</t>
  </si>
  <si>
    <t>Antarctic krill; vertical migration behaviour; seasonal vertical migration</t>
  </si>
  <si>
    <t>EUPHAUSIA-SUPERBA; FEEDING-BEHAVIOR; ENERGY BUDGETS; CLIMATE-CHANGE; DIEL; ABUNDANCE; WINTER; AGGREGATION; PENINSULA; ECOSYSTEM</t>
  </si>
  <si>
    <t>Understanding the vertical migration behaviour of Antarctic krill is important for understanding spatial distribution, ecophysiology, trophic interactions and carbon fluxes of this Southern Ocean key species. In this study, we analysed an eight-month continuous dataset recorded with an ES80 echosounder on board a commercial krill fishing vessel in the southwest Atlantic sector of the Southern Ocean. Our analysis supports the existing hypothesis that krill swarms migrate into deeper waters during winter but also reveals a high degree of variability in vertical migration behaviour within seasons, even at small spatial scales. During summer, we found that behaviour associated with prolonged surface presence primarily occurred at low surface chlorophyll a concentrations whereas multiple ascent-descent cycles per day occurred when surface chlorophyll a concentrations were elevated. The high plasticity, with some krill swarms behaving differently in the same location at the same time, suggests that krill behaviour is not a purely environmentally driven process. Differences in life stage, physiology and type of predator are likely other important drivers. Finally, our study demonstrates new ways of using data from krill fishing vessels, and with the routine collection of additional information in potential future projects, they have great potential to significantly advance our understanding of krill ecology.</t>
  </si>
  <si>
    <t>[Bahlburg, Dominik; Berger, Uta] Tech Univ Dresden, Forstl Biometrie &amp; Systemanalyse, Pienner Str 8, D-01737 Dresden, Germany; [Bahlburg, Dominik] Helmholtz Ctr Environm Res Leipzig, Permoserstr 15, D-04318 Leipzig, Germany; [Hueppe, Lukas] Julius Maximilian Univ Wurzburg, Neurobiol &amp; Genet, Am Hubland, D-97074 Wurzburg, Germany; [Hueppe, Lukas; Meyer, Bettina] Alfred Wegener Inst Polar &amp; Marine Res, Am Handelshafen 12, D-27570 Bremerhaven, Germany; [Boehrer, Thomas] Friedrich Alexander Univ Erlangen Nurnberg, Schlosspl 4, D-91054 Erlangen, Germany; [Thorpe, Sally E.; Murphy, Eugene J.] British Antarctic Survey, Ecosyst, High Cross,Madingley Rd, Cambridge CB3 0ET, England; [Meyer, Bettina] Carl von Ossietzky Univ Oldenburg, Inst Chem &amp; Biol Marine Environm, Carl von Ossietzky Str 9-11, D-26111 Oldenburg, Germany; [Meyer, Bettina] Helmholtz Inst Funct Marine Biodivers, Ammerlander Heerstr 231, D-26129 Oldenburg, Germany</t>
  </si>
  <si>
    <t>Technische Universitat Dresden; University of Wurzburg; Helmholtz Association; Alfred Wegener Institute, Helmholtz Centre for Polar &amp; Marine Research; University of Erlangen Nuremberg; UK Research &amp; Innovation (UKRI); Natural Environment Research Council (NERC); NERC British Antarctic Survey; Carl von Ossietzky Universitat Oldenburg</t>
  </si>
  <si>
    <t>Bahlburg, D (corresponding author), Tech Univ Dresden, Forstl Biometrie &amp; Systemanalyse, Pienner Str 8, D-01737 Dresden, Germany.;Bahlburg, D (corresponding author), Helmholtz Ctr Environm Res Leipzig, Permoserstr 15, D-04318 Leipzig, Germany.</t>
  </si>
  <si>
    <t>dominik.bahlburg@tu-dresden.de</t>
  </si>
  <si>
    <t>Thorpe, Sally/0000-0002-5193-6955; Bahlburg, Dominik/0000-0003-0210-0649</t>
  </si>
  <si>
    <t>We thank Aker Biomarine for the provision of the screenshots.</t>
  </si>
  <si>
    <t>10.1098/rsos.230520</t>
  </si>
  <si>
    <t>S9ML9</t>
  </si>
  <si>
    <t>Green Accepted, Green Published, gold</t>
  </si>
  <si>
    <t>WOS:001074333300004</t>
  </si>
  <si>
    <t>Alexander, SP; Protat, A; Berne, A; Ackermann, L</t>
  </si>
  <si>
    <t>Alexander, S. P.; Protat, A.; Berne, A.; Ackermann, L.</t>
  </si>
  <si>
    <t>Radar-Derived Snowfall Microphysical Properties at Davis, Antarctica</t>
  </si>
  <si>
    <t>Antarctic snowfall; micro rain radar; Fohn winds; cloud radar</t>
  </si>
  <si>
    <t>VERTICAL STRUCTURE; LIQUID WATER; PRECIPITATION; CLOUD; SIMULATIONS; DISDROMETER; SATELLITE; SURFACE; GROWTH; LAND</t>
  </si>
  <si>
    <t>Antarctic precipitation remains poorly characterized and understood, especially within the boundary layer. This is due in part to a still-limited amount of surface-based remote sensing observations. A suite of cloud and precipitation remote-sensing instruments including a W-band cloud radar and a K-band Micro Rain Radar (MRR) were used to characterize snowfall over Davis (69 degrees S, 78 degrees E). Surface snowfall events occurred when boundary layer wind speeds were weaker, temperatures were warmer, and relative humidity over ice higher than when virga were present. The presence of virga is associated with Fohn winds due to the location of Davis in the lee of an ice ridgeline. Dual wavelength ratio values from the summer indicate particle aggregation at temperatures of -14 degrees to -10 degrees C, consistent with observations made elsewhere, including in the Arctic. Riming frequency increases for temperatures above -10 degrees C and reaches 6.5% at -3 degrees C. No temperature dependence of rime mass fraction was found. Sublimation of snowfall mass aloft was 50% between the snow peak at 1.2 km and 205 m altitude, which occurs within CloudSat's blind zone. Given the common prevailing wind direction and numerous ice ridgelines along much of the East Antarctic coastline, these Davis results can be used as a basis to further understand snowfall across the Antarctic region.</t>
  </si>
  <si>
    <t>[Alexander, S. P.] Australian Antarctic Div, Kingston, Tas, Australia; [Alexander, S. P.; Protat, A.] Univ Tasmania, Inst Marine &amp; Antarctic Studies, Australian Antarctic Program Partnership, Hobart, Tas, Australia; [Protat, A.; Ackermann, L.] Bur Meteorol, Melbourne, Vic, Australia; [Berne, A.] Ecole Polytech Fed Lausanne EPFL, Environm Remote Sensing Lab LTE, Lausanne, Switzerland</t>
  </si>
  <si>
    <t>Australian Antarctic Division; University of Tasmania; Bureau of Meteorology - Australia; Swiss Federal Institutes of Technology Domain; Ecole Polytechnique Federale de Lausanne</t>
  </si>
  <si>
    <t>Alexander, SP (corresponding author), Australian Antarctic Div, Kingston, Tas, Australia.;Alexander, SP (corresponding author), Univ Tasmania, Inst Marine &amp; Antarctic Studies, Australian Antarctic Program Partnership, Hobart, Tas, Australia.</t>
  </si>
  <si>
    <t>simon.alexander@aad.gov.au</t>
  </si>
  <si>
    <t>Ackermann, Lutz/C-8117-2014</t>
  </si>
  <si>
    <t>Ackermann, Lutz/0000-0001-7034-8772</t>
  </si>
  <si>
    <t>Australian Antarctic Division through Australian Antarctic Science Projects [4292, 4387]</t>
  </si>
  <si>
    <t>Australian Antarctic Division through Australian Antarctic Science Projects</t>
  </si>
  <si>
    <t>Deployment of the instrumentation to Davis, and the contribution of S.P. Alexander to this project, was supported by the Australian Antarctic Division through Australian Antarctic Science Projects 4292 and 4387. The authors thank Ken Barrett, Chris Young, Derryn Harvie, Mike Hyde, Andrew Klekociuk and Angus Davis for their assistance in preparation, installation and commissioning of the instruments at Davis. This project contributes to the Antarctic Science Collaboration Initiative programme.</t>
  </si>
  <si>
    <t>e2022JD038389</t>
  </si>
  <si>
    <t>10.1029/2022JD038389</t>
  </si>
  <si>
    <t>R9VU1</t>
  </si>
  <si>
    <t>WOS:001067762600001</t>
  </si>
  <si>
    <t>Leo, P; Onofri, S; Zucconi, L; Selbmann, L; Turchetti, B; Buzzini, P; Chander, AM; Simpson, A; Singh, N; Vellone, D; Tighe, S; Venkateswaran, K</t>
  </si>
  <si>
    <t>Leo, Patrick; Onofri, Silvano; Zucconi, Laura; Selbmann, Laura; Turchetti, Benedetta; Buzzini, Pietro; Chander, Atul M.; Simpson, Anna; Singh, Nitin; Vellone, Daniel; Tighe, Scott; Venkateswaran, Kasthuri</t>
  </si>
  <si>
    <t>Draft genome sequencing of Naganishia species isolated from the polar environments</t>
  </si>
  <si>
    <t>Nanopore; psychrophiles; yeasts</t>
  </si>
  <si>
    <t>CRYPTOCOCCUS-FRIEDMANNII; GENE IDENTIFICATION; SP-NOV; DATABASE; TOOLS</t>
  </si>
  <si>
    <t>The draft genomes of five Naganishia strains were sequenced using MinION and annotated using Funannotate pipeline. Phylogenetic and genomic analyses were performed to provide their genetic relationships, diversity, and potential functional capabilities. This approach will aid in understanding their potential to survive under microgravity and their resilience to extreme environments.</t>
  </si>
  <si>
    <t>[Leo, Patrick; Chander, Atul M.; Simpson, Anna; Singh, Nitin; Venkateswaran, Kasthuri] CALTECH, NASA, Jet Prop Lab, Biotechnol &amp; Planetary Protect Grp, Pasadena, CA 91109 USA; [Leo, Patrick] Univ Ca Foscari Venice, Dept Environm Sci Informat &amp; Stat, Venice, Italy; [Leo, Patrick; Onofri, Silvano; Zucconi, Laura; Selbmann, Laura] Univ Tuscia, Dept Ecol &amp; Biol Sci, Largo Univ Snc, Viterbo, Italy; [Zucconi, Laura] Natl Res Council Italy CNR ISP, Inst Polar Sci, Messina, Italy; [Selbmann, Laura] Italian Natl Antarctic Museum MNA, Mycol Sect, Genoa, Italy; [Turchetti, Benedetta; Buzzini, Pietro] Univ Perugia, Dept Agr Food &amp; Environm Sci &amp; Ind Yeasts Collect, Perugia, Italy; [Vellone, Daniel; Tighe, Scott] Univ Vermont, Canc Ctr, Vermont Integrat Genom Lab, Hlth Sci Res Facil, Burlington, VT USA</t>
  </si>
  <si>
    <t>California Institute of Technology; National Aeronautics &amp; Space Administration (NASA); NASA Jet Propulsion Laboratory (JPL); Universita Ca Foscari Venezia; Tuscia University; University of Perugia; University of Vermont</t>
  </si>
  <si>
    <t>Venkateswaran, K (corresponding author), CALTECH, NASA, Jet Prop Lab, Biotechnol &amp; Planetary Protect Grp, Pasadena, CA 91109 USA.</t>
  </si>
  <si>
    <t>kjvenkat@jpl.nasa.gov</t>
  </si>
  <si>
    <t>Selbmann, Laura/L-3056-2013; Zucconi, L./U-9781-2018; CHANDER, ATUL/I-7520-2019</t>
  </si>
  <si>
    <t>Selbmann, Laura/0000-0002-8967-3329; Zucconi, L./0000-0001-9793-2303; CHANDER, ATUL/0000-0001-9582-6638; Leo, Patrick/0000-0002-3422-4833</t>
  </si>
  <si>
    <t>The research described in this manuscript was performed at the Jet Propulsion Laboratory, California Institute of Technology, under a contract with NASA and the University of Southern California. P.L., S.O., L.Z., and L.S. acknowledge the Italian National; NASA; University of Southern California [NNH18ZDA001N-PPR, 18-PPR18-0011]; Italian National Program for Antarctic Researches (PNRA)</t>
  </si>
  <si>
    <t>The research described in this manuscript was performed at the Jet Propulsion Laboratory, California Institute of Technology, under a contract with NASA and the University of Southern California. P.L., S.O., L.Z., and L.S. acknowledge the Italian National; NASA(National Aeronautics &amp; Space Administration (NASA)); University of Southern California; Italian National Program for Antarctic Researches (PNRA)</t>
  </si>
  <si>
    <t>The Italian Antarctic National Museum (MNA) is acknowledged for financial support to the Mycological Section of the MNA for providing the strains sequenced in this study and stored in the Culture Collection of Fungi from Extreme Environments (CCFEE), University of Tuscia, Italy. P.L. acknowledges the Industrial Yeasts Collection DBVPG of the Department of Agricultural, Food and Environmental Sciences of the University of Perugia, Italy, for providing one of the strains sequenced in this study. The Italian National Program of Antarctic Researches (PNRA) is acknowledged for funding the PhD grant supporting P.L.r The research described in this manuscript was performed at the Jet Propulsion Laboratory, California Institute of Technology, under a contract with NASA and the University of Southern California. P.L., S.O., L.Z., and L.S. acknowledge the Italian National Program for Antarctic Researches (PNRA) for funding sampling campaigns and the research activities in Italy. Sequencing costs were supported through the NNH18ZDA001N-PPR award 18-PPR18-0011 to K.V. Nanopore sequencing has been performed at Vermont Integrative Genomics Lab, University of Vermont Cancer Center, Health Science Research Facility. 2023 California Institute of Technology. Government sponsorship is acknowledged.</t>
  </si>
  <si>
    <t>e0038823</t>
  </si>
  <si>
    <t>10.1128/MRA.00388-23</t>
  </si>
  <si>
    <t>S8TD5</t>
  </si>
  <si>
    <t>WOS:001073829000001</t>
  </si>
  <si>
    <t>Zhang, Z; Huang, CJ; Kemp, DB; Xu, YQ; Cao, MM; Wang, ZX</t>
  </si>
  <si>
    <t>Zhang, Ze; Huang, Chunju; Kemp, David B.; Xu, Yuqi; Cao, Mengmeng; Wang, Zhixiang</t>
  </si>
  <si>
    <t>Low-Latitude Forcing and High-Latitude Response of the South Asian Summer Monsoon Through the Pliocene</t>
  </si>
  <si>
    <t>South Asian summer monsoon; orbital-scale; polar ice sheet; low-latitude solar radiation; Pliocene hydroclimate</t>
  </si>
  <si>
    <t>LAST 2 MILLENNIA; LATE PLEISTOCENE; TIBETAN PLATEAU; CLIMATE; RECORD; PACIFIC; VARIABILITY; HOLOCENE; CIRCULATION; MECHANISMS</t>
  </si>
  <si>
    <t>Precipitation carried by the Asian summer monsoon influences the livelihoods of millions of people, and there has been a great deal of work trying to reveal the driving mechanisms behind past changes. Compared to the widely studied East Asian summer monsoon, the behavior of the South Asian summer monsoon (SASM) in the Pliocene is still not well known. Here, we present new high-resolution geochemical (Rb/Sr and Ti) data from the lacustrine Yuanmou Basin (Southwest China) spanning the Pliocene to early Pleistocene (4.30-2.0 Ma) that permit detailed analysis of hydroclimate changes related to orbital-scale SASM variability. We find a clear weakening of the SASM at 2.9-2.75 Ma, which may be related to warming in the high-latitude southern hemisphere and a weakening of atmospheric circulation at low latitudes over the Indian Ocean. Our results highlight that 405- and 100-Kyr eccentricity forcing had a dominant role in driving climate change in the Yuanmou Basin during the Pliocene to early Pleistocene. Based on analysis of our data from the Yuanmou Basin, coupled with marine data from the Arabian Sea, we suggest that orbital-scale SASM variability during the Pliocene was mainly controlled by changes in low-latitude insolation. In addition, oscillations of the West Antarctic ice sheet after &amp; SIM;3.5 Ma also significantly influenced the evolution of the SASM on orbital time scales. Orbital-scale South Asian summer monsoon (SASM) variability remains largely unknown in the pre-Quaternary due to a paucity of high temporal resolution marine and terrestrial records describing the evolution of the SASM. Here, we present a new high-resolution record of climate from lake sediments spanning the mid-Pliocene to early Pleistocene. We show that the evolution of the SASM at 4.30-2.0 Ma is mainly controlled by low-latitude solar radiation changes controlled by cyclic changes in Earth's eccentricity. Combining previous marine and continental records, we find a significant weakening of the SASM at 2.9-2.75 Ma, which may be due to a weakening of the trans-equatorial pressure gradient caused by anomalous warming at high latitudes in the southern hemisphere. At the same time, a weakening of atmospheric circulation over the Indian Ocean may also have been responsible for the weakening of the SASM during this period. Orbital-scale South Asian monsoon evolution in the Pliocene was mainly influenced by low-latitude insolationOscillations of the West Antarctic ice sheet after &amp; SIM;3.5 Ma also influenced evolution of South Asian summer monsoon (SASM) on orbital time scalesCombined low- and high-latitude processes caused weakening of the SASM at 2.9-2.75 Ma</t>
  </si>
  <si>
    <t>[Zhang, Ze; Huang, Chunju; Kemp, David B.; Xu, Yuqi; Cao, Mengmeng] China Univ Geosci, Sch Earth Sci, State Key Lab Biogeol &amp; Environm Geol, Hubei Key Lab Crit Zone Evolut, Wuhan, Peoples R China; [Wang, Zhixiang] Chinese Acad Sci, Qinghai Inst Salt Lakes, Qinghai Prov Key Lab Geol &amp; Environm Salt Lakes, Xining, Peoples R China</t>
  </si>
  <si>
    <t>China University of Geosciences; Chinese Academy of Sciences; Qinghai Institute of Salt Lakes, CAS</t>
  </si>
  <si>
    <t>Huang, CJ (corresponding author), China Univ Geosci, Sch Earth Sci, State Key Lab Biogeol &amp; Environm Geol, Hubei Key Lab Crit Zone Evolut, Wuhan, Peoples R China.;Wang, ZX (corresponding author), Chinese Acad Sci, Qinghai Inst Salt Lakes, Qinghai Prov Key Lab Geol &amp; Environm Salt Lakes, Xining, Peoples R China.</t>
  </si>
  <si>
    <t>huangcj@cug.edu.cn; wangzhi8905@126.com</t>
  </si>
  <si>
    <t>National Natural Science Foundation of China [42230208, 42172039, 42272033]; Taishan Scholars Program of Shandong [tsqn201812102]</t>
  </si>
  <si>
    <t>National Natural Science Foundation of China(National Natural Science Foundation of China (NSFC)); Taishan Scholars Program of Shandong</t>
  </si>
  <si>
    <t>This work was supported by the National Natural Science Foundation of China (No. 42230208; 42172039; 42272033) and the Taishan Scholars Program of Shandong (tsqn201812102).</t>
  </si>
  <si>
    <t>e2023JD039057</t>
  </si>
  <si>
    <t>10.1029/2023JD039057</t>
  </si>
  <si>
    <t>R7SU2</t>
  </si>
  <si>
    <t>WOS:001066325000001</t>
  </si>
  <si>
    <t>Esquivel-Garrote, O; Muxagata, E</t>
  </si>
  <si>
    <t>Esquivel-Garrote, Octavio; Muxagata, Erik</t>
  </si>
  <si>
    <t>Composition patterns of surface mesozooplankton in the zonal fronts of Drake Passage</t>
  </si>
  <si>
    <t>JOURNAL OF PLANKTON RESEARCH</t>
  </si>
  <si>
    <t>assemblages; Antarctic; zooplankton; environmental; variables</t>
  </si>
  <si>
    <t>CONTINUOUS PLANKTON RECORDER; ZOOPLANKTON DISTRIBUTION PATTERNS; SOUTHERN-OCEAN FRONTS; ANTARCTIC POLAR FRONT; COMMUNITY STRUCTURE; AUSTRAL SUMMER; LIFE-CYCLES; CENTROPAGES-BRACHIATUS; SEASONAL VARIABILITY; COPEPOD DISTRIBUTION</t>
  </si>
  <si>
    <t>Zooplankton is the main food source for higher trophic levels in marine environments. In the Southern Ocean, the distribution of zooplankton is related to the physical gradient of the Antarctic Circumpolar Current (ACC) fronts. Our objective was to determinate the distribution of mesozooplankton in relation to the ACC fronts in the Drake Passage. Samples were collected with the Continuous Plankton Recorder in two transects. Mesozooplankton was associated with environmental variables. High mesozooplankton abundances were recorded in the Subantarctic Front in 2017 and in the Antarctic Zone in 2016. A total of 81 taxa and 23 species in 2016 and 31 in 2017 were identified. Copepoda was the most abundant group (89%), and Centropages brachiatus (3 872 ind. m-3) and Oithona spp. (2 916 ind. m-3) were the most abundant copepod taxa. Mesozooplankton abundance and composition were influenced by front variability. Taxa were contracted northward on 2016 and displaced southward in 2017 and linked to chlorophyll a (Chl a) values recorded in the coastal shelf of South America. Chl a values registered close to Antarctic Peninsula were not linked to mesozooplankton abundance. Changes in abundances of certain taxa may reflect distinct climate events. These changes may impact the availability of prey for higher trophic levels, either through displacement for food or food availability.</t>
  </si>
  <si>
    <t>[Esquivel-Garrote, Octavio; Muxagata, Erik] Univ Fed Rio Grande FURG, Lab Zooplancton, Inst Oceanog, Av Italia Km 8,Campus Carreiros,POB 474, BR-96200000 Rio Grande, Brazil; [Esquivel-Garrote, Octavio] Univ Fed Rio Grande FURG, Programa Pos Grad Oceanografia Biol PPGOB, Av Italia Km 8,Campus Carreiros,POB 474, BR-96200000 Rio Grande, Brazil</t>
  </si>
  <si>
    <t>Universidade Federal do Rio Grande; Universidade Federal do Rio Grande</t>
  </si>
  <si>
    <t>Esquivel-Garrote, O (corresponding author), Univ Fed Rio Grande FURG, Lab Zooplancton, Inst Oceanog, Av Italia Km 8,Campus Carreiros,POB 474, BR-96200000 Rio Grande, Brazil.;Esquivel-Garrote, O (corresponding author), Univ Fed Rio Grande FURG, Programa Pos Grad Oceanografia Biol PPGOB, Av Italia Km 8,Campus Carreiros,POB 474, BR-96200000 Rio Grande, Brazil.</t>
  </si>
  <si>
    <t>octageo@gmail.com; e.muxagata@gmail.com</t>
  </si>
  <si>
    <t>Muxagata, Erik/M-6563-2015</t>
  </si>
  <si>
    <t>Muxagata, Erik/0000-0002-4210-5252</t>
  </si>
  <si>
    <t>We would like to acknowledge the Brazilian Antarctic Program of the Brazilian Navy for the logistics, facilities and support during sampling; Vanessa Agostini and Claus Inck for deploying and retrieving the CPR and Dra. Profa. Fernanda Giannini for the hel; Brazilian High Latitude Oceanography Group (GOAL) activities in the Brazilian Antarctic Program (PROANTAR)</t>
  </si>
  <si>
    <t>We would like to acknowledge the Brazilian Antarctic Program of the Brazilian Navy for the logistics, facilities and support during sampling; Vanessa Agostini and Claus Inck for deploying and retrieving the CPR and Dra. Profa. Fernanda Giannini for the help with the Chl a satellite data analysis; and the anonymous reviewers for comments and corrections made to improve the manuscript. This is a multidisciplinary study as part of the Brazilian High Latitude Oceanography Group (GOAL) activities in the Brazilian Antarctic Program (PROANTAR).</t>
  </si>
  <si>
    <t>0142-7873</t>
  </si>
  <si>
    <t>1464-3774</t>
  </si>
  <si>
    <t>J PLANKTON RES</t>
  </si>
  <si>
    <t>J. Plankton Res.</t>
  </si>
  <si>
    <t>10.1093/plankt/fbad040</t>
  </si>
  <si>
    <t>AC5B8</t>
  </si>
  <si>
    <t>WOS:001072777400001</t>
  </si>
  <si>
    <t>Andrew, SM; Moreno, CM; Plumb, K; Hassanzadeh, B; Gomez-Consarnau, L; Smith, SN; Schofield, O; Yoshizawa, S; Fujiwara, T; Sunda, WG; Hopkinson, BM; Septer, AN; Marchetti, A</t>
  </si>
  <si>
    <t>Andrew, Sarah M.; Moreno, Carly M.; Plumb, Kaylie; Hassanzadeh, Babak; Gomez-Consarnau, Laura; Smith, Stephanie N.; Schofield, Oscar; Yoshizawa, Susumu; Fujiwara, Takayoshi; Sunda, William G.; Hopkinson, Brian M.; Septer, Alecia N.; Marchetti, Adrian</t>
  </si>
  <si>
    <t>Widespread use of proton- pumping rhodopsin in Antarctic phytoplankton</t>
  </si>
  <si>
    <t>proton-pumping rhodopsin; high-light; iron; Southern Ocean; retinal</t>
  </si>
  <si>
    <t>IRON; PROTEIN; CARBON; PROTEORHODOPSINS; TEMPERATURE; PHOTOTROPHY; LIMITATION; GROWTH; ENERGY</t>
  </si>
  <si>
    <t>Photosynthetic carbon (C) fixation by phytoplankton in the Southern Ocean (SO) plays a critical role in regulating air-sea exchange of carbon dioxide and thus global climate. In the SO, photosynthesis (PS) is often constrained by low iron, low temperatures, and low but highly variable light intensities. Recently, proton- pumping rhodopsins (PPRs) were identified in marine phytoplankton, providing an alternate iron -free, light- driven source of cellular energy. These proteins pump protons across cellular membranes through light absorption by the chromophore retinal, and the resulting pH energy gradient can then be used for active membrane transport or for synthesis of adenosine triphosphate. Here, we show that PPR is pervasive in Antarctic phytoplankton, especially in iron- limited regions. In a model SO diatom, we found that it was localized to the vacuolar membrane, making the vacuole a putative alternative phototrophic organelle for light- driven production of cellular energy. Unlike photosynthetic C fixation, which decreases substantially at colder temperatures, the proton transport activity of PPR was unaffected by decreasing temperature. Cellular PPR levels in cultured SO diatoms increased with decreasing iron concentrations and energy production from PPR photochemistry could substantially augment that of PS, especially under high light intensities, where PS is often photoinhibited. PPR gene expression and high retinal concentrations in phytoplankton in SO waters support its widespread use in polar environments. PPRs are an important adaptation of SO phytoplankton to growth and survival in their cold, iron- limited, and variable light environment.</t>
  </si>
  <si>
    <t>[Moreno, Carly M.] New York Univ Abu Dhabi, Biol Program, Marine Microbial Ecol Lab, Abu Dhabi 129188, U Arab Emirates; [Andrew, Sarah M.; Moreno, Carly M.; Smith, Stephanie N.; Sunda, William G.; Septer, Alecia N.; Marchetti, Adrian] Univ North Carolina Chapel Hill, Dept Earth Marine &amp; Environm Sci, Chapel Hill, NC 27599 USA; [Plumb, Kaylie; Hopkinson, Brian M.] Univ Georgia, Dept Marine Sci, Athens, GA 30602 USA; [Hassanzadeh, Babak; Gomez-Consarnau, Laura] Univ Southern Calif, Dept Biol Sci, Los Angeles, CA 90089 USA; [Gomez-Consarnau, Laura] Ctr Invest Cient &amp; Educ Super Ensenada, Dept Oceanog Biol, Ensenada 22860, Baja California, Mexico; [Schofield, Oscar] Rutgers State Univ, Dept Marine &amp; Coastal Sci, New Brunswick, NJ 08901 USA; [Yoshizawa, Susumu; Fujiwara, Takayoshi] Univ Tokyo, Atmosphere &amp; Ocean Res Inst, Chiba 2778564, Japan</t>
  </si>
  <si>
    <t>New York University Abu Dhabi; University of North Carolina School of Medicine; University of North Carolina; University of North Carolina Chapel Hill; University System of Georgia; University of Georgia; University of Southern California; CICESE - Centro de Investigacion Cientifica y de Educacion Superior de Ensenada; Rutgers University System; Rutgers University New Brunswick; University of Tokyo</t>
  </si>
  <si>
    <t>Marchetti, A (corresponding author), Univ North Carolina Chapel Hill, Dept Earth Marine &amp; Environm Sci, Chapel Hill, NC 27599 USA.</t>
  </si>
  <si>
    <t>amarchetti@unc.edu</t>
  </si>
  <si>
    <t>; Schofield, Oscar/H-4169-2018</t>
  </si>
  <si>
    <t>Plumb, Kaylie/0000-0001-6071-0547; Smith, Steph/0000-0002-3709-4464; Schofield, Oscar/0000-0003-2359-4131</t>
  </si>
  <si>
    <t>NSF [OPP1745036, OPP1744760, PLR1440435]</t>
  </si>
  <si>
    <t>NSF(National Science Foundation (NSF))</t>
  </si>
  <si>
    <t>ACKNOWLEDGMENTS. We thank M. Meyer, E. Speciale, and P. Lim for assistance with figure construction and sequence submissions and O. Torano for assistance with energy flux experiments. We are grateful to the captain and crew of theARSV Lawrence M. Gould as well as the participants of the Pal-LTER 2018 cruise for assistance with collection of the WAP data. Portions of the paper were developed from the thesis of C.M.M. This work was funded by the NSF Grants OPP1745036 (to A.N.S. and A.M.) , OPP1744760 (to B.M.H.) , and PLR1440435 (to O.S.) .</t>
  </si>
  <si>
    <t>SEP 26</t>
  </si>
  <si>
    <t>e2307638120</t>
  </si>
  <si>
    <t>10.1073/pnas.2307638120</t>
  </si>
  <si>
    <t>IY2H2</t>
  </si>
  <si>
    <t>WOS:001169830700009</t>
  </si>
  <si>
    <t>Su, BJ; Bi, XH; Zhang, Z; Liang, Y; Song, CB; Wang, T; Hu, YH; Li, L; Zhou, Z; Yan, JP; Wang, XM; Zhang, GH</t>
  </si>
  <si>
    <t>Su, Bojiang; Bi, Xinhui; Zhang, Zhou; Liang, Yue; Song, Congbo; Wang, Tao; Hu, Yaohao; Li, Lei; Zhou, Zhen; Yan, Jinpei; Wang, Xinming; Zhang, Guohua</t>
  </si>
  <si>
    <t>Enrichment of calcium in sea spray aerosol: insights from bulk measurements and individual particle analysis during the R/V Xuelong cruise in the summertime in Ross Sea, Antarctica</t>
  </si>
  <si>
    <t>MASS-SPECTROMETRY; GEL PHASE; ICE; OCEAN; SURFACE; METAL; POLYSACCHARIDES; ATMOSPHERE; GASES; IONS</t>
  </si>
  <si>
    <t>Although calcium is known to be enriched in sea spray aerosols (SSAs), the factors that affect its enrichment remain ambiguous. In this study, we examine how environmental factors affect the distribution of water-soluble calcium (Ca2+) distribution in SSAs. We obtained our dataset from observations taken during the R/V Xuelong research cruise in the Ross Sea, Antarctica, from December 2017 to February 2018. Our observations showed that the enrichment of Ca2+ in aerosol samples was enhanced under specific conditions, including lower temperatures (&lt;-3.5degree celsius), lower wind speeds (&lt;7 m s(-1)), and the presence of sea ice. Our analysis of individual particle mass spectra revealed that a significant portion of calcium in SSAs was likely bound with organic matter (in the form of a single-particle type, OC-Ca, internally mixed organics with calcium). Our findings suggest that current estimations of Ca2+ enrichment based solely on water-soluble Ca2+ may be inaccurate. Our study is the first to observe a single-particle type dominated by calcium in the Antarctic atmosphere. Our findings suggest that future Antarctic atmospheric modeling should take into account the environmental behavior of individual OC-Ca particles. With the ongoing global warming and retreat of sea ice, it is essential to understand the mechanisms of calcium enrichment and the mixing state of individual particles to better comprehend the interactions between aerosols, clouds, and climate during the Antarctic summer.</t>
  </si>
  <si>
    <t>[Su, Bojiang; Bi, Xinhui; Wang, Tao; Hu, Yaohao; Wang, Xinming; Zhang, Guohua] Chinese Acad Sci, State Key Lab Organ Geochem, Guangzhou Inst Geochem, Guangzhou 510640, Peoples R China; [Su, Bojiang; Bi, Xinhui; Wang, Tao; Hu, Yaohao; Wang, Xinming; Zhang, Guohua] Chinese Acad Sci, Guangzhou Inst Geochem, Guangdong Prov Key Lab Environm Protect &amp; Resource, Guangzhou 510640, Peoples R China; [Su, Bojiang; Zhang, Zhou; Wang, Tao; Hu, Yaohao] Univ Chinese Acad Sci, Beijing 100049, Peoples R China; [Bi, Xinhui; Wang, Xinming; Zhang, Guohua] Guangdong Hong Kong Macao Joint Lab Environm Pollu, Guangzhou 510640, Peoples R China; [Zhang, Zhou] Chinese Acad Sci, State Key Lab Isotope Geochem, Guangzhou Inst Geochem, Guangzhou 510640, Peoples R China; [Liang, Yue] Univ Macau, Fac Sci &amp; Technol, Dept Civil &amp; Environm Engn, Taipa, Macao, Peoples R China; [Song, Congbo] Univ Manchester, Natl Ctr Atmospher Sci NCAS, Manchester M13 9PL, England; [Li, Lei; Zhou, Zhen] Jinan Univ, Inst Mass Spectrometry &amp; Atmospher Environm, Guangzhou 510632, Peoples R China; [Yan, Jinpei] Minist Nat Resources, Inst Oceanog 3, Key Lab Global Change &amp; Marine Atmospher Chem, Xiamen 361005, Peoples R China</t>
  </si>
  <si>
    <t>Chinese Academy of Sciences; Guangzhou Institute of Geochemistry, CAS; Chinese Academy of Sciences; Guangzhou Institute of Geochemistry, CAS; Chinese Academy of Sciences; University of Chinese Academy of Sciences, CAS; Chinese Academy of Sciences; Guangzhou Institute of Geochemistry, CAS; University of Macau; University of Manchester; Jinan University; Third Institute of Oceanography, Ministry of Natural Resources; Ministry of Natural Resources of the People's Republic of China</t>
  </si>
  <si>
    <t>Zhang, GH (corresponding author), Chinese Acad Sci, State Key Lab Organ Geochem, Guangzhou Inst Geochem, Guangzhou 510640, Peoples R China.;Zhang, GH (corresponding author), Chinese Acad Sci, Guangzhou Inst Geochem, Guangdong Prov Key Lab Environm Protect &amp; Resource, Guangzhou 510640, Peoples R China.;Zhang, GH (corresponding author), Guangdong Hong Kong Macao Joint Lab Environm Pollu, Guangzhou 510640, Peoples R China.;Li, L (corresponding author), Jinan Univ, Inst Mass Spectrometry &amp; Atmospher Environm, Guangzhou 510632, Peoples R China.</t>
  </si>
  <si>
    <t>lileishdx@163.com; zhanggh@gig.ac.cn</t>
  </si>
  <si>
    <t>Zhang, Guohua/GMX-4312-2022; Wang, Xinming/A-7388-2014; Song, Congbo/AAE-8183-2019; zhang, zhou/IZD-4753-2023</t>
  </si>
  <si>
    <t>Zhang, Guohua/0000-0002-6153-0748; Wang, Xinming/0000-0002-1982-0928; Song, Congbo/0000-0001-7948-4834; zhang, zhou/0000-0002-0002-3398; Su, Bojiang/0000-0001-5305-5812; Yan, Jin Pei/0000-0002-1273-9422</t>
  </si>
  <si>
    <t>Natural Science Foundation of Guangdong Province</t>
  </si>
  <si>
    <t>Natural Science Foundation of Guangdong Province(National Natural Science Foundation of Guangdong Province)</t>
  </si>
  <si>
    <t>We appreciate the Chinese Arctic and Antarctic Administration for its support in fieldwork. The authors would like to thank the editor and reviewers for their valuable time and feedback.</t>
  </si>
  <si>
    <t>10.5194/acp-23-10697-2023</t>
  </si>
  <si>
    <t>HV9T1</t>
  </si>
  <si>
    <t>WOS:001162407900001</t>
  </si>
  <si>
    <t>Freer, BID; Marsh, OJ; Hogg, AE; Fricker, HA; Padman, L</t>
  </si>
  <si>
    <t>Freer, Bryony I. D.; Marsh, Oliver J.; Hogg, Anna E.; Fricker, Helen Amanda; Padman, Laurie</t>
  </si>
  <si>
    <t>Modes of Antarctic tidal grounding line migration revealed by Ice, Cloud, and land Elevation Satellite-2 (ICESat-2) laser altimetry</t>
  </si>
  <si>
    <t>PINE ISLAND GLACIER; WEDDELL SEA SECTOR; BASAL MELT RATES; WEST ANTARCTICA; SHELF; ZONE; RETREAT; FLOW; FLEXURE; GREENLAND</t>
  </si>
  <si>
    <t>Tide-forced short-term migration of the grounding line (GL) of Antarctic ice shelves can impact ice dynamics at the ice sheet margins and obscures assessments of long-term GL advance or retreat. However, the magnitude of tidally induced GL migration is poorly known, and the spatial patterns and modes of variability are not well characterised. Here we develop and apply a technique that uses Ice, Cloud, and land Elevation Satellite-2 (ICESat-2) repeat-track laser altimetry to locate the inland limit of tidal ice shelf flexure for each sampled tide, enabling the magnitude and temporal variability of tidal GL migration to be resolved. We demonstrate its application at an ice plain north of Bungenstockrucken, in a region of the southern Ronne Ice Shelf subject to large ocean tides. We observe a 1300 km2 area of ephemeral grounding over which the GL migrates by up to 15 km between low and high tide and identify four distinct modes of migration: linear, asymmetric, threshold and hysteresis. The short-term movement of the GL dominates any long-term migration signal in this location, and the distribution of GL positions and modes contains information about spatial variability in the ice-bed interface. We discuss the impact of extreme tidal GL migration on ice shelf-ocean-subglacial systems in Antarctica and make recommendations for how GLs should be more precisely defined and documented in future by the community.</t>
  </si>
  <si>
    <t>[Freer, Bryony I. D.; Marsh, Oliver J.] British Antarctic Survey, Cambridge CB3 0ET, England; [Freer, Bryony I. D.; Hogg, Anna E.] Univ Leeds, Sch Earth &amp; Environm, Leeds LS2 9JT, England; [Fricker, Helen Amanda] Univ Calif San Diego, Scripps Inst Oceanog, Scripps Polar Ctr, La Jolla, CA 92093 USA; [Padman, Laurie] Earth &amp; Space Res, Corvallis, OR 97333 USA</t>
  </si>
  <si>
    <t>UK Research &amp; Innovation (UKRI); Natural Environment Research Council (NERC); NERC British Antarctic Survey; University of Leeds; University of California System; University of California San Diego; Scripps Institution of Oceanography</t>
  </si>
  <si>
    <t>Freer, BID (corresponding author), British Antarctic Survey, Cambridge CB3 0ET, England.;Freer, BID (corresponding author), Univ Leeds, Sch Earth &amp; Environm, Leeds LS2 9JT, England.</t>
  </si>
  <si>
    <t>breer90@bas.ac.uk</t>
  </si>
  <si>
    <t>Freer, Bryony/0000-0002-8646-7773; Fricker, Helen Amanda/0000-0002-0921-1432</t>
  </si>
  <si>
    <t>Natural Environment Research Council; School of Earth and Environment at the University of Leeds [NE/T00939X/1]; Natural Environment Research Council (NERC) Satellite Data in Environmental Science (SENSE) Centre for Doctoral Training [NE/T012757/1]; NERC Drivers of Oceanic Change in the Amundsen Sea (DeCAdeS) project [ESA-IPL-POE-EF-cb-LE-2019-834]; ESA Polar+ Ice Shelves project [80NSSC21K0911]; NASA; NERC [NE/T012757/1] Funding Source: UKRI</t>
  </si>
  <si>
    <t>Natural Environment Research Council(UK Research &amp; Innovation (UKRI)Natural Environment Research Council (NERC)); School of Earth and Environment at the University of Leeds; Natural Environment Research Council (NERC) Satellite Data in Environmental Science (SENSE) Centre for Doctoral Training; NERC Drivers of Oceanic Change in the Amundsen Sea (DeCAdeS) project; ESA Polar+ Ice Shelves project; NASA(National Aeronautics &amp; Space Administration (NASA)); NERC(UK Research &amp; Innovation (UKRI)Natural Environment Research Council (NERC))</t>
  </si>
  <si>
    <t>This work was led by Bryony I. D. Freer at the British Antarctic Survey (BAS) and the School of Earth and Environment at the University of Leeds. Bryony I. D. Freer was supported by the Natural Environment Research Council (NERC) Satellite Data in Environmental Science (SENSE) Centre for Doctoral Training (grant no. NE/T00939X/1). Anna E. Hogg was supported by the NERC Drivers of Oceanic Change in the Amundsen Sea (DeCAdeS) project (no. NE/T012757/1) and the ESA Polar+ Ice Shelves project (no. ESA-IPL-POE-EF-cb-LE-2019-834). Helen Amanda Fricker and Laurie Padman were supported by NASA (grant no. 80NSSC20K0977). Laurie Padman was also supported by NASA (grant no. 80NSSC21K0911). The authors gratefully acknowledge the National Aeronautics and Space Administration for acquiring the ICESat-2 satellite data.</t>
  </si>
  <si>
    <t>10.5194/tc-17-4079-2023</t>
  </si>
  <si>
    <t>HT5L7</t>
  </si>
  <si>
    <t>WOS:001161771200001</t>
  </si>
  <si>
    <t>He, QY; Zhan, WK; Cai, SQ; Du, Y; Chen, ZW; Tang, SL; Zhan, HG</t>
  </si>
  <si>
    <t>He, Qingyou; Zhan, Weikang; Cai, Shuqun; Du, Yan; Chen, Zhiwu; Tang, Shilin; Zhan, Haigang</t>
  </si>
  <si>
    <t>Enhancing impacts of mesoscale eddies on Southern Ocean temperature variability and extremes</t>
  </si>
  <si>
    <t>ocean eddies; extreme temperature events; temperature variability; Southern Ocean warming; Antarctic Circumpolar</t>
  </si>
  <si>
    <t>ANTHROPOGENIC CARBON; HEAT UPTAKE; TRANSPORT; TRENDS; DRIVEN</t>
  </si>
  <si>
    <t>As a major sink of anthropogenic heat and carbon, the Southern Ocean experienced pronounced warming with increasing extreme temperature events over the past dec-ades. Mesoscale eddies that strongly influence the uptake, redistribution, and storage of heat in the ocean are expected to play important roles in these changes, yet obser-vational evidence remains limited. Here, we employ a comprehensive analysis of over 500,000 historical hydrographic profile measurements combined with satellite-based eddy observations to show enhanced thermal eddy imprints in the Southern Ocean. Our observations reveal that anticyclonic (cyclonic) eddies are responsible for nearly half of the subsurface high (low)- temperature extremes detected, although only 10% of the profiles are located in eddy interiors. Over the past decade (2006 to 2019), both mean and extreme temperature anomalies within eddies in the Antarctic Circumpolar Current increased significantly, promoting the rise in subsurface ocean temperature variability. This enhanced role of eddies is likely a result of enhanced eddy pumping due to the increase in eddy intensity and ocean stratification caused by ocean warming. Our analysis underscores the crucial role of eddies in amplifying ocean temperature variability and extremes, with their effects expected to be even more pronounced as global warming persists.</t>
  </si>
  <si>
    <t>[He, Qingyou; Zhan, Weikang; Cai, Shuqun; Du, Yan; Chen, Zhiwu; Tang, Shilin; Zhan, Haigang] Chinese Acad Sci, South China Sea Inst Oceanol, State Key Lab Trop Oceanog, Guangzhou 510301, Peoples R China; [He, Qingyou; Zhan, Weikang; Cai, Shuqun; Du, Yan; Chen, Zhiwu; Tang, Shilin; Zhan, Haigang] Southern Marine Sci &amp; Engn Guangdong Lab Guangzhou, Guangzhou 511458, Peoples R China; [Cai, Shuqun; Du, Yan; Zhan, Haigang] Univ Chinese Acad Sci, Beijing 101408, Peoples R China; [Tang, Shilin] Chinese Acad Sci, Sanya Inst Oceanol, South China Sea Inst Oceanol, Sanya 572025, Peoples R China</t>
  </si>
  <si>
    <t>Chinese Academy of Sciences; South China Sea Institute of Oceanology, CAS; Southern Marine Science &amp; Engineering Guangdong Laboratory; Southern Marine Science &amp; Engineering Guangdong Laboratory (Guangzhou); Chinese Academy of Sciences; University of Chinese Academy of Sciences, CAS; Chinese Academy of Sciences; South China Sea Institute of Oceanology, CAS</t>
  </si>
  <si>
    <t>Zhan, HG (corresponding author), Chinese Acad Sci, South China Sea Inst Oceanol, State Key Lab Trop Oceanog, Guangzhou 510301, Peoples R China.;Zhan, HG (corresponding author), Southern Marine Sci &amp; Engn Guangdong Lab Guangzhou, Guangzhou 511458, Peoples R China.;Zhan, HG (corresponding author), Univ Chinese Acad Sci, Beijing 101408, Peoples R China.</t>
  </si>
  <si>
    <t>hgzhan@scsio.ac.cn</t>
  </si>
  <si>
    <t>He, Qingyou/KBA-5279-2024; Chen, Zhiwu/ACU-4529-2022</t>
  </si>
  <si>
    <t>He, Qingyou/0000-0002-0594-4647; Chen, Zhiwu/0000-0001-6588-030X</t>
  </si>
  <si>
    <t>National Natural Science Foundation of China [42276027, 41890851, 42276186, 42106169]; Key Research and Development Project in Hainan Province [ZDYF2020174]; Youth Innovation Promotion Association Chinese Academy of Sciences [2021343]; Natural Science Foundation of Guangdong [2023A1515010966]; Development fund of South China Sea Institute of Oceanology of the Chinese Academy of Sciences [SCSIO202204]; China- Sri Lanka Joint Center for Education and Research, Chinese Academy of Sciences</t>
  </si>
  <si>
    <t>National Natural Science Foundation of China(National Natural Science Foundation of China (NSFC)); Key Research and Development Project in Hainan Province; Youth Innovation Promotion Association Chinese Academy of Sciences; Natural Science Foundation of Guangdong(National Natural Science Foundation of Guangdong Province); Development fund of South China Sea Institute of Oceanology of the Chinese Academy of Sciences; China- Sri Lanka Joint Center for Education and Research, Chinese Academy of Sciences</t>
  </si>
  <si>
    <t>We thank Dr. Ming Feng for helpful discussions while revising the manuscript. We acknowledge the WOD for the historical in situ T- S profile data (https:// www.nodc.noaa.gov/OC5/WOD/pr_wod.html) , the AVISO + for the mesoscale eddy product (https://aviso.altimetry.fr) , the WOA 2018 for the climatology seawater temperature data (https:// www.ncei.noaa.gov/access/world- ocean- atlas- 2018/) , and the CMEMS for the ADT data (https://marine.coper-nicus.eu/) . This work is supported by the National Natural Science Foundation of China (Nos. 42276027, 41890851, 42276186, and 42106169) , the Key Research and Development Project in Hainan Province (No. ZDYF2020174) , the Youth Innovation Promotion Association Chinese Academy of Sciences (No. 2021343) , the Natural Science Foundation of Guangdong (No. 2023A1515010966) , the development fund of South China Sea Institute of Oceanology of the Chinese Academy of Sciences (SCSIO202204) , and the China- Sri Lanka Joint Center for Education and Research, Chinese Academy of Sciences.</t>
  </si>
  <si>
    <t>e2302292120</t>
  </si>
  <si>
    <t>10.1073/pnas.2302292120</t>
  </si>
  <si>
    <t>HD9K3</t>
  </si>
  <si>
    <t>WOS:001157671600007</t>
  </si>
  <si>
    <t>Lee, SJ; Kim, J; Choi, EK; Jo, E; Cho, M; Kim, JH; Park, H</t>
  </si>
  <si>
    <t>Lee, Seung Jae; Kim, Jinmu; Choi, Eun Kyung; Jo, Euna; Cho, Minjoo; Kim, Jeong-Hoon; Park, Hyun</t>
  </si>
  <si>
    <t>A chromosome-level reference genome of the Antarctic blackfin icefish Chaenocephalus aceratus</t>
  </si>
  <si>
    <t>DE-NOVO IDENTIFICATION; ANNOTATION; SYSTEM; VISUALIZATION; PREDICTION; FAMILIES; PROVIDES; PROGRAM; FINDER; GENE</t>
  </si>
  <si>
    <t>The blackfin Icefish (Chaenocephalus aceratus) belongs to the family Channichthyidae and the suborder Notothenioidei which lives in the Antarctic. We corrected the mis-scaffolds in the previous linkage map results by Hi-C analysis to obtain improved results for chromosome-level genome assembly. The final assembly analysis resulted in a total of 3,135 scaffolds, a genome size of 1,065.72 Mb, and an N50 of 33.46 Mb. 820.24 Mb, representing 88.88% of the total genome, is anchored to 24 chromosomes. The final gene set of 38,024 genes, including AFGPs, was annotated using RNA evidence, proteins, and ab-initio predictions. The complete percentage of BUSCO analysis is 92.7%. In this study, we aim to contribute to the study of polar fishes by improving the genome sequences of the blackfin icefish with the AFGP genes belonging to the Notothenoidei.</t>
  </si>
  <si>
    <t>[Lee, Seung Jae; Kim, Jinmu; Choi, Eun Kyung; Jo, Euna; Cho, Minjoo; Park, Hyun] Korea Univ, Coll Life Sci &amp; Biotechnol, Dept Biotechnol, Seoul, South Korea; [Kim, Jeong-Hoon] Korea Polar Res Inst KOPRI, Incheon, South Korea</t>
  </si>
  <si>
    <t>Korea University; Korea Polar Research Institute (KOPRI)</t>
  </si>
  <si>
    <t>Park, H (corresponding author), Korea Univ, Coll Life Sci &amp; Biotechnol, Dept Biotechnol, Seoul, South Korea.</t>
  </si>
  <si>
    <t>This work was supported by a Korea Institute of Marine Science amp;amp; Technology Promotion (KIMST) grant funded by the Ministry of Oceans and Fisheries (KIMST 20220547), the National Institute of Fisheries Science (NIFS; R2023003), and by a grant from t [KIMST 20220547]; Korea Institute of Marine Science amp;amp; Technology Promotion (KIMST) - Ministry of Oceans and Fisheries [R2023003]; National Institute of Fisheries Science; Korea University</t>
  </si>
  <si>
    <t>This work was supported by a Korea Institute of Marine Science amp;amp; Technology Promotion (KIMST) grant funded by the Ministry of Oceans and Fisheries (KIMST 20220547), the National Institute of Fisheries Science (NIFS; R2023003), and by a grant from t; Korea Institute of Marine Science amp;amp; Technology Promotion (KIMST) - Ministry of Oceans and Fisheries; National Institute of Fisheries Science; Korea University</t>
  </si>
  <si>
    <t>This work was supported by a Korea Institute of Marine Science &amp; Technology Promotion (KIMST) grant funded by the Ministry of Oceans and Fisheries (KIMST 20220547), the National Institute of Fisheries Science (NIFS; R2023003), and by a grant from the Korea University.</t>
  </si>
  <si>
    <t>S8TZ6</t>
  </si>
  <si>
    <t>WOS:001073851500003</t>
  </si>
  <si>
    <t>Korejwo, E; Panasiuk, A; Wawrzynek-Borejko, J; Jedruch, A; Beldowski, J; Paturej, A; Beldowska, M</t>
  </si>
  <si>
    <t>Korejwo, Ewa; Panasiuk, Anna; Wawrzynek-Borejko, Justyna; Jedruch, Agnieszka; Beldowski, Jacek; Paturej, Alicja; Beldowska, Magdalena</t>
  </si>
  <si>
    <t>Mercury concentrations in Antarctic zooplankton with a focus on the krill species, Euphausia superba</t>
  </si>
  <si>
    <t>Hg; Mercury fractions; Methylmercury; Western Antarctic Peninsula; Pelagic food chain; Euphausiids</t>
  </si>
  <si>
    <t>KING GEORGE ISLAND; THYSANOESSA-MACRURA EUPHAUSIACEA; PARTICULATE ORGANIC-MATTER; SOUTH SHETLAND ISLANDS; FOOD-WEB; STABLE-ISOTOPES; WEDDELL SEA; ATMOSPHERIC MERCURY; ATLANTIC SECTOR; ADMIRALTY BAY</t>
  </si>
  <si>
    <t>The Antarctic is the most isolated region in the world; nevertheless, it has not avoided the negative impact of human activity, including the inflow of toxic mercury (Hg). Hg deposited in the Antarctic marine environment can be bioavailable and accumulate in the food web, reaching elevated concentrations in high-trophic-level biota, especially if methylated. Zooplankton, together with phytoplankton, are critical for the transport of pollutants, including Hg to higher trophic levels. For the Southern Ocean ecosystem, one of the key zooplankton components is the Antarctic krill Euphausia superba, the smaller euphausiid Thysanoessa macrura, and the amphipod Themisto gaudichaudii - a crucial food source for most predatory fish, birds, and mammals. The main goal of this study was to determine the Hg burden, as well as the distribution of different Hg forms, in these dominant Antarctic planktonic crustaceans. The results showed that the highest concentrations of Hg were found in T. gaudichaudii, a typically predatory taxon. Most of the Hg in the tested crustaceans was labile and potentially bioavailable for planktivorous organisms, with the most dangerous methylmercury (MeHg) accounting for an average of 16 % of the total mercury. Elevated Hg concentrations were observed close to the land, which isinfluenced by the proximity to penguin and pinniped colonies. In areas near the shore, volcanic activity might be a possible cause of the increase in mercury sulfide (HgS) content. The total Hg concentration increased with the trophic position and ontogenetic stage of predation, specific to adult organisms. In contrast, the proportion of MeHg decreased with age, indicating more efficient demethylation or elimination. The Hg magnification kinetics in the study area were relatively high, which may be related to climate-change induced alterations of the Antarctic ecosystem: additional food sources and reshaped trophic structure.</t>
  </si>
  <si>
    <t>[Korejwo, Ewa; Jedruch, Agnieszka; Beldowski, Jacek] Polish Acad Sci, Inst Oceanol, Dept Marine Chem &amp; Biochem, Ul Powstancow Warszawy 55, PL-81712 Sopot, Poland; [Panasiuk, Anna] Univ Gdansk, Fac Oceanog &amp; Geog, Div Marine Biol &amp; Biotechnol, Lab Marine Plankton Biol, Al Pilsudskiego 46, PL-81378 Gdynia, Poland; [Wawrzynek-Borejko, Justyna] Univ Gdansk, Fac Oceanog &amp; Geog, Div Marine Ecosyst Functioning, Al Pilsudskiego 46, PL-81378 Gdynia, Poland; [Paturej, Alicja; Beldowska, Magdalena] Univ Gdansk, Fac Oceanog &amp; Geog, Div Chem Oceanog &amp; Marine Geol, Al Pilsudskiego 46, PL-81378 Gdynia, Poland</t>
  </si>
  <si>
    <t>Polish Academy of Sciences; Institute of Oceanology of the Polish Academy of Sciences; Fahrenheit Universities; University of Gdansk; Fahrenheit Universities; University of Gdansk; Fahrenheit Universities; University of Gdansk</t>
  </si>
  <si>
    <t>Korejwo, E (corresponding author), Polish Acad Sci, Inst Oceanol, Dept Marine Chem &amp; Biochem, Ul Powstancow Warszawy 55, PL-81712 Sopot, Poland.</t>
  </si>
  <si>
    <t>ewakorejwo@iopan.pl</t>
  </si>
  <si>
    <t>Jedruch, Agnieszka/0000-0002-3421-7115; Korejwo, Ewa/0000-0002-5982-1589</t>
  </si>
  <si>
    <t>10.1016/j.scitotenv.2023.167239</t>
  </si>
  <si>
    <t>X3EB2</t>
  </si>
  <si>
    <t>WOS:001097307200001</t>
  </si>
  <si>
    <t>Eurich, JG; Friedman, WR; Kleisner, KM; Zhao, LZ; Free, CM; Fletcher, M; Mason, JG; Tokunaga, K; Aguion, A; Dell'Apa, A; Dickey-Collas, M; Fujita, R; Golden, CD; Hollowed, AB; Ishimura, G; Karr, KA; Kasperski, S; Kisara, Y; Lau, JD; Mangubhai, S; Osman, L; Pecl, GT; Schmidt, JO; Allison, EH; Sullivan, PJ; Cinner, JE; Griffis, RB; Mcclanahan, TR; Stedman, RC; Mills, KE</t>
  </si>
  <si>
    <t>Eurich, Jacob G.; Friedman, Whitney R.; Kleisner, Kristin M.; Zhao, Lily Z.; Free, Christopher M.; Fletcher, Meghan; Mason, Julia G.; Tokunaga, Kanae; Aguion, Alba; Dell'Apa, Andrea; Dickey-Collas, Mark; Fujita, Rod; Golden, Christopher D.; Hollowed, Anne B.; Ishimura, Gakushi; Karr, Kendra A.; Kasperski, Stephen; Kisara, Yuga; Lau, Jacqueline D.; Mangubhai, Sangeeta; Osman, Layla; Pecl, Gretta T.; Schmidt, Joern O.; Allison, Edward H.; Sullivan, Patrick J.; Cinner, Joshua E.; Griffis, Roger B.; Mcclanahan, Timothy R.; Stedman, Richard C.; Mills, Katherine E.</t>
  </si>
  <si>
    <t>Diverse pathways for climate resilience in marine fishery systems</t>
  </si>
  <si>
    <t>FISH AND FISHERIES</t>
  </si>
  <si>
    <t>adaptive capacity; climate change; coastal communities; fisheries management; global change; social-ecological systems</t>
  </si>
  <si>
    <t>FISHING COMMUNITIES; VULNERABILITY; ADAPTATION; IMPACTS</t>
  </si>
  <si>
    <t>Both the ecological and social dimensions of fisheries are being affected by climate change. As a result, policymakers, managers, scientists and fishing communities are seeking guidance on how to holistically build resilience to climate change. Numerous studies have highlighted key attributes of resilience in fisheries, yet concrete examples that explicitly link these attributes to social-ecological outcomes are lacking. To better understand climate resilience, we assembled 18 case studies spanning ecological, socio-economic, governance and geographic contexts. Using a novel framework for evaluating 38 resilience attributes, the case studies were systematically assessed to understand how attributes enable or inhibit resilience to a given climate stressor. We found population abundance, learning capacity, and responsive governance were the most important attributes for conferring resilience, with ecosystem connectivity, place attachment, and accountable governance scoring the strongest across the climate-resilient fisheries. We used these responses to develop an attribute typology that describes robust sources of resilience, actionable priority attributes and attributes that are case specific or require research. We identified five fishery archetypes to guide stakeholders as they set long-term goals and prioritize actions to improve resilience. Lastly, we found evidence for two pathways to resilience: (1) building ecological assets and strengthening communities, which we observed in rural and small-scale fisheries, and (2) building economic assets and improving effective governance, which was demonstrated in urban and wealthy fisheries. Our synthesis presents a novel framework that can be directly applied to identify approaches, pathways and actionable levers for improving climate resilience in fishery systems.</t>
  </si>
  <si>
    <t>[Eurich, Jacob G.] Environm Def Fund, Santa Barbara, CA 93101 USA; [Eurich, Jacob G.; Free, Christopher M.] Univ Calif Santa Barbara, Marine Sci Inst, Santa Barbara, CA USA; [Friedman, Whitney R.] Univ Calif Santa Barbara, Natl Ctr Ecol Anal &amp; Synth, Santa Barbara, CA USA; [Friedman, Whitney R.] Univ Calif Santa Cruz, Environm Studies Dept, Santa Cruz, CA USA; [Kleisner, Kristin M.; Mason, Julia G.] Environm Def Fund, Boston, MA USA; [Zhao, Lily Z.] Univ Calif Santa Barbara, Dept Ecol Evolut &amp; Marine Biol, Santa Barbara, CA USA; [Free, Christopher M.; Fletcher, Meghan] Univ Calif Santa Barbara, Bren Sch Environm Sci &amp; Management, Santa Barbara, CA USA; [Fletcher, Meghan] Nature Conservancy, San Diego, CA USA; [Tokunaga, Kanae; Mills, Katherine E.] Gulf Maine Res Inst, Portland, ME USA; [Aguion, Alba] Duke Univ, Nicholas Sch Environm, Coasts &amp; Commons CoLab, Beaufort, NC USA; [Aguion, Alba] CIM Univ Vigo, Future Oceans Lab, Vigo, Spain; [Dell'Apa, Andrea] Independent Int Consultant, Monrovia, CA USA; [Dickey-Collas, Mark; Schmidt, Joern O.] Int Council Explorat Sea ICES, Copenhagen, Denmark; [Dickey-Collas, Mark] Tech Univ Denmark, Natl Inst Aquat Resources, Copenhagen, Denmark; [Fujita, Rod; Karr, Kendra A.; Osman, Layla] Environm Def Fund, San Francisco, CA USA; [Golden, Christopher D.] Harvard TH Chan Sch Publ Hlth, Dept Nutr, Boston, MA USA; [Hollowed, Anne B.] Univ Washington, Sch Fishery &amp; Aquat Sci, Seattle, WA USA; [Ishimura, Gakushi; Kisara, Yuga] Iwate Univ, Fac Agr, Morioka, Japan; [Karr, Kendra A.] Univ Calif Santa Cruz, Inst Marine Sci, Santa Cruz, CA USA; [Kasperski, Stephen] NOAA, Natl Marine Fisheries Serv, Alaska Fisheries Sci Ctr, Seattle, WA USA; [Lau, Jacqueline D.; Cinner, Joshua E.] James Cook Univ, Coll Arts Soc &amp; Educ, Townsville, Qld, Australia; [Mangubhai, Sangeeta] Talanoa Consulting, Suva, Fiji; [Pecl, Gretta T.] Univ Tasmania, Inst Marine &amp; Antarctic Studies, Hobart, Tas, Australia; [Pecl, Gretta T.] Univ Tasmania, Ctr Marine Socioecol, Hobart, Tas, Australia; [Schmidt, Joern O.] Christian Albrechts Univ Kiel, Kiel, Germany; [Allison, Edward H.] WorldFish, Bayan Lepas, Penang, Malaysia; [Allison, Edward H.] Univ Lancaster, Lancaster Environm Ctr, Lancaster, England; [Sullivan, Patrick J.; Stedman, Richard C.] Cornell Univ, Dept Nat Resources &amp; Environm, Ithaca, NY USA; [Griffis, Roger B.] NOAA, Natl Marine Fisheries Serv, Off Sci &amp; Technol, Silver Spring, MD USA; [Mcclanahan, Timothy R.] Wildlife Conservat Soc, Global Marine Programs, Bronx, NY USA</t>
  </si>
  <si>
    <t>University of California System; University of California Santa Barbara; National Center for Ecological Analysis &amp; Synthesis; University of California System; University of California Santa Barbara; University of California System; University of California Santa Cruz; Environmental Defense Fund; University of California System; University of California Santa Barbara; University of California System; University of California Santa Barbara; Nature Conservancy; Gulf of Maine Research Institute; Duke University; Universidade de Vigo; CIM UVIGO; Technical University of Denmark; Environmental Defense Fund; Harvard University; Harvard T.H. Chan School of Public Health; University of Washington; University of Washington Seattle; Iwate University; University of California System; University of California Santa Cruz; National Oceanic Atmospheric Admin (NOAA) - USA; James Cook University; University of Tasmania; University of Tasmania; University of Kiel; CGIAR; Worldfish; Lancaster University; Cornell University; National Oceanic Atmospheric Admin (NOAA) - USA; Wildlife Conservation Society</t>
  </si>
  <si>
    <t>Eurich, JG (corresponding author), Environm Def Fund, Santa Barbara, CA 93101 USA.</t>
  </si>
  <si>
    <t>jeurich@edf.org</t>
  </si>
  <si>
    <t>Cinner, Joshua Eli/E-8966-2011; Dickey-Collas, Mark/A-8036-2008; Eurich, Dr. Jacob G./K-8598-2019; Free, Christopher/N-2813-2013</t>
  </si>
  <si>
    <t>Cinner, Joshua Eli/0000-0003-2675-9317; Dickey-Collas, Mark/0000-0003-3154-8039; Eurich, Dr. Jacob G./0000-0003-1764-7524; Tokunaga, Kanae/0000-0002-6171-5187; Karr, Kendra/0000-0002-6017-0584; Dell'Apa, Andrea/0000-0001-5939-8082; Free, Christopher/0000-0002-2557-8920; Aguion, Alba/0000-0002-5429-2227; Mills, Katherine/0000-0001-6078-7747; Kleisner, Kristin/0000-0002-6918-1546</t>
  </si>
  <si>
    <t>This paper resulted from the Science for Nature and People Partnership (SNAPP) Climate Resilient Fisheries Working Group. SNAPP is a partnership of The Nature Conservancy and Wildlife Conservation Society. This SNAPP working group is part of a cohort of re; Science for Nature and People Partnership (SNAPP) Climate Resilient Fisheries Working Group [2018-68222]; Nature Conservancy and Wildlife Conservation Society - David and Lucile Packard Foundation [CNH 1826668]; National Science Foundation; Nature Conservancy California (CMF), The David R. and Patricia D. Atkinson Foundation; Wildlife Conservation Society (TRM); OneCGIAR trust fund through the Resilient Aquatic Food Systems Initiative (EHA); Pew Fellows Program in Marine Conservation (KEM)</t>
  </si>
  <si>
    <t>This paper resulted from the Science for Nature and People Partnership (SNAPP) Climate Resilient Fisheries Working Group. SNAPP is a partnership of The Nature Conservancy and Wildlife Conservation Society. This SNAPP working group is part of a cohort of re; Science for Nature and People Partnership (SNAPP) Climate Resilient Fisheries Working Group; Nature Conservancy and Wildlife Conservation Society - David and Lucile Packard Foundation; National Science Foundation(National Science Foundation (NSF)); Nature Conservancy California (CMF), The David R. and Patricia D. Atkinson Foundation; Wildlife Conservation Society (TRM); OneCGIAR trust fund through the Resilient Aquatic Food Systems Initiative (EHA)(European Hematology Association); Pew Fellows Program in Marine Conservation (KEM)</t>
  </si>
  <si>
    <t>This paper resulted from the Science for Nature and People Partnership (SNAPP) Climate Resilient Fisheries Working Group. SNAPP is a partnership of The Nature Conservancy and Wildlife Conservation Society. This SNAPP working group is part of a cohort of research funded by the generosity of the David and Lucile Packard Foundation Grant number 2018-68222 to address the theme of Oceans, Climate and Equity. The manuscript greatly benefited from all working group leaders, members and advisors and from additional external experts (see Appendix1 for full list) who assisted in the development, conceptualization and peer review of the attributes and case studies. We are particularly grateful to Terava Atger, Christine Baier, Willow Battista, Merrick Burden, Julio Chamorro, Erica Cunningham, Diana Evans, Emily Ogier, Michael D. Smith, Ingrid Spies and Katie Westfall for their contributions to the rubric and case study development. We are also grateful for the financial support of the National Science Foundation (CNH 1826668 to JGE and CDG), a SNAPP-NatureNet postdoctoral fellowship (WRF), The Nature Conservancy California (CMF), The David R. and Patricia D. Atkinson Foundation (JGM), Wildlife Conservation Society (TRM), the donors to the OneCGIAR trust fund through the Resilient Aquatic Food Systems Initiative (EHA) and the Pew Fellows Program in Marine Conservation (KEM). The manuscript greatly benefited from the input of two anonymous reviewers.</t>
  </si>
  <si>
    <t>1467-2960</t>
  </si>
  <si>
    <t>1467-2979</t>
  </si>
  <si>
    <t>FISH FISH</t>
  </si>
  <si>
    <t>Fish. Fish.</t>
  </si>
  <si>
    <t>10.1111/faf.12790</t>
  </si>
  <si>
    <t>GP7S9</t>
  </si>
  <si>
    <t>WOS:001070512700001</t>
  </si>
  <si>
    <t>Moraes, MM; Marques, AL; Borges, L; Hatanaka, E; Heller, D; Núñez-Espinosa, C; Gonçalves, DAP; Soares, DD; Wanner, SP; Mendes, TT; Arantes, RME</t>
  </si>
  <si>
    <t>Moraes, Michele Macedo; Marques, Alice Lamounier; Borges, Leandro; Hatanaka, Elaine; Heller, Debora; Nunez-Espinosa, Cristian; Goncalves, Dawit Albieiro Pinheiro; Soares, Danusa Dias; Wanner, Samuel Penna; Mendes, Thiago Teixeira; Arantes, Rosa Maria Esteves</t>
  </si>
  <si>
    <t>Sleep impairment and altered pattern of circadian biomarkers during a long-term Antarctic summer camp</t>
  </si>
  <si>
    <t>PSYCHOMETRIC EVALUATION; SALIVARY CORTISOL; QUALITY INDEX; COLD-EXPOSURE; LIGHT; MOOD; MELATONIN; VALIDATION; ENVIRONMENTS; PERFORMANCE</t>
  </si>
  <si>
    <t>Antarctic expeditions include isolation and exposure to cold and extreme photoperiods (with continuous natural light during summer) that may influence psychophysiological responses modulated by luminosity and sleep. We assessed changes in night sleep patterns by actigraphy, salivary biomarkers, and perceptual variables in seven participants in the following time points along a 50-day camping expedition in Antarctica (Nelson Island): Pre-Field (i.e., on the ship before camp), Field-1, Field-2, Field-3, Field-4 (from 1st to 10th, 11th to 20th, 21st to 35th and 36th to 50th days in camp, respectively), and Post-Field (on the ship after camp). We also characterized mood states, daytime sleepiness, and sleep quality by questionnaires. Staying in an Antarctic camp reduced sleep efficiency (5.2%) and increased the number of awakenings and wakefulness after sleep onset (51.8% and 67.1%, respectively). Furthermore, transient increases in time in bed (16.5%) and sleep onset latency (4.8 +/- 4.0 min, from Pre- to Field-3) was observed. These changes were accompanied by an altered pattern of the emerging circadian marker beta-Arrestin-1 and a trend to reduce nocturnal melatonin [57.1%; P=0.066, with large effect size (ES) from Pre-Field to Field-2 (ES=1.2) and Field-3 (ES=1.2)]. All changes returned to Pre-Field values during the Post-Field. The volunteers reported sleep-related physical complaints (feeling of cold and pain, discomfort to breathe, and cough or loud snoring), excessive daytime sleepiness, and reduced vigor during the camp. Thus, a 50-day camp alters neuroendocrine regulation and induces physical discomfort, which may explain the impaired sleep pattern and the consequent daytime sleepiness and mood changes.</t>
  </si>
  <si>
    <t>[Moraes, Michele Macedo; Arantes, Rosa Maria Esteves] Univ Fed Minas Gerais, Inst Biol Sci, Dept Pathol, Belo Horizonte, MG, Brazil; [Moraes, Michele Macedo; Arantes, Rosa Maria Esteves] Univ Fed Minas Gerais, Ctr Newborn Screening &amp; Genet Diag, Fac Med, NUPAD FM,UFMG, Belo Horizonte, MG, Brazil; [Marques, Alice Lamounier] Univ Fed Rural Rio De Janeiro, Post Grad Program Social Sci Dev Culture &amp; Soc, Seropedica, RJ, Brazil; [Borges, Leandro; Hatanaka, Elaine] Univ Cruzeiro Sul, Interdisciplinary Program Hlth Sci, Sao Paulo, SP, Brazil; [Heller, Debora] Hosp Israelita Albert Einstein, Sao Paulo, SP, Brazil; [Heller, Debora] Univ Cruzeiro Sul, Post Grad Studies Dent, Sao Paulo, SP, Brazil; [Heller, Debora] UT Hlth San Antonio, Sch Dent, Dept Periodontol, San Antonio, UT USA; [Nunez-Espinosa, Cristian] Univ Magallanes, Escuela Med, Punta Arenas, Chile; [Nunez-Espinosa, Cristian] Univ Magallanes, Ctr Asistencial Docente Invest, Punta Arenas, Chile; [Nunez-Espinosa, Cristian] Interunivers Ctr Healthy Aging, Chilecito, Chile; [Goncalves, Dawit Albieiro Pinheiro; Soares, Danusa Dias; Wanner, Samuel Penna] Univ Fed Minas Gerais, Sch Phys Educ Physiotherapy &amp; Occupat Therapy, Exercise Physiol Lab, Belo Horizonte, MG, Brazil; [Mendes, Thiago Teixeira] Univ Fed Bahia, Dept Phys Educ, Fac Educ, Salvador, BA, Brazil</t>
  </si>
  <si>
    <t>Universidade Federal de Minas Gerais; Universidade Federal de Minas Gerais; Universidade Federal Rural do Rio de Janeiro (UFRRJ); Universidade Cruzeiro do Sul; Hospital Israelita Albert Einstein; Universidade Cruzeiro do Sul; Universidad de Magallanes; Universidad de Magallanes; Universidade Federal de Minas Gerais; Universidade Federal da Bahia</t>
  </si>
  <si>
    <t>Arantes, RME (corresponding author), Univ Fed Minas Gerais, Inst Biol Sci, Dept Pathol, Belo Horizonte, MG, Brazil.;Arantes, RME (corresponding author), Univ Fed Minas Gerais, Ctr Newborn Screening &amp; Genet Diag, Fac Med, NUPAD FM,UFMG, Belo Horizonte, MG, Brazil.</t>
  </si>
  <si>
    <t>rosa@icb.ufmg.br</t>
  </si>
  <si>
    <t>Wanner, Samuel P./F-9654-2012; Borges, Leandro/B-6257-2015; MORAES, MICHELE/W-4042-2019; Hatanaka, Elaine/AFL-1791-2022; Soares, Danusa/H-1385-2012</t>
  </si>
  <si>
    <t>Wanner, Samuel P./0000-0002-4659-1032; Borges, Leandro/0000-0002-9755-2535; MORAES, MICHELE/0000-0003-4707-6099; Hatanaka, Elaine/0000-0002-9716-1163; Soares, Danusa/0000-0002-5705-8890; Nunez Espinosa, Cristian Andres/0000-0002-9896-7062</t>
  </si>
  <si>
    <t>CNPq/MCTIC/CAPES/FNDCT/PROANTAR [442645/2018-0]; Fundacao de Amparo a Pesquisa do Estado de Minas Gerais (FAPEMIG) [AEC-00017-18, CDS-PPM 000304/16, CBB-APQ-01419-14, APQ-01268-21, APQ-02960-22]; Pro-Reitoria de Pesquisa da Universidade Federal de Minas Gerais (PRPq UFMG); Conselho Nacional de Desenvolvimento Cientifico e Tecnologico (CNPq) [311976/2021-2]; CNPq [315199/2021-0]; Coordenacao de Aperfeicoamento de Pessoal de Nivel Superior- - Brasil (CAPES) [001]; CAPES/BRASIL [MMM: 88887.321687/2019-00]</t>
  </si>
  <si>
    <t>CNPq/MCTIC/CAPES/FNDCT/PROANTAR; Fundacao de Amparo a Pesquisa do Estado de Minas Gerais (FAPEMIG)(Fundacao de Amparo a Pesquisa do Estado de Minas Gerais (FAPEMIG)Fundacao de Amparo a Pesquisa e Inovacao do Estado de Santa Catarina (FAPESC)); Pro-Reitoria de Pesquisa da Universidade Federal de Minas Gerais (PRPq UFMG); Conselho Nacional de Desenvolvimento Cientifico e Tecnologico (CNPq)(Conselho Nacional de Desenvolvimento Cientifico e Tecnologico (CNPQ)); CNPq(Conselho Nacional de Desenvolvimento Cientifico e Tecnologico (CNPQ)); Coordenacao de Aperfeicoamento de Pessoal de Nivel Superior- - Brasil (CAPES)(Coordenacao de Aperfeicoamento de Pessoal de Nivel Superior (CAPES)); CAPES/BRASIL(Coordenacao de Aperfeicoamento de Pessoal de Nivel Superior (CAPES))</t>
  </si>
  <si>
    <t>This study was supported by CNPq/MCTIC/CAPES/FNDCT/PROANTAR [442645/2018-0]; Fundacao de Amparo a Pesquisa do Estado de Minas Gerais (FAPEMIG) [AEC-00017-18, CDS-PPM 000304/16, and CBB-APQ-01419-14 to RMEA; APQ-01268-21 and APQ-02960-22 to DAPG] and Pro-Reitoria de Pesquisa da Universidade Federal de Minas Gerais (PRPq UFMG). RMEA received research fellowship from Conselho Nacional de Desenvolvimento Cientifico e Tecnologico (CNPq) [311976/2021-2]. SPW received CNPq research fellowship [315199/2021-0]. This study was financed in part by the Coordenacao de Aperfeicoamento de Pessoal de Nivel Superior- - Brasil (CAPES) - Finance Code 001; MMM and LB post-doctoral fellowship, CAPES/BRASIL [MMM: 88887.321687/2019-00; LB: 88882.314890/2013-01].</t>
  </si>
  <si>
    <t>SEP 25</t>
  </si>
  <si>
    <t>10.1038/s41598-023-42910-8</t>
  </si>
  <si>
    <t>AD6I3</t>
  </si>
  <si>
    <t>WOS:001116558400039</t>
  </si>
  <si>
    <t>Smith, EJ; Haymet, ADJ</t>
  </si>
  <si>
    <t>Smith, E. J.; Haymet, A. D. J.</t>
  </si>
  <si>
    <t>Molecular dynamics simulations of an antifreeze protein at the lipid/water interface</t>
  </si>
  <si>
    <t>JOURNAL OF MOLECULAR LIQUIDS</t>
  </si>
  <si>
    <t>Antifreeze proteins; Molecular dynamics simulation; Lipid bilayer; Lipid / water interface; Membrane structure</t>
  </si>
  <si>
    <t>WINTER FLOUNDER ANTIFREEZE; NUCLEAR MAGNETIC-RESONANCE; LIPID-BILAYER; PHOSPHOLIPID-BILAYER; SURFACE-TENSION; MODEL MEMBRANES; COMPUTER-SIMULATION; PHASE-TRANSITIONS; CONSTANT-PRESSURE; RELAXATION RATES</t>
  </si>
  <si>
    <t>The ability of antifreeze proteins (AFP's) and glycoproteins (AFGP's) to prevent damage to certain organisms under cold stress is well established. These molecules have also been shown to prevent chilling damage in some biological membranes and interaction between membranes and AF(G)P's has been observed during chilling events; however, the exact mechanism of membrane stabilization is still not well understood. Molecular modelling is an ideal technique for probing atomistic information in these systems although modelling studies to date have focused on peptide structure and the site and mode, e.g. , insertion, of the peptide-membrane interaction. To provide insight into how AF(G)P's may act to stabilize (or destabilize) membranes during phase transitions, we have conducted molecular dynamics (MD) simulations of a solvated dimyristoylphosphatidylcholine (DMPC) lipid bilayer containing an AFP Type I at the lipid/water interface at several temperatures. We present the analysis of several properties of the phospholipid bilayer that are relevant when considering phase transitions. Possible areas for concentrating future research efforts have been highlighted; namely the acyl chain order and the polar headgroups, both of which have been implicated in experimental studies of the stabilization of model membranes by AF(G)P's.</t>
  </si>
  <si>
    <t>[Smith, E. J.] Univ New England, Sch Sci &amp; Technol, Armidale, NSW 2351, Australia; [Haymet, A. D. J.] Antarctic Sci Fdn, POB 385, Kingston, Tas 7050, Australia; [Haymet, A. D. J.] Univ Calif San Diego, Scripps Inst Oceanog, San Diego, CA 92093 USA</t>
  </si>
  <si>
    <t>University of New England; University of California System; University of California San Diego; Scripps Institution of Oceanography</t>
  </si>
  <si>
    <t>Smith, EJ (corresponding author), Univ New England, Sch Sci &amp; Technol, Armidale, NSW 2351, Australia.</t>
  </si>
  <si>
    <t>erica.smith@une.edu.au</t>
  </si>
  <si>
    <t>Smith, Erica/0000-0002-8090-4768</t>
  </si>
  <si>
    <t>Professor Myroslav Holovko on the occasion of his 80th birthday</t>
  </si>
  <si>
    <t>ADJH would like to recognise many decades of scientific interaction, collaboration and indeed friendship with Professor Myroslav Holovko on the occasion of his 80th birthday.</t>
  </si>
  <si>
    <t>0167-7322</t>
  </si>
  <si>
    <t>1873-3166</t>
  </si>
  <si>
    <t>J MOL LIQ</t>
  </si>
  <si>
    <t>J. Mol. Liq.</t>
  </si>
  <si>
    <t>B</t>
  </si>
  <si>
    <t>10.1016/j.molliq.2023.123050</t>
  </si>
  <si>
    <t>Chemistry, Physical; Physics, Atomic, Molecular &amp; Chemical</t>
  </si>
  <si>
    <t>Chemistry; Physics</t>
  </si>
  <si>
    <t>U4VC8</t>
  </si>
  <si>
    <t>WOS:001084783400001</t>
  </si>
  <si>
    <t>Halpern, BS; Frazier, M; Rayner, PE; Clawson, G; Blanchard, JL; Cottrell, RS; Froehlich, HE; Gephart, JA; Jacobsen, NS; Kuempel, CD; Moran, D; Nash, KL; Williams, DR</t>
  </si>
  <si>
    <t>Halpern, Benjamin S.; Frazier, Melanie; Rayner, Paul-Eric; Clawson, Gage; Blanchard, Julia L.; Cottrell, Richard S.; Froehlich, Halley E.; Gephart, Jessica A.; Jacobsen, Nis Sand; Kuempel, Caitlin D.; Moran, Daniel; Nash, Kirsty L.; Williams, David R.</t>
  </si>
  <si>
    <t>Reply to: The environmental footprint of fisheries</t>
  </si>
  <si>
    <t>[Halpern, Benjamin S.; Frazier, Melanie; Rayner, Paul-Eric; Clawson, Gage] Univ Calif Santa Barbara, Natl Ctr Ecol Anal &amp; Synth, Santa Barbara, CA 93106 USA; [Halpern, Benjamin S.] Univ Calif Santa Barbara, Bren Sch Environm Sci &amp; Management, Santa Barbara, CA 93106 USA; [Clawson, Gage; Blanchard, Julia L.] Univ Tasmania, Inst Marine &amp; Antarctic Studies, Hobart, Tas, Australia; [Clawson, Gage; Blanchard, Julia L.; Cottrell, Richard S.; Nash, Kirsty L.] Univ Tasmania, Ctr Marine Socioecol, Hobart, Tas, Australia; [Froehlich, Halley E.] Univ Calif Santa Barbara, Environm Studies, Santa Barbara, CA USA; [Froehlich, Halley E.] Univ Calif Santa Barbara, Ecol Evolut &amp; Marine Biol, Santa Barbara, CA USA; [Gephart, Jessica A.] Amer Univ, Dept Environm Sci, Washington, DC USA; [Jacobsen, Nis Sand] Tech Univ Denmark, Natl Inst Aquat Resources, Lyngby, Denmark; [Kuempel, Caitlin D.] Univ Queensland, Australian Res Council, Ctr Excellence Coral Reef Studies, St Lucia, Qld, Australia; [Kuempel, Caitlin D.] Univ Queensland, Sch Biol Sci, St Lucia, Qld, Australia; [Moran, Daniel] Norwegian Univ Sci &amp; Technol, Dept Energy &amp; Proc Technol, Program Ind Ecol, Trondheim, Norway; [Williams, David R.] Univ Leeds, Sustainabil Res Inst, Sch Earth &amp; Environm, Leeds, England</t>
  </si>
  <si>
    <t>National Center for Ecological Analysis &amp; Synthesis; University of California System; University of California Santa Barbara; University of California System; University of California Santa Barbara; University of Tasmania; University of Tasmania; University of California System; University of California Santa Barbara; University of California System; University of California Santa Barbara; American University; Technical University of Denmark; University of Queensland; University of Queensland; Norwegian University of Science &amp; Technology (NTNU); University of Leeds</t>
  </si>
  <si>
    <t>Halpern, BS (corresponding author), Univ Calif Santa Barbara, Natl Ctr Ecol Anal &amp; Synth, Santa Barbara, CA 93106 USA.;Halpern, BS (corresponding author), Univ Calif Santa Barbara, Bren Sch Environm Sci &amp; Management, Santa Barbara, CA 93106 USA.</t>
  </si>
  <si>
    <t>halpern@nceas.ucsb.edu</t>
  </si>
  <si>
    <t>Kuempel, Caitlin D./AAV-8807-2020</t>
  </si>
  <si>
    <t>Kuempel, Caitlin D./0000-0003-1609-9706; Froehlich, Halley/0000-0001-7322-1523; Cottrell, Richard/0000-0002-6499-7503; Clawson, Samuel Gage/0000-0003-1463-8673</t>
  </si>
  <si>
    <t>10.1038/s41893-023-01223-4</t>
  </si>
  <si>
    <t>FP6T3</t>
  </si>
  <si>
    <t>WOS:001073512000002</t>
  </si>
  <si>
    <t>Gilbert, L; Spitz, J; Jeanniard-du-Dot, T</t>
  </si>
  <si>
    <t>Gilbert, Lola; Spitz, Jerome; Jeanniard-du-Dot, Tiphaine</t>
  </si>
  <si>
    <t>Pack-ice seals contribute to biological transfers of iron in the Southern Ocean</t>
  </si>
  <si>
    <t>Biological iron vector; Antarctica; Sea ice; Primary productivity; Horizontal nutrient transfers; Vertical nutrient transfers</t>
  </si>
  <si>
    <t>ANTARCTIC KRILL; LEOPARD SEALS; HYDRURGA-LEPTONYX; TRACE-ELEMENTS; WEDDELL SEALS; ENERGY-REQUIREMENTS; NUTRIENT DYNAMICS; PREY CONSUMPTION; MARINE MAMMALS; URINARY LOSSES</t>
  </si>
  <si>
    <t>The contribution of animals to biological transfers of essential nutrients in ecosystems is increasingly recognised as a significant component of ecosystem functioning. In the Southern Ocean (SO), primary productivity is primarily limited by the availability of iron in the euphotic zone, which makes animals locally releasing iron-rich faeces potential fertilizers of the SO food web. We quantified the amounts of iron released by four species of Antarctic pack-ice seals using a bioenergetic model set up with best available data on species abundance, energetics, diets and prey composition. We estimated that leopard, crabeater, Weddell and Ross seals together release 208 tonnes of iron per year (95% confidence interval [104-378]). This is equivalent to the current contribution of SO humpback whales and four times that of SO sperm whales. At the population level, crabeater seals are the major contributors (73%), followed by Weddell (21%), leopard (4%) and Ross seals (1%). Locally, each species shows different daily individual iron release rates, suggesting the patchy and transient impact of these iron releases on primary producers might differ according to species. Beyond quantitative aspects, pack-ice seals' contribution to horizontal, vertical and trophic transfers of iron depends on their habitat preferences, on their ecology and behaviours at sea and on the ice. Although their role as iron vectors has been mostly overlooked so far, our results place pack-ice seals alongside whales and penguins as significant components of the SO ecosystem biological iron cycling, thus contributing substantially to its productivity and functioning.</t>
  </si>
  <si>
    <t>[Gilbert, Lola; Spitz, Jerome; Jeanniard-du-Dot, Tiphaine] Univ La Rochelle, Ctr Etud Biol Chize La Rochelle, Inst Littoral &amp; Environm, CNRS,UMR 7372, La Rochelle, France; [Gilbert, Lola; Spitz, Jerome] La Rochelle Univ, Observ Pelagis, CNRS, UAR 3462, La Rochelle, France</t>
  </si>
  <si>
    <t>La Rochelle Universite; Centre National de la Recherche Scientifique (CNRS); CNRS - Institute of Ecology &amp; Environment (INEE); Centre National de la Recherche Scientifique (CNRS)</t>
  </si>
  <si>
    <t>Gilbert, L (corresponding author), Univ La Rochelle, Ctr Etud Biol Chize La Rochelle, Inst Littoral &amp; Environm, CNRS,UMR 7372, La Rochelle, France.;Gilbert, L (corresponding author), La Rochelle Univ, Observ Pelagis, CNRS, UAR 3462, La Rochelle, France.</t>
  </si>
  <si>
    <t>lola.gilbert@univ-lr.fr</t>
  </si>
  <si>
    <t>SPITZ, Jerome/JXN-8694-2024; Gilbert, Lola/AGN-4800-2022</t>
  </si>
  <si>
    <t>SPITZ, Jerome/0000-0003-2729-2413; Gilbert, Lola/0000-0002-7043-1434; Jeanniard-du-Dot, Tiphaine/0000-0003-1985-8325</t>
  </si>
  <si>
    <t>We wish to thank Sarah Kienle and Douglas J. Krause for helpful discussion about the predatory behaviour of leopard seals, and Matthew S. Savoca for kindly providing details of estimates of iron release by Southern Ocean baleen whales.</t>
  </si>
  <si>
    <t>2023 SEP 25</t>
  </si>
  <si>
    <t>10.1007/s00300-023-03198-6</t>
  </si>
  <si>
    <t>S3IY3</t>
  </si>
  <si>
    <t>WOS:001070150900001</t>
  </si>
  <si>
    <t>Pickering, RA; Wang, XGL; Hendry, KR; Maiti, K; Krause, JW</t>
  </si>
  <si>
    <t>Pickering, Rebecca A.; Wang, Xiangli L.; Hendry, Katharine R.; Maiti, Kanchan; Krause, Jeffrey W.</t>
  </si>
  <si>
    <t>An investigation into the characteristics of reactive silicon pools of coastal marine sediments</t>
  </si>
  <si>
    <t>CONTINENTAL SHELF RESEARCH</t>
  </si>
  <si>
    <t>Early diagenesis; Authigenic coatings; Biogenic silica; Reactive silicon; and Gulf of Mexico</t>
  </si>
  <si>
    <t>GULF-OF-MEXICO; STOICHIOMETRIC NUTRIENT BALANCE; MISSISSIPPI RIVER; BIOGENIC SILICA; PSEUDO-NITZSCHIA; ORGANIC-CARBON; SOUTHERN-OCEAN; SI CYCLE; INCREASED EUTROPHICATION; DISSOLUTION KINETICS</t>
  </si>
  <si>
    <t>Many studies use traditional alkaline leach digestions to quantify biogenic silica (bSiO2) in sediments. Studies from river-plume systems demonstrate this methodology precludes information on other operational Si reactive pools, missing potentially valuable information on early diagenetic products. We build on previous studies by broadly examining the reactive Si pools in Mississippi River plume-influenced coastal sediments. The magnitude of Si released among operational pools across the region revealed large spatial variations in the conservation of detrital materials. Contrary to other analyses using different approaches, we suggest the availability of detrital sourced components (i.e. Al, Fe and Mn) may be a factor limiting authigenesis and resulting Si storage capacity in coastal sediments by this chemical mechanism. Overall, these data suggest authigenic precipitates may be forming as a function of bSiO2 accumulation, thereby implying that bSiO2 acts as the primary substrate for formation of authigenic products. The amount of authigenic Si products, relative to bSiO2, appears to be larger in this region than other systems studied to date, and this may be due to regional eutrophication which has led to an increase in sediment bSiO2 compounding the substrate available for authigenic precipitates. Thus, regions which have all experienced increased sediment bSiO2 accumulation coincident with eutrophication, may be primed for substantial authigenic product formation and increased Si sequestration.</t>
  </si>
  <si>
    <t>[Pickering, Rebecca A.; Wang, Xiangli L.; Krause, Jeffrey W.] Dauphin Isl Sea Lab, Dauphin Isl, AL 36528 USA; [Pickering, Rebecca A.; Wang, Xiangli L.; Krause, Jeffrey W.] Univ S Alabama, Sch Marine &amp; Environm Sci, Mobile, AL 36688 USA; [Hendry, Katharine R.] Univ Bristol, Sch Earth Sci, Bristol BS8 1RJ, England; [Maiti, Kanchan] Louisiana State Univ, Dept Oceanog &amp; Coastal Studies, Baton Rouge, LA 70810 USA; [Pickering, Rebecca A.] Lund Univ, Dept Geol, SE-22362 Lund, Sweden; [Hendry, Katharine R.] Polar Oceans Team, British Antarctic Survey, Cambridge CB3 OET, England; [Wang, Xiangli L.] Chinese Acad Sci, Inst Geol &amp; Geophys, Key Lab Cenozo Geol &amp; Environm, Beijing, Peoples R China</t>
  </si>
  <si>
    <t>Dauphin Island Sea Lab; University of South Alabama; University of Bristol; Louisiana State University System; Louisiana State University; Lund University; UK Research &amp; Innovation (UKRI); Natural Environment Research Council (NERC); NERC British Antarctic Survey; Chinese Academy of Sciences; Institute of Geology &amp; Geophysics, CAS</t>
  </si>
  <si>
    <t>Pickering, RA (corresponding author), Lund Univ, Dept Geol, SE-22362 Lund, Sweden.</t>
  </si>
  <si>
    <t>rebecca.pickering@geol.lu.se</t>
  </si>
  <si>
    <t>Pickering, Rebecca A./0000-0001-5295-2976; Krause, Jeffrey/0000-0003-2479-6229</t>
  </si>
  <si>
    <t>United States National Science Foundation [OCE-1558957]</t>
  </si>
  <si>
    <t>United States National Science Foundation(National Science Foundation (NSF))</t>
  </si>
  <si>
    <t>The work was supported financially by the United States National Science Foundation (OCE-1558957-J.W.K., K.M.) .</t>
  </si>
  <si>
    <t>0278-4343</t>
  </si>
  <si>
    <t>1873-6955</t>
  </si>
  <si>
    <t>CONT SHELF RES</t>
  </si>
  <si>
    <t>Cont. Shelf Res.</t>
  </si>
  <si>
    <t>OCT 1</t>
  </si>
  <si>
    <t>10.1016/j.csr.2023.105126</t>
  </si>
  <si>
    <t>FZ9G3</t>
  </si>
  <si>
    <t>WOS:001149788100001</t>
  </si>
  <si>
    <t>Tortello, C; Folgueira, A; Lopez, JM; Garnham, FD; Lozano, ES; Rivero, MS; Simonelli, G; Vigo, DE; Plano, SA</t>
  </si>
  <si>
    <t>Tortello, C.; Folgueira, A.; Lopez, J. M.; Didier Garnham, F.; Sala Lozano, E.; Rivero, M. S.; Simonelli, G.; Vigo, D. E.; Plano, S. A.</t>
  </si>
  <si>
    <t>Chronotype delay and sleep disturbances shaped by the Antarctic polar night</t>
  </si>
  <si>
    <t>MORNINGNESS-EVENINGNESS QUESTIONNAIRE; HUMAN CIRCADIAN-RHYTHMS; LIGHT MELATONIN ONSET; SOCIAL JETLAG; MISALIGNMENT; ENTRAINMENT; INVENTORY; EXPOSURE; DURATION; ANXIETY</t>
  </si>
  <si>
    <t>Chronotype is a reliable biomarker for studying the influence of external zeitgebers on circadian entrainment. Assessment of chronotype variation in participants exposed to extreme photoperiods may be useful to investigate how changes in light-dark cycle modulate the circadian system. This study aimed to examine chronotype and sleep changes during a winter campaign at the Argentine Antarctic station Belgrano II. A sample of 82 men who overwintered in Antarctica completed the Munich Chronotype Questionnaire during March (daylight length: 18.6 h), May (daylight length: 2.8 h), July (daylight length: 0 h), September (daylight length: 14.5 h), November (daylight length: 24 h). The main results showed a decrease in sleep duration and a delay in chronotype and social jetlag during the polar night, highlighting the influence of social cues and the impact of the lack of natural light on circadian rhythms.</t>
  </si>
  <si>
    <t>[Tortello, C.; Vigo, D. E.; Plano, S. A.] Pontifical Catholic Univ Argentina UCA, Inst Biomed Res BIOMED, Natl Sci &amp; Tech Res Council CONICET, Chronophysiol Lab, Buenos Aires, DF, Argentina; [Folgueira, A.] Hlth Dept Armed Force Personnel, Minist Def, Buenos Aires, DF, Argentina; [Lopez, J. M.; Didier Garnham, F.; Rivero, M. S.] Argentine Joint Command, Buenos Aires, DF, Argentina; [Sala Lozano, E.] Argentine Antarctic Inst, Buenos Aires, DF, Argentina; [Simonelli, G.] Univ Montreal, Fac Med, Dept Med, Montreal, PQ, Canada; [Simonelli, G.] Univ Montreal, Fac Med, Dept Neurosci, Montreal, PQ, Canada; [Simonelli, G.] Hop Sacre Coeur Montreal, Ctr Etud Avancees Med Sommeil, CIUSSS NiM, Montreal, PQ, Canada; [Vigo, D. E.] Katholieke Univ Leuven, Fac Psychol &amp; Educ Sci, Leuven, Belgium; [Plano, S. A.] Natl Univ Quilmes, Dept Sci &amp; Technol, Chronobiol Lab, Buenos Aires, DF, Argentina</t>
  </si>
  <si>
    <t>Pontificia Universidad Catolica Argentina; Centro Nacional Patagonico (CENPAT); Consejo Nacional de Investigaciones Cientificas y Tecnicas (CONICET); Universite de Montreal; Universite de Montreal; Universite de Montreal; KU Leuven</t>
  </si>
  <si>
    <t>Vigo, DE; Plano, SA (corresponding author), Pontifical Catholic Univ Argentina UCA, Inst Biomed Res BIOMED, Natl Sci &amp; Tech Res Council CONICET, Chronophysiol Lab, Buenos Aires, DF, Argentina.;Vigo, DE (corresponding author), Katholieke Univ Leuven, Fac Psychol &amp; Educ Sci, Leuven, Belgium.;Plano, SA (corresponding author), Natl Univ Quilmes, Dept Sci &amp; Technol, Chronobiol Lab, Buenos Aires, DF, Argentina.</t>
  </si>
  <si>
    <t>danielvigo@uca.edu.ar; santiagoplano@uca.edu.ar</t>
  </si>
  <si>
    <t>Office of Naval Research Global [N62909-22-1-2008]; Ministry of Defense grant PIDDEF [06/14]; Agencia Nacional de Promocion Cientifica y Tecnica (ANPCyT) [N62909-22-1-2008, PICTO 2017-0068]; Centre de Recherche du CIUSSS du Nord-de-l'ile-de-Montreal; Fonds de Recherche du Quebec (Sante) Research Scholar Program</t>
  </si>
  <si>
    <t>Office of Naval Research Global(Office of Naval Research); Ministry of Defense grant PIDDEF; Agencia Nacional de Promocion Cientifica y Tecnica (ANPCyT)(ANPCyT); Centre de Recherche du CIUSSS du Nord-de-l'ile-de-Montreal; Fonds de Recherche du Quebec (Sante) Research Scholar Program</t>
  </si>
  <si>
    <t>We are grateful for the cooperation of Belgrano II Antarctic station crewmembers from 2014, 2016, 2017, 2018 and 2019 campaigns. This work was supported by the Office of Naval Research Global, Grant Number N62909-22-1-2008, the Ministry of Defense grant PIDDEF No 06/14 and the Agencia Nacional de Promocion Cientifica y Tecnica (ANPCyT) grant PICTO 2017-0068. This work was also partially supported by N62909-22-1-2008, and by the Centre de Recherche du CIUSSS du Nord-de-l'ile-de-Montreal. Additionally, GS is supported by the Fonds de Recherche du Quebec (Sante) Research Scholar Program.</t>
  </si>
  <si>
    <t>SEP 24</t>
  </si>
  <si>
    <t>10.1038/s41598-023-43102-0</t>
  </si>
  <si>
    <t>Y3GY2</t>
  </si>
  <si>
    <t>WOS:001104198800010</t>
  </si>
  <si>
    <t>Buonocore, F; Saraceni, PR; Taddei, AR; Miccoli, A; Porcelli, F; Borocci, S; Gerdol, M; Bugli, F; Sanguinetti, M; Fausto, AM; Scapigliati, G; Picchietti, S</t>
  </si>
  <si>
    <t>Buonocore, F.; Saraceni, P. R.; Taddei, A. R.; Miccoli, A.; Porcelli, F.; Borocci, S.; Gerdol, M.; Bugli, F.; Sanguinetti, M.; Fausto, A. M.; Scapigliati, G.; Picchietti, S.</t>
  </si>
  <si>
    <t>Antibacterial and anticancer activity of two NK-lysin-derived peptides from the Antarctic teleost Trematomus bernacchii</t>
  </si>
  <si>
    <t>FISH &amp; SHELLFISH IMMUNOLOGY</t>
  </si>
  <si>
    <t>Antimicrobial peptides; NK-lysin; Enterococcus faecalis; Acinetobacter baumannii; Melanoma cells; Trematomus bernacchii</t>
  </si>
  <si>
    <t>ANTIMICROBIAL PEPTIDES; MOLECULAR-DYNAMICS; FISH; MECHANISMS; EXPRESSION</t>
  </si>
  <si>
    <t>The NK-lysin antimicrobial peptide, first identified in mammals, possesses both antibacterial and cytotoxic activity against cancer cell lines. Homologue peptides isolated from different fish species have been examined for their functional characteristics in the last few years. In this study, a NK-lysin transcript was identified in silico from the head kidney transcriptome of the Antarctic teleost Trematomus bernacchii. The corresponding amino acid sequence, slightly longer than NK-lysins of other fish species, contains six cysteine residues that in mammalian counterparts form three disulphide bridges. Real time-PCR analysis indicated its predominant expression in T. bernacchii immune-related organs and tissues, with greatest mRNA abundance detected in gills and spleen. Instead of focusing on the full T. bernacchii derived NK-lysin mature molecule, we selected a 27 amino acid residue peptide (named NKL-WT), corresponding to the potent antibiotic NK-2 sequence found in human NK-lysin. Moreover, we designed a mutant peptide (named NKL-MUT) in which two alanine residues substitute the two cysteines found in the NKL-WT. The two peptides were obtained by solid phase organic synthesis to investigate their functional features. NKL-WT and NKL-MUT displayed antibacterial activity against the human pathogenic bacterium Enterococcus faecalis and the ESKAPE pathogen Acinetobacter baumannii, respectively. Moreover, at the determined Minimum Inhibitory Concentration and Minimum Bactericidal Concentration values against these pathogens, both peptides showed high selectivity as they did not exhibit any haemolytic activity on erythrocytes or cytotoxic activity against mammalian primary cell lines. Finally, the NKLMUT selectively triggers the killing of the melanoma cell line B16F10 by means of a pro-apoptotic pathway at a concentration range in which no effects were found in normal mammalian cell lines. In conclusion, the two peptides could be considered as promising candidates in the fight against antibiotic resistance and tumour proliferative action, and also be used as innovative adjuvants, either to decrease chemotherapy side effects or to enhance anticancer drug activity.</t>
  </si>
  <si>
    <t>[Buonocore, F.; Saraceni, P. R.; Porcelli, F.; Borocci, S.; Fausto, A. M.; Scapigliati, G.; Picchietti, S.] Univ Tuscia, Dept Innovat Biol Agrofood &amp; Forest Syst DIBAF, Largo Univ Snc, I-01100 Viterbo, Italy; [Saraceni, P. R.] Italian Natl Agcy New Technol, Energy &amp; Sustainable Econ Dev ENEA, Div Hlth Protect Technol, I-00123 Rome, Italy; [Taddei, A. R.] Univ Tuscia, Ctr Large Equipments, Sect Electron Microscopy, Largo Univ Snc, I-01100 Viterbo, Italy; [Miccoli, A.] CNR, Inst Marine Biol Resources &amp; Biotechnol, I-60125 Ancona, Italy; [Borocci, S.] Sapienza Univ Rome, Inst Biol Syst ISB CNR Secondary Off Rome React Me, Natl Res Council, Dept Chem, Ple A Moro 5, I-00185 Rome, Italy; [Gerdol, M.] Univ Trieste, Dept Life Sci, I-34127 Trieste, Italy; [Bugli, F.; Sanguinetti, M.] Univ Cattolica Sacro Cuore, Dept Basic Biotechnol Sci Intens &amp; Perioperat Clin, I-00168 Rome, Italy; [Bugli, F.; Sanguinetti, M.] A Gemelli Univ Hosp Fdn IRCCS, Dept Lab Sci &amp; Infect Dis, I-00168 Rome, Italy; [Picchietti, S.] Univ Tuscia, Dept Innovat Biol Agrofood &amp; Forest Syst, I-01100 Viterbo, Italy</t>
  </si>
  <si>
    <t>Tuscia University; Italian National Agency New Technical Energy &amp; Sustainable Economics Development; Tuscia University; Consiglio Nazionale delle Ricerche (CNR); Sapienza University Rome; University of Trieste; Catholic University of the Sacred Heart; IRCCS Policlinico Gemelli; Tuscia University</t>
  </si>
  <si>
    <t>Picchietti, S (corresponding author), Univ Tuscia, Dept Innovat Biol Agrofood &amp; Forest Syst, I-01100 Viterbo, Italy.</t>
  </si>
  <si>
    <t>picchietti@unitus.it</t>
  </si>
  <si>
    <t>Buonocore, Francesco/0000-0001-8045-5651</t>
  </si>
  <si>
    <t>National Programme for Antarctic Research (PNRA) [PNRA18_00077]</t>
  </si>
  <si>
    <t>National Programme for Antarctic Research (PNRA)</t>
  </si>
  <si>
    <t>This work was supported by the National Programme for Antarctic Research (PNRA) [Grant number PNRA18_00077] .</t>
  </si>
  <si>
    <t>1050-4648</t>
  </si>
  <si>
    <t>1095-9947</t>
  </si>
  <si>
    <t>FISH SHELLFISH IMMUN</t>
  </si>
  <si>
    <t>Fish Shellfish Immunol.</t>
  </si>
  <si>
    <t>10.1016/j.fsi.2023.109099</t>
  </si>
  <si>
    <t>Fisheries; Immunology; Marine &amp; Freshwater Biology; Veterinary Sciences</t>
  </si>
  <si>
    <t>X0NV7</t>
  </si>
  <si>
    <t>WOS:001095514900001</t>
  </si>
  <si>
    <t>Aflenzer, H; Hoffmann, L; Holmes, T; Wuttig, K; Genovese, C; Bowie, AR</t>
  </si>
  <si>
    <t>Aflenzer, Helene; Hoffmann, Linn; Holmes, Thomas; Wuttig, Kathrin; Genovese, Cristina; Bowie, Andrew Ross</t>
  </si>
  <si>
    <t>Effect of dissolved iron (II) and temperature on growth of the Southern Ocean phytoplankton species Fragilariopsis cylindrus and Phaeocystis antarctica</t>
  </si>
  <si>
    <t>Iron bioavailability; Ocean warming; Antarctic phytoplankton; Climate change; Phytoplankton species composition</t>
  </si>
  <si>
    <t>ORGANIC-LIGANDS; SURFACE WATERS; OXIDATION; FE(II); POLAR; ACIDIFICATION; AVAILABILITY; REDUCTION; SEAWATER; BLOOMS</t>
  </si>
  <si>
    <t>Low bioavailability of the vital element iron (Fe) limits primary production in large regions of the Southern Ocean, thus impacting phytoplankton community structures. Primary productivity seems to be particularly sensitive to the reduced form of iron (Fe(II)), which is thought to be the most readily bioavailable redox form of Fe in the ocean. Here, we investigated the impact of temperature (3 degrees C, 5 degrees C and 7 degrees C) and Fe(II) additions (+ 5 nM) on growth of two Southern Ocean phytoplankton species Fragilariopsis cylindrus and Phaeocystis antarctica in coastal and open ocean water. At all tested temperatures, growth rates of P. antarctica were significantly higher with added iron, compared to the treatments without added iron in both waters. Temperature only had a significant effect on the growth rate of this species when it was raised to 7 degrees C in all treatments. For F. cylindrus, growth rates only significantly increased with iron addition at 7 degrees C in both water types. Temperature did not affect the growth rate of F. cylindrus except for a significant reduction without iron addition at 7 degrees C in coastal water. These results highlight the complex interactions between Fe bioavailability and temperature on Southern Ocean phytoplankton growth. Thus, certain Southern Ocean phytoplankton species may have higher growth rates in regions of the ocean that will warm the most and possibly experience greater Fe supply under future climate conditions, such as coastal regions. This may result in changes in phytoplankton community structures with implications for carbon sequestration efficiency under future climate conditions.</t>
  </si>
  <si>
    <t>[Aflenzer, Helene; Wuttig, Kathrin; Bowie, Andrew Ross] Univ Tasmania, Antarctic Climate &amp; Ecosyst Cooperat Res Ctr ACE C, Private Bag 80, Hobart, Tas 7001, Australia; [Aflenzer, Helene; Holmes, Thomas; Genovese, Cristina; Bowie, Andrew Ross] Univ Tasmania, Inst Marine &amp; Antarctic Studies IMAS, Private Bag 129, Hobart, Tas 7001, Australia; [Aflenzer, Helene] Univ Tasmania, Australian Res Council Gateway Partnership, Private Bag 80, Hobart, Tas 7001, Australia; [Hoffmann, Linn] Univ Otago, Dept Bot, Dunedin 9054, New Zealand; [Holmes, Thomas; Bowie, Andrew Ross] Univ Tasmania, Australian Antarctic Program Partnership AAPP, Private Bag 80, Hobart, Tas 7001, Australia; [Genovese, Cristina] Univ Libre Bruxelles, Dept Glaciol, Ave FD Roosevelt 50, B-1050 Brussels, Belgium</t>
  </si>
  <si>
    <t>University of Tasmania; University of Tasmania; University of Tasmania; University of Otago; University of Tasmania; Universite Libre de Bruxelles</t>
  </si>
  <si>
    <t>Aflenzer, H (corresponding author), Univ Tasmania, Antarctic Climate &amp; Ecosyst Cooperat Res Ctr ACE C, Private Bag 80, Hobart, Tas 7001, Australia.;Aflenzer, H (corresponding author), Univ Tasmania, Inst Marine &amp; Antarctic Studies IMAS, Private Bag 129, Hobart, Tas 7001, Australia.;Aflenzer, H (corresponding author), Univ Tasmania, Australian Res Council Gateway Partnership, Private Bag 80, Hobart, Tas 7001, Australia.</t>
  </si>
  <si>
    <t>helene.aflenzer@gmail.com</t>
  </si>
  <si>
    <t>Wuttig, Kathrin/F-5793-2015; Holmes, Thomas/J-4950-2015; Bowie, Andrew/C-8677-2013</t>
  </si>
  <si>
    <t>Wuttig, Kathrin/0000-0003-4010-5918; Holmes, Thomas/0000-0001-8061-4325; Bowie, Andrew/0000-0002-5144-7799; Hoffmann, Linn/0000-0003-0242-4686</t>
  </si>
  <si>
    <t>We are grateful to the captain, crew, and scientists onboard the SR3 expedition (IN2018_V01) of the R.V Investigator. For water collection and filtration, we would like to thank Pauline Latour, Pier van der Merwe, Melanie Gault-Ringold, Ch [IN2018_V01]; Pier van der Merwe</t>
  </si>
  <si>
    <t>We are grateful to the captain, crew, and scientists onboard the SR3 expedition (IN2018_V01) of the R.V Investigator. For water collection and filtration, we would like to thank Pauline Latour, Pier van der Merwe, Melanie Gault-Ringold, Ch; Pier van der Merwe</t>
  </si>
  <si>
    <t>We are grateful to the captain, crew, and scientists onboard the SR3 expedition (IN2018_V01) of the R.V Investigator. For water collection and filtration, we would like to thank Pauline Latour, Pier van der Merwe, Melanie Gault-Ringold, Christine Weldrick and Matt Corkill. We further would like to thank Damon Britton and Catriona Hurd for analysis of the seawater nutrient concentrations, Pier van der Merwe, Melanie Gault-Ringold and Pauline Latour for their assistance with preparing the samples for SF-ICP-MS analyses and Ashley Townsend for analysing them. Further we would like to thank Andrew McMinn for providing the phytoplankton cultures, Fraser Kennedy for giving insights into culturing techniques and Robert Strzepek for providing comments on the manuscript.</t>
  </si>
  <si>
    <t>10.1007/s00300-023-03191-z</t>
  </si>
  <si>
    <t>U2YC4</t>
  </si>
  <si>
    <t>WOS:001070715600001</t>
  </si>
  <si>
    <t>Wierzgon, M; Ivanets, V; Prekrasna-Kviatkovska, Y; Plásek, V; Parnikoza, I</t>
  </si>
  <si>
    <t>Wierzgon, Mariusz; Ivanets, Viktoria; Prekrasna-Kviatkovska, Yevheniia; Plasek, Vitezslav; Parnikoza, Ivan</t>
  </si>
  <si>
    <t>Moss bank composition on Galindez Island (Argentine Islands, maritime Antarctic)</t>
  </si>
  <si>
    <t>Bryophytes; Diversity; Global change monitoring; Vegetation; Polytrichum strictum; Chorisodontium aciphyllum</t>
  </si>
  <si>
    <t>VEGETATION; DESV.</t>
  </si>
  <si>
    <t>Tall moss turf subformation, the developed form of which is known as moss banks (MBs), play an important role in maritime Antarctic terrestrial communities. In this study, the thickness, area, species richness, correlation between these parameters, ratio of brown- and black- Polytrichum strictum, and species composition of 44 alive MBs on Galindez Island, the Argentine Islands, Graham Coast, during 2013-2022, were investigated. Furthermore, the key parameters of the largest Smith MB in Galindez were compared with measurements recorded in 1976. All the MBs tended to grow on the northern slopes. MB`s thicknesses were variated from 7 to 75 cm exhibiting a moderate correlation between thickness and area. The MB bryophyte flora included 13 moss species and four liverwort species. No correlation was observed between species richness and the area of MB; however, species richness was positively correlated with MB's thickness. The MBs species richness was possibly dependent on their age and local micro-conditions. The abundance of some bryophytes was also correlated with MB's thickness. A comparison of the results of this study and those obtained in 1976 revealed an increase in the ratio of brown- and black- P. strictum class, no significant changes in the ratio of Chorisodontium aciphyllum, and a decrease in lichen incrustation. These results showed that the ratio of P. strictum's colour classes, C. aciphyllum, and liverworts' abundance can be used to evaluate the condition of the MB. The findings of this study can greatly contribute to the long-term monitoring of moss communities as indicators of global change.</t>
  </si>
  <si>
    <t>[Wierzgon, Mariusz] Univ Silesia Katowice, Inst Biol Biotechnol &amp; Environm Protect, Fac Nat Sci, Katowice, Poland; [Ivanets, Viktoria; Prekrasna-Kviatkovska, Yevheniia; Parnikoza, Ivan] Minist Educ &amp; Sci Ukraine, State Inst Natl Antarctic Sci Ctr, Kiev, Ukraine; [Plasek, Vitezslav] Univ Ostrava, Dept Biol &amp; Ecol, Ostrava, Czech Republic; [Plasek, Vitezslav] Univ Opole, Inst Biol, Opole, Poland; [Parnikoza, Ivan] Inst Mol Biol Ukraine, Natl Acad Sci Ukraine, Kiev, Ukraine; [Parnikoza, Ivan] Natl Univ Kyiv, Mohyla Acad, Fac Nat Sci, Kiev, Ukraine</t>
  </si>
  <si>
    <t>University of Silesia in Katowice; Ministry of Education &amp; Science of Ukraine; State Institution National Antarctic Scientific Center; University of Ostrava; University of Opole; National Academy of Sciences Ukraine; Ministry of Education &amp; Science of Ukraine; National University of Kyiv Mohyla Academy</t>
  </si>
  <si>
    <t>Ivanets, V (corresponding author), Minist Educ &amp; Sci Ukraine, State Inst Natl Antarctic Sci Ctr, Kiev, Ukraine.</t>
  </si>
  <si>
    <t>yellowderevo@gmail.com</t>
  </si>
  <si>
    <t>We are obliged to everyone, who in these days protects Ukraine and stands with Ukraine. The authors are indebted to professor Ryszard Ochyra (Krakw) for checking specimen determinations and for his help in identifying some problematic taxa, as well; Antarctic region's bryophytes</t>
  </si>
  <si>
    <t>We are obliged to everyone, who in these days protects Ukraine and stands with Ukraine. The authors are indebted to professor Ryszard Ochyra (Krakow) for checking specimen determinations and for his help in identifying some problematic taxa, as well as for the constant inspiration for further research of the Antarctic region's bryophytes. We also thank Hanna Yevchun, Yuriy Shepeta, and all stuff of Akademik Vernadsky station for technical help in this research preparation.</t>
  </si>
  <si>
    <t>2023 SEP 23</t>
  </si>
  <si>
    <t>10.1007/s00300-023-03197-7</t>
  </si>
  <si>
    <t>IN2T0</t>
  </si>
  <si>
    <t>WOS:001166946900001</t>
  </si>
  <si>
    <t>DuVivier, AK; Molina, MJ; Deppenmeier, AL; Holland, MM; Landrum, L; Krumhardt, K; Jenouvrier, S</t>
  </si>
  <si>
    <t>DuVivier, Alice K.; Molina, Maria J.; Deppenmeier, Anna-Lena; Holland, Marika M.; Landrum, Laura; Krumhardt, Kristen; Jenouvrier, Stephanie</t>
  </si>
  <si>
    <t>Projections of winter polynyas and their biophysical impacts in the Ross Sea Antarctica</t>
  </si>
  <si>
    <t>Antarctic; Sea ice; Climate change; Model; Polynya</t>
  </si>
  <si>
    <t>This study investigates winter polynyas in the southern Ross Sea, Antarctica where several polynyas are known to form. Coastal polynyas are areas of lower sea ice concentration and/or thickness along the coast that are otherwise surrounded by more extensive, thicker sea ice pack. Polynyas are also locations where organisms can exploit both the ice substrate and pelagic resources. Using a self organizing map algorithm, we identify polynya events in the Community Earth System Model Version 2 Large Ensemble (CESM2-LE). The neural network algorithm is able to identify polynya events without imposing an ice concentration or thickness threshold, as is often done when identifying polynyas. The CESM2-LE produces a wintertime polynya feature comparable in size and location to the Ross Sea polynya, and during polynya events there are large turbulent heat fluxes and export of sea ice from the Ross Sea. In the CESM2-LE polynya event frequency is projected to decrease sharply in the later twentyfirst century, leading to increasing sea ice concentrations and thicknesses in the region. The drivers of the polynya frequency decline are likely both large scale circulation changes and local atmosphere and ocean feedbacks. If declines in wintertime polynya frequency over the twentyfirst century do occur they may impact Antarctic Bottom Water formation and local net primary productivity. Thus, better understanding potential local and unexpected sea ice changes in the Ross Sea is important for both assessing climate system impacts and ecological impacts on the Ross Sea ecosystem, which is currently protected by an internationally recognized marine protected area.</t>
  </si>
  <si>
    <t>[DuVivier, Alice K.; Molina, Maria J.; Deppenmeier, Anna-Lena; Holland, Marika M.; Landrum, Laura; Krumhardt, Kristen] Natl Ctr Atmospher Res, Climate &amp; Global Dynam, POB 3000, Boulder, CO 80307 USA; [Molina, Maria J.] Univ Maryland, Dept Atmospher &amp; Ocean Sci, College Pk, MD 20742 USA; [Jenouvrier, Stephanie] Woods Hole Oceanog Inst, Falmouth, MA USA</t>
  </si>
  <si>
    <t>National Center Atmospheric Research (NCAR) - USA; University System of Maryland; University of Maryland College Park; Woods Hole Oceanographic Institution</t>
  </si>
  <si>
    <t>DuVivier, AK (corresponding author), Natl Ctr Atmospher Res, Climate &amp; Global Dynam, POB 3000, Boulder, CO 80307 USA.</t>
  </si>
  <si>
    <t>duvivier@ucar.edu</t>
  </si>
  <si>
    <t>Molina, Maria J./JJC-1915-2023; Molina, Maria/P-5465-2018</t>
  </si>
  <si>
    <t>Molina, Maria/0000-0001-8539-8916</t>
  </si>
  <si>
    <t>We acknowledge support for this work from National Aeronautics and Space Administration (NASA), the National Science Foundation (NSF), and the Department of Energy (DOE) as detailed below. Any opinions, findings, and conclusions or recommendations expressed in this material are those of the authors and do not necessarily reflect the views of these agencies. Computing and data storage resources, including the Cheyenne supercomputer (Computational And Information Systems Laboratory 2017), were provided by the Computational and Information Systems Laboratory (CISL) at the National Center for Atmospheric Research (NCAR). We thank all the scientists, software engineers, and administrators who contributed to the development of CESM2. We used the Antarctic geography dataset from Gerrish and Cooper (2022) for our figures.</t>
  </si>
  <si>
    <t>10.1007/s00382-023-06951-z</t>
  </si>
  <si>
    <t>GE2V3</t>
  </si>
  <si>
    <t>WOS:001068837100001</t>
  </si>
  <si>
    <t>Heintzenberg, J; Legrand, M; Gao, Y; Hara, K; Huang, S; Humphries, RS; Kamra, AK; Keywood, MD; Sakerin, SM</t>
  </si>
  <si>
    <t>Heintzenberg, Jost; Legrand, Michel; Gao, Yuan; Hara, Keiichiro; Huang, Shan; Humphries, Ruhi S.; Kamra, Adarsh K.; Keywood, Melita D.; Sakerin, Sergey M.</t>
  </si>
  <si>
    <t>Spatio-Temporal Distributions of the Natural Non-Sea-Salt Aerosol Over the Southern Ocean and Coastal Antarctica and Its Potential Source Regions</t>
  </si>
  <si>
    <t>TELLUS SERIES B-CHEMICAL AND PHYSICAL METEOROLOGY</t>
  </si>
  <si>
    <t>Southern Ocean; Antarctica; biogenic marine emissions; aerosol sources; particle number concentrations; particle composition; major ions</t>
  </si>
  <si>
    <t>CLOUD CONDENSATION NUCLEI; CHEMICAL-COMPOSITION; ATMOSPHERIC SULFUR; SURFACE MICROLAYER; SIZE DISTRIBUTION; SEASONAL-VARIATIONS; PARTICLE FORMATION; DIMETHYL SULFIDE; MARINE AEROSOLS; SUMMER AEROSOL</t>
  </si>
  <si>
    <t>More than 40 years of aerosol data including concentrations of particle number and of nine major ions collected over the Southern Ocean and coastal stations have been aggregated and filtered with back trajectories to reduce the risk of influence from adjacent continents. That provided a rich dataset including latitudinal distribution and seasonality of physical and chemical aerosol parameters that allow insights into aerosol sources over the Southern Ocean. These data together with statistics of back trajectory paths of high (75% percentile) and low (25% percentile) concentrations of the studied aerosol parameters were used to identify potential source regions of the respective compounds. For particle number concentrations, MSA, and the non-sea-salt fractions of Ca and potassium the most prominent source regions were found in high DMS-areas close to Antarctica, whereas the potential source regions of NH4 and the non-sea-salt fraction of Mg were located in part further north over the Southern Ocean. These geographical differences would reflect differences in the marine biota.</t>
  </si>
  <si>
    <t>[Heintzenberg, Jost; Huang, Shan] Inst Tropospher Res, Permoser Str 15, D-04318 Leipzig, Germany; [Legrand, Michel] Univ Grenoble Alpes, CNRS, Inst Geosci Environm IGE, Grenoble, France; [Legrand, Michel] Univ Paris Cite, F-75013 Paris, France; [Legrand, Michel] Univ Paris Est Creteil, CNRS, LISA, F-75013 Paris, France; [Gao, Yuan] Rutgers State Univ, Dept Earth &amp; Environm Sci, Newark, NJ USA; [Hara, Keiichiro] Fukuoka Univ, Dept Earth Sci Syst, Fac Sci, Fukuoka, Japan; [Huang, Shan] Jinan Univ, Inst Environm &amp; Climate Res, Guangzhou 511443, Peoples R China; [Humphries, Ruhi S.; Keywood, Melita D.] CSIRO Oceans &amp; Atmosphere, Climate Sci Ctr, Melbourne, Vic, Australia; [Humphries, Ruhi S.; Keywood, Melita D.] CSIRO Environm, Melbourne, Vic, Australia; [Kamra, Adarsh K.] Indian Inst Trop Meteorol, Pune, Maharashtra, India; [Sakerin, Sergey M.] Russian Acad Sci, VE Zuev Inst Atmospher Opt, Siberian Branch, Acad Zuev Sq 1, Tomsk 634021, Russia</t>
  </si>
  <si>
    <t>Leibniz Institut fur Tropospharenforschung (TROPOS); Communaute Universite Grenoble Alpes; Universite Grenoble Alpes (UGA); Centre National de la Recherche Scientifique (CNRS); Universite Paris Cite; Centre National de la Recherche Scientifique (CNRS); Universite Paris-Est-Creteil-Val-de-Marne (UPEC); Universite Paris Cite; Rutgers University System; Rutgers University Newark; Rutgers University New Brunswick; Fukuoka University; Jinan University; Melbourne Genomics Health Alliance; Commonwealth Scientific &amp; Industrial Research Organisation (CSIRO); Melbourne Genomics Health Alliance; Ministry of Earth Sciences (MoES) - India; Indian Institute of Tropical Meteorology (IITM); Zuev Institute of Atmospheric Optics, Siberian Branch of the Russian Academy of Sciences; Russian Academy of Sciences</t>
  </si>
  <si>
    <t>Heintzenberg, J (corresponding author), Inst Tropospher Res, Permoser Str 15, D-04318 Leipzig, Germany.</t>
  </si>
  <si>
    <t>jost@tropos.de</t>
  </si>
  <si>
    <t>Gao, Yuan/0000-0002-1781-8971</t>
  </si>
  <si>
    <t>Ministry of Earth Sciences, Government of India; Belgian Science Policy office [BR/143/A2/AEROCLOUD, BR/175/A2/CHASE, BR/175/A2/CHASE-2]; Indian National Science Academy under the INSA Honorary Scientist Program; Italian Ministry of University and Research; Programma Nazionale di Ricerca in Antartide through the Projects Correlation between biogenic aerosol and primary production in the Ross Sea-BioAPRoS [PNRA16_00065-A1]</t>
  </si>
  <si>
    <t>Ministry of Earth Sciences, Government of India(Ministry of Earth Science (MoES), Government of India); Belgian Science Policy office(Belgian Federal Science Policy Office); Indian National Science Academy under the INSA Honorary Scientist Program; Italian Ministry of University and Research(Ministry of Education, Universities and Research (MIUR)); Programma Nazionale di Ricerca in Antartide through the Projects Correlation between biogenic aerosol and primary production in the Ross Sea-BioAPRoS</t>
  </si>
  <si>
    <t>Shrivardhan Hulswar and colleagues of the Indian Institute of Tropical Meteorology, Pune, India generously shared their latest DMS-climatology with us before its publication. Aerosol data for the Indian coastal station, Maitri at Antarctica was made available by Vimlesh Pant and Devendraa Siingh of the Indian Institute of Tropical Meteorology, Pune, India which is funded by Ministry of Earth Sciences, Government of India. CPC-data from the Cape Point GAW station, South African Weather Service were contributed by Casper Labuschagne. Marek Kubicki shared the CPC data from the Polish station Arctowski in the South Shetlands with us. Willy Maenhaut of Ghent University kindly provided sample data from Amsterdam Island. We thank Alexander Mangold of the Royal Meteorological Institute of Belgium for providing the particle number concentration data for Princess Elisabeth Antarctica station. These measurements were financed by the Belgian Science Policy office through research contracts BR/143/A2/AEROCLOUD and BR/175/A2/CHASE and BR/175/A2/CHASE-2. Multiple datasets from island and coastal stations were made available by Greg Ayers, CSIRO, Australia, Joe Prospero of the University of Miami, USA, and Rolf Weller, Alfred Wegener Institute, Bremerhaven, Germany. Aerosol data from the first Circumantarctic research cruise ACE and from Bird Island were kindly shared by Julia Schmale, Extreme Environments Research Laboratory, Sion, Switzerland. Young Jun Yoon and Ki-Tae Park provided aerosol size distribution and major ion data collected at the Korean King Sejong Station, Antarctica. One of the authors (AKK) acknowledges the support of the Indian National Science Academy under the INSA Honorary Scientist Program. Silvia Becagli kindly contributed the chemical data from the Italian Antarctic station Mario Zucchelli, the collection of which had been supported by the Italian Ministry of University and Research and Programma Nazionale di Ricerca in Antartide through the Projects Correlation between biogenic aerosol and primary production in the Ross Sea-BioAPRoS (grant no. PNRA16_00065-A1).</t>
  </si>
  <si>
    <t>1600-0889</t>
  </si>
  <si>
    <t>TELLUS B</t>
  </si>
  <si>
    <t>Tellus Ser. B-Chem. Phys. Meteorol.</t>
  </si>
  <si>
    <t>SEP 22</t>
  </si>
  <si>
    <t>10.16993/tellusb.1869</t>
  </si>
  <si>
    <t>GW5B5</t>
  </si>
  <si>
    <t>WOS:001155711900002</t>
  </si>
  <si>
    <t>Marino, E; González, FJ; Kuhn, T; Madureira, P; Somoza, L; Medialdea, T; Lobato, A; Miguel, C; Reyes, J; Oeser, M</t>
  </si>
  <si>
    <t>Marino, E.; Gonzalez, F. J.; Kuhn, T.; Madureira, P.; Somoza, L.; Medialdea, T.; Lobato, A.; Miguel, C.; Reyes, J.; Oeser, M.</t>
  </si>
  <si>
    <t>Factors controlling rare earth element plus yttrium enrichment in Fe-Mn crusts from Canary Islands Seamounts (NE Central Atlantic)</t>
  </si>
  <si>
    <t>Fe - Mn Crusts; High resolution analyses; Rare earth elements plus yttrium enrichment; Water masses influence</t>
  </si>
  <si>
    <t>AFANASIY-NIKITIN SEAMOUNT; RICH FERROMANGANESE CRUSTS; MANGANESE NODULES; WATER MASSES; COBALT-RICH; ISOTOPE RATIOS; TRACE-ELEMENTS; INDIAN-OCEAN; IN-SITU; DEPOSITS</t>
  </si>
  <si>
    <t>Marine minerals are important because concentrate in their structure high contents of strategic and critical elements as rare earth elements. Forty-two samples from eight seamounts of Canary Islands Seamount Province (CISP) have been analyzed in order to evaluate their rare earth elements plus yttrium contents (REY). Highest contents of REY are related to hydrogenetic minerals and essentially Fe-vernadite (on average 3000 mu g/g). Diagenetic minerals, on the other hand, show the lowest REY contents with an average content of 260 mu g/g. These differences also depend on the growth rates, hydrogenetic minerals with growth rates between 0.5 and 5 mm/Ma allow the incorporation of more REY in their structure. REY contents in studied samples varies depending several factors associated with depth and location, shallowest samples presumably growth near or within the oxygen minimum zone are the most enriched with up to 3800 mu g/g due to local enrichment of these elements and the slowest growth rate promoted by the reduced ambient conditions while deeper samples around 3000 m water depth show 2800 mu g/g. Location also has a role in REY contents essentially due to the presence of different currents. Samples faced to north are exposed to the more oxygenated waters of the North Atlantic Deep Water and are depleted in REY if compared with deeper samples facing to south to the more oxic Antarctic Bottom Water. Finally, the case of study made on three different seamounts of the CISP show that Fe-Mn crusts from this area could provide on average 130 tons of hydrometallurgical recovered REY (based on 1 km2 areal crust coverage) together with interesting quantity of several other strategic and base elements as Mn, Co, Ni, Cu, V, Mo between others.</t>
  </si>
  <si>
    <t>[Marino, E.; Gonzalez, F. J.; Somoza, L.; Medialdea, T.; Lobato, A.; Reyes, J.] Geol Survey Spain CSIC IGME, Marine Geol Div, Rios Rosas,23, Madrid 28003, Spain; [Kuhn, T.] Fed Inst Geosci &amp; Nat Resources BGR, Stilleweg 2, D-30655 Hannover, Germany; [Madureira, P.] Evora Univ, Dep Geosci, P-7000671 Evora, Portugal; [Madureira, P.] Evora Univ, Inst Earth Sci, P-7000671 Evora, Portugal; [Madureira, P.] Portuguese Task Grp Extens Continental Shelf EMEP, P-2770047 Paco De Arcos, Portugal; [Miguel, C.] Univ Evora, HERCULES Lab, Associate Lab IN2PAST, Palacio Vimioso,Largo Marques de Marialva 8, P-7000809 Evora, Portugal; [Miguel, C.] Univ Evora, City Univ Macau Chair Sustainable Heritage, Palacio Vimioso,Largo Marques de Marialva 8, P-7000809 Evora, Portugal; [Oeser, M.] Leibniz Univ Hannover, Inst Mineral, Callinstr 3, D-30167 Hannover, Germany</t>
  </si>
  <si>
    <t>University of Evora; University of Evora; University of Evora; University of Evora; Leibniz University Hannover</t>
  </si>
  <si>
    <t>Marino, E (corresponding author), Geol Survey Spain CSIC IGME, Marine Geol Div, Rios Rosas,23, Madrid 28003, Spain.</t>
  </si>
  <si>
    <t>e.marino@igme.es</t>
  </si>
  <si>
    <t>Gonzalez Sanz, Francisco Javier/0000-0002-6311-1950</t>
  </si>
  <si>
    <t>ATLANTIS project of the Spanish State Investigation Agency (AEI) [PID2021-124553OB-I00]; European contract EMODnet-Geology [EASME/EMFF/2016/1.31.2-Lot 1/SI2.750862]; Horizon Europe projects GSEU [HORIZON-CL5-2021-D3-02-14, 101075609]; TRIDENT [101091959]; FCT-Fundacao para a Ciencia e a Tecnologia, I.P. [UIDB/04449/2020, UIDP/04449/2020, DL57/2016/CP1372/CT0012]; Horizon Europe - Pillar II [101075609] Funding Source: Horizon Europe - Pillar II</t>
  </si>
  <si>
    <t>ATLANTIS project of the Spanish State Investigation Agency (AEI); European contract EMODnet-Geology; Horizon Europe projects GSEU; TRIDENT; FCT-Fundacao para a Ciencia e a Tecnologia, I.P.(Fundacao para a Ciencia e a Tecnologia (FCT)); Horizon Europe - Pillar II(European Union (EU)Horizon Europe - Pillar II)</t>
  </si>
  <si>
    <t>This research is funded by the ATLANTIS project (PID2021-124553OB-I00) of the Spanish State Investigation Agency (AEI) , European contract EMODnet-Geology (EASME/EMFF/2016/1.31.2-Lot 1/SI2.750862) , and the Horizon Europe projects GSEU (HORIZON-CL5-2021-D3-02-14, Project 101075609) and TRIDENT (Grant agreement ID: 101091959) . Authors would also like to thank all the staff of the General Laboratories of the Geological and Mining Institute of Spain (IGME-CSIC) for their help in obtaining the different results. Raman analysis were supported by Portuguese national funds through the FCT-Fundacao para a Ciencia e a Tecnologia, I.P., within the projects UIDB/04449/2020 and UIDP/04449/2020 (HERCULES Laboratory) . C. M. thanks, DL57/2016/CP1372/CT0012 (Norma Transitoria) . We also thanks reviewers and editor for their constructive comments useful to improve the quality of the manuscript.</t>
  </si>
  <si>
    <t>10.1016/j.margeo.2023.107144</t>
  </si>
  <si>
    <t>GB2V0</t>
  </si>
  <si>
    <t>WOS:001150141200001</t>
  </si>
  <si>
    <t>Navarrete, C; Bastías-Silva, J; Gianni, G; Jalfin, G; Guerra, G; Hurley, M; Chew, D; Turra, JM; Ocampo, M; Lastra, MB; Herbst, N; Iglesias, M; Frasette, MP; Drakou, F</t>
  </si>
  <si>
    <t>Navarrete, C.; Bastias-Silva, J.; Gianni, G.; Jalfin, G.; Guerra, G.; Hurley, M.; Chew, D.; Turra, J. M.; Ocampo, M.; Lastra, M. B.; Herbst, N.; Iglesias, M.; Frasette, M. Perez; Drakou, F.</t>
  </si>
  <si>
    <t>Late Paleozoic-Jurassic tectonic evolution of the eastern Deseado Massif in central-southern Patagonia</t>
  </si>
  <si>
    <t>JOURNAL OF GEODYNAMICS</t>
  </si>
  <si>
    <t>Southwestern Gondwana; Patagonia; Permian; Triassic; Jurassic; Tectono-sedimentary evolution</t>
  </si>
  <si>
    <t>SANTA-CRUZ PROVINCE; EL TRANQUILO GROUP; U-PB; TRIASSIC FLORA; BREAK-UP; SOUTHWESTERN GONDWANA; STRUCTURAL EVOLUTION; ANTARCTIC PENINSULA; BAQUERO-GROUP; BASIN</t>
  </si>
  <si>
    <t>Previous tectonic studies have indicated that the peri-cratonic lithosphere, located away from continental margins, is sensitive to far-field stresses propagating from active plate margins, which induce variable defor-mation. In order to gain a better understanding of potential intraplate tectonic events associated with the geo-dynamic evolution of the active margin of southwestern Gondwana, we conducted a tectono-sedimentary study of the Permian-Jurassic volcano-sedimentary record in the Deseado Massif, located in southern Patagonia. Our multidisciplinary analysis includes detailed geological mapping of an area of approximately 150 km2, structural analysis, geoelectric tomography, 2D seismic data, new geochronological dating, petrographic studies, and stratigraphic loggings of the volcano-sedimentary basin record. This comprehensive data set has allowed us to establish the tectonic, sedimentary, and magmatic evolution of the eastern Deseado Massif. Specifically, we have identified major normal faults associated with the syn-extensional deposition of late Permian and Jurassic sedimentary and volcanic rocks, as well as the Late Triassic emplacement of intermediate and felsic intrusive bodies. Additionally, interspersed large-scale shortening events were recognized, which induced positive tectonic inversion events in the region, recording contrasting stress fields during the analyzed lapse. Based on this, six major intraplate tectonomagmatic events were defined: (i) a potential post-Devonian pre-late Permian exhu-mation of the Neoproterozoic-early Paleozoic igneous-metamorphic basement, which we tentatively link to the Gondwanide orogeny; (ii) intraplate extension in the Late Permian (255 +/- 4 Ma) related to the deposition of the Dos Hermanos Member of the La Golondrina Formation; (iii) Late Triassic (231 +/- 3 Ma) intrusion of andesitic bodies, tentatively linked to the inland migration of arc magmatism associated with the South Gondwana flat slab; (iv) subsequent Late Triassic positive tectonic inversion of Permian extensional faults caused by a large-scale contractional event linked to the South Gondwana flat slab; (v) the extension-related emplacement and deposition of Early-Middle Jurassic (176 +/- 3 Ma; 172 +/- 4 Ma) sedimentary (lacustrine and fan deltas-related deposits), pyroclastic rocks (ignimbrites and ash tuffs), and lavas (lava domes and dykes) related to the Chon Aike silicic large igneous province; and (vi) poorly-constrained post-Middle Jurassic positive tectonic inversion of Jurassic faults. Therefore, we suggest that the geological events preserved in the Deseado Massif provide a key deformational record of the distal effects associated with ancient geodynamic processes that occurred along the southwestern active margin of Gondwana.</t>
  </si>
  <si>
    <t>[Navarrete, C.; Turra, J. M.; Lastra, M. B.; Frasette, M. Perez] Univ Nacl Patagonia San Juan Bosco, Fac Ciencias Nat &amp; Ciencias Salud, Lab Patagon Petrotecton, Comodoro Rivadavia, Chubut, Argentina; [Navarrete, C.; Gianni, G.; Frasette, M. Perez] CONICET Consejo Nacl Invest Cient &amp; Tecn, Buenos Aires, Argentina; [Bastias-Silva, J.; Chew, D.; Drakou, F.] Trinity Coll Dublin, Dept Geol, Coll Green, Dublin, Ireland; [Bastias-Silva, J.] Univ Andres Bello, Fac Ingn, Carrera Geol, Santiago, Chile; [Gianni, G.] Univ Nacl San Juan, Inst Geofis Sismol Ing Fernando Volponi IGSV, San Juan, Argentina; [Jalfin, G.; Herbst, N.] Lighthouse Energy, London, England; [Guerra, G.; Ocampo, M.; Iglesias, M.] Univ Nacl Patagonia San Juan Bosco, Comodoro Rivadavia, Argentina; [Hurley, M.] Univ Nacl Buenos Aires, Buenos Aires, Argentina; [Turra, J. M.] Serv Geol Minero Argentino SEGEMAR, Buenos Aires, Argentina; [Iglesias, M.] YPF SA, Buenos Aires, Argentina</t>
  </si>
  <si>
    <t>Universidad Nacional de la Patagonia San Juan Bosco; Consejo Nacional de Investigaciones Cientificas y Tecnicas (CONICET); Trinity College Dublin; Universidad Andres Bello; Universidad Nacional de San Juan; Universidad Nacional de la Patagonia San Juan Bosco</t>
  </si>
  <si>
    <t>Navarrete, C (corresponding author), Univ Nacl Patagonia San Juan Bosco, Fac Ciencias Nat &amp; Ciencias Salud, Lab Patagon Petrotecton, Comodoro Rivadavia, Chubut, Argentina.</t>
  </si>
  <si>
    <t>Bastias, Joaquin/A-6995-2016</t>
  </si>
  <si>
    <t>Bastias, Joaquin/0000-0001-6678-3173; Navarrete, Cesar/0000-0001-7106-3672; Drakou, Foteini/0000-0001-6618-4541</t>
  </si>
  <si>
    <t>Petro-Tectonic Patagonian Laboratory at the National University of Patagonia San Juan Bosco - Swiss National Science Foundation [1710]; Petro-Tectonic Patagonian Laboratory at the National University of Patagonia San Juan Bosco; GEOINV Geophysical Services; CIUNPAT [1710]; Swiss National Science Foundation [P500PN_202847]; Science Foundation Ireland (SFI) [13/RC/2092, 13/RC/2092_P2]; Swiss National Science Foundation (SNF) [P500PN_202847] Funding Source: Swiss National Science Foundation (SNF)</t>
  </si>
  <si>
    <t>Petro-Tectonic Patagonian Laboratory at the National University of Patagonia San Juan Bosco - Swiss National Science Foundation; Petro-Tectonic Patagonian Laboratory at the National University of Patagonia San Juan Bosco; GEOINV Geophysical Services; CIUNPAT; Swiss National Science Foundation(Swiss National Science Foundation (SNSF)); Science Foundation Ireland (SFI)(Science Foundation Ireland); Swiss National Science Foundation (SNF)(Swiss National Science Foundation (SNSF))</t>
  </si>
  <si>
    <t>We are grateful for the support received from the Petro-Tectonic Patagonian Laboratory at the National University of Patagonia San Juan Bosco, as well as GEOINV Geophysical Services. This study was made possible in part by the financial assistance provided by the CIUNPAT No1710 project. JB was funded by the Swiss National Science Foundation (project P500PN_202847) . DC acknowledges support from Science Foundation Ireland (SFI) under Grant Number 13/RC/2092 and 13/RC/2092_P2 (SFI Research Centre in Applied Geosciences, iCRAG) . This paper is dedicated to Isabella Navarrete Calvo.</t>
  </si>
  <si>
    <t>0264-3707</t>
  </si>
  <si>
    <t>J GEODYN</t>
  </si>
  <si>
    <t>J. Geodyn.</t>
  </si>
  <si>
    <t>10.1016/j.jog.2023.101997</t>
  </si>
  <si>
    <t>Y6EB5</t>
  </si>
  <si>
    <t>WOS:001106159500001</t>
  </si>
  <si>
    <t>Lörz, AN; Schwentner, M; Bober, S; Jazdzewska, AM</t>
  </si>
  <si>
    <t>Loerz, Anne-Nina; Schwentner, Martin; Bober, Simon; Jazdzewska, Anna M.</t>
  </si>
  <si>
    <t>Multi-ocean distribution of a brooding predator in the abyssal benthos</t>
  </si>
  <si>
    <t>MID-ATLANTIC RIDGE; CRUSTACEA BRANCHIOPODA; SPECIES DELIMITATION; SCAVENGING AMPHIPODS; DEEP; SEA; DIVERSITY; PHYLOGENY; EUSIRIDAE; ISOPODS</t>
  </si>
  <si>
    <t>How far are species distributed on the abyssal plains? Spanning from 3000 to 6000 m below sea level, abyssal plains cover three-quarters of the ocean floor and are the largest but also least explored habitat on Earth. The question of vertical and horizontal distribution is central to understanding biogeographic and population genetic processes within species inhabiting the deep-sea benthos. Amphipod crustaceans are an important and dominant taxon in this ecosystem. As they are brooders, their dispersal capacities are more limited compared to species with free-swimming larvae, and with the exception of a few scavenging species deep-sea amphipods are restricted to a single ocean. Based on an integrative taxonomic approach (morphology, COI, 16S and 18S) we demonstrate the occurrence of a predatory amphipod species, Rhachotropis abyssalis, in three oceans: the Antarctic Ross Sea, the Northwest Pacific and the North Atlantic; regions more than 20,000 km apart. Although such extensive geographic distributions may represent a rare exception for brooding predators, these findings might also be no exception at all, but a reflection of the rare sampling and rare taxonomic investigation of invertebrate predators in the deep-sea. Our findings highlight our abysmal state of knowledge regarding biodiversity and biogeography on abyssal plains.</t>
  </si>
  <si>
    <t>[Loerz, Anne-Nina] Univ Hamburg, Inst Marine Ecosyst &amp; Fishery Sci IMF, Ctr Earth Syst Res &amp; Sustainabil CEN, Hamburg, Germany; [Schwentner, Martin] Nat Hist Museum Vienna, Zool, Vienna, Austria; [Bober, Simon] Univ Hamburg, Dept Biodivers Anim, Hamburg, Germany; [Jazdzewska, Anna M.] Univ Lodz, Dept Invertebrate Zool &amp; Hydrobiol, Lodz, Poland</t>
  </si>
  <si>
    <t>University of Hamburg; University of Hamburg; University of Lodz</t>
  </si>
  <si>
    <t>Lörz, AN (corresponding author), Univ Hamburg, Inst Marine Ecosyst &amp; Fishery Sci IMF, Ctr Earth Syst Res &amp; Sustainabil CEN, Hamburg, Germany.</t>
  </si>
  <si>
    <t>Anne-Nina.Loerz@uni-hamburg.de</t>
  </si>
  <si>
    <t>Jazdzewska, Anna/0000-0003-2529-0641</t>
  </si>
  <si>
    <t>German Research Foundation [LO2543/1-1]; Federal Ministry of Education and Research Germany (BMBF) [03G0286NA]; BMBF [03G0223A]; Polish National Science Center [2022/45/B/NZ8/02667]; New Zealand Government under the International Polar Year Census of Antarctic Marine Life Project [TAN0402]; New Zealand Ministry of Fisheries; University Hamburg Projekt DEAL</t>
  </si>
  <si>
    <t>German Research Foundation(German Research Foundation (DFG)); Federal Ministry of Education and Research Germany (BMBF)(Federal Ministry of Education &amp; Research (BMBF)); BMBF(Federal Ministry of Education &amp; Research (BMBF)); Polish National Science Center; New Zealand Government under the International Polar Year Census of Antarctic Marine Life Project; New Zealand Ministry of Fisheries; University Hamburg Projekt DEAL</t>
  </si>
  <si>
    <t>Open Access funding enabled and organized by University Hamburg Projekt DEAL. German Research Foundation grant IceAGE Amphipoda LO2543/1-1 (ANL). The Federal Ministry of Education and Research Germany (BMBF) grant 03G0286NA to S. Brix, IceDivA2 expedition providing North Atlantic specimens. The BMBF grant 03G0223A to A. Brandt, KuramBio expedition providing Pacific specimens. This is publication 43 of the Kurambio project. Polish National Science Center grant No. 2022/45/B/NZ8/02667 (AMJ). Sampling permission was provided via Russia port authority, permission 49 from 5.4.2016. Specimens provided by the NIWA Invertebrate collection were collected on the TAN0802 voyage funded by the New Zealand Government under the International Polar Year Census of Antarctic Marine Life Project, and the TAN0402 biodiversity survey of the western Ross Sea and Balleny Islands (BIOROSS) undertaken by NIWA and financed by the former New Zealand Ministry of Fisheries.</t>
  </si>
  <si>
    <t>10.1038/s41598-023-42942-0</t>
  </si>
  <si>
    <t>U9FC6</t>
  </si>
  <si>
    <t>WOS:001087778000070</t>
  </si>
  <si>
    <t>Inoue, J; Sato, K</t>
  </si>
  <si>
    <t>Inoue, Jun; Sato, Kazutoshi</t>
  </si>
  <si>
    <t>Challenges in Detecting Clouds in Polar Regions Using a Drone with Onboard Low-Cost Particle Counter</t>
  </si>
  <si>
    <t>Meteorology; UAV; Cloud; Atmospheric boundary layer; Polar climate</t>
  </si>
  <si>
    <t>SENSOR; SYSTEM</t>
  </si>
  <si>
    <t>It is expected that uncrewed aerial vehicles (UAVs) will be used increasingly for operational atmospheric soundings to cover a broader area of the lower troposphere, including that in the polar regions and over the oceans. During the Japanese Antarctic Research Expedition of 2022/2023, 172 vertical profiles up to a maximum height of 1000 m a.s.l. were conducted from mid-December 2022 to mid-March 2023 using a commercially available inexpensive drone launched from the icebreaker RV Shirase. Over a quarter of the flights encountered clouds and snow, of which half produced icing on the body and blades of the drone. The onboard aerosol counter detected an increase in the particle number concentration in the cloud layers, which was synchronized with an increase in the attenuated backscatter coefficient of a shipboard lidar ceilometer. In the presence of icing, the concentration of particles &gt;1.0 mu m exceeded 5000 particles L-1 as a median value, while the concentration was &lt;1000 particles L-1 for cases without icing. Using an onboard aerosol counter and/or land-based ceilometer would be useful for detecting the icing environments.</t>
  </si>
  <si>
    <t>[Inoue, Jun] Natl Inst Polar Res, 10-3 Midori Cho, Tachikawa, Tokyo 1908518, Japan; Grad Univ Adv Studies SOKENDAI, 10-3 Midori Cho, Tachikawa, Tokyo 1908518, Japan</t>
  </si>
  <si>
    <t>Inoue, J (corresponding author), Natl Inst Polar Res, 10-3 Midori Cho, Tachikawa, Tokyo 1908518, Japan.</t>
  </si>
  <si>
    <t>inoue.jun@nipr.ac.jp</t>
  </si>
  <si>
    <t>Science Program of Japanese Antarctic Research Expedition (JARE) as Prioritized Research Projects [AJ1005, AJ1003]; JSPS KAKENHI [JP23H00523]; National Institute of Polar Research (NIPR) [KP-402, KC -401]; Arctic Challenge for Sustainability II project, Japan [JPMXD1420318865]</t>
  </si>
  <si>
    <t>Science Program of Japanese Antarctic Research Expedition (JARE) as Prioritized Research Projects; JSPS KAKENHI(Ministry of Education, Culture, Sports, Science and Technology, Japan (MEXT)Japan Society for the Promotion of ScienceGrants-in-Aid for Scientific Research (KAKENHI)); National Institute of Polar Research (NIPR)(National Institute of Polar Research (NIPR) - Japan); Arctic Challenge for Sustainability II project, Japan</t>
  </si>
  <si>
    <t>This study was supported by the Science Program of Japanese Antarctic Research Expedition (JARE) as Prioritized Research Projects (AJ1005 and AJ1003), JSPS KAKENHI (grant number: JP23H00523), National Institute of Polar Research (NIPR) through Project Research KP-402 and KC-401, and the Arctic Challenge for Sustainability II project, Japan (grant number: JPMXD1420318865). Dr. Atsushi Yoshida and Mr. Yuji Yoshida supported the UAV operations onboard the ship. The crew of the RV Shirase ensured the safety JARE64 cruise. Special coordination of all observations onboard the ship was performed by Mr. Masanori Murakami. We thank James Buxton MSc, from Edanz (https://jp.edanz.com /ac), for editing a draft of this manuscript, and two anonymous reviewers for providing constructive comments on the manuscript.</t>
  </si>
  <si>
    <t>10.1016/j.atmosenv.2023.120085</t>
  </si>
  <si>
    <t>U4KV6</t>
  </si>
  <si>
    <t>WOS:001084513000001</t>
  </si>
  <si>
    <t>Ge, FY; Guo, RZ; Liang, YT; Chen, Y; Shao, HB; Sung, YY; Mok, WJ; Wong, LL; Mcminn, A; Wang, M</t>
  </si>
  <si>
    <t>Ge, Fuyue; Guo, Ruizhe; Liang, Yantao; Chen, Ying; Shao, Hongbing; Sung, Yeong Yik; Mok, Wen Jye; Wong, Li Lian; Mcminn, Andrew; Wang, Min</t>
  </si>
  <si>
    <t>Characterization and genomic analysis of Stutzerimonas stutzeri phage vB_PstS_ZQG1, representing a novel viral genus</t>
  </si>
  <si>
    <t>Stutzerimonas stutzeri; Vb_psts_zqg1; Fuevirus; Genomic and phylogenetic analysis; Biogeographic analysis</t>
  </si>
  <si>
    <t>VIRUSES; BACTERIOPHAGES; PROTEINS; REPLICATE; SYSTEM</t>
  </si>
  <si>
    <t>Stutzerimonas stutzeri is an opportunistic pathogenic bacterium belonging to the Gammaproteobacteria, exhibiting wide distribution in the environment and playing significant ecological roles such as nitrogen fixation or pollutant degradation. Despite its ecological importance, only two S. stutzeri phages have been isolated to date. Here, a novel S. stutzeri phage, vB_PstS_ZQG1, was isolated from the surface seawater of Qingdao, China. Transmission electron microscopy analysis indicates that vB_PstS_ZQG1 has a morphology characterized by a long non-contractile tail. The genomic sequence of vB_PstS_ZQG1 contains a linear, double-strand 61,790-bp with the G+C content of 53.24% and encodes 90 putative open reading frames. Two auxiliary metabolic genes encoding TolA protein and nucleotide pyrophosphohydrolase were identified, which are likely involved in host adaptation and phage reproduction. Phylogenetic and comparative genomic analyses demonstrated that vB_PstS_ZQG1 exhibits low similarity with previously isolated phages or uncultured viruses (average nucleotide identity values range from 21.7 to 29.4), suggesting that it represents a novel viral genus by itself, here named as Fuevirus. Biogeographic analysis showed that vB_PstS_ZQG1 was only detected in epipelagic and mesopelagic zone with low abundance. In summary, our findings of the phage vB_PstS_ZQG1 will provide helpful insights for further research on the interactions between S. stutzeri phages and their hosts, and contribute to discovering unknown viral sequences in the metagenomic database.</t>
  </si>
  <si>
    <t>[Ge, Fuyue; Guo, Ruizhe; Liang, Yantao; Chen, Ying; Shao, Hongbing; Mcminn, Andrew; Wang, Min] Ocean Univ China, Inst Evolut &amp; Marine Biodivers, Frontiers Sci Ctr Deep Ocean Multispheres &amp; Earth, Coll Marine Life Sci,MoE Lab Evolut &amp; Marine Biodi, Qingdao, Peoples R China; [Liang, Yantao; Shao, Hongbing; Sung, Yeong Yik; Mok, Wen Jye; Wong, Li Lian; Wang, Min] UMT OUC Joint Ctr Marine Studies, Qingdao, Peoples R China; [Sung, Yeong Yik; Mok, Wen Jye; Wong, Li Lian] Univ Malaysia Terengganu, Inst Marine Biotechnol, Kuala Terengganu, Malaysia; [Mcminn, Andrew] Univ Tasmania, Inst Marine &amp; Antarctic Studies, Hobart, Tas, Australia; [Wang, Min] Ocean Univ China, Haide Coll, Qingdao, Peoples R China; [Wang, Min] Qingdao Univ, Affiliated Hosp, Qingdao, Peoples R China</t>
  </si>
  <si>
    <t>Ocean University of China; Universiti Malaysia Terengganu; University of Tasmania; Ocean University of China; Qingdao University</t>
  </si>
  <si>
    <t>Liang, YT; Wang, M (corresponding author), Ocean Univ China, Inst Evolut &amp; Marine Biodivers, Frontiers Sci Ctr Deep Ocean Multispheres &amp; Earth, Coll Marine Life Sci,MoE Lab Evolut &amp; Marine Biodi, Qingdao, Peoples R China.</t>
  </si>
  <si>
    <t>Mok, Wen Jye/AAF-9229-2019; Wang, Min/AFR-9645-2022; wang, yifang/KEI-3766-2024; Wang, Zichao/KHX-4954-2024; WONG, LI LIAN/ABE-1887-2022; Wang, Jinlong/KHC-3829-2024</t>
  </si>
  <si>
    <t>Mok, Wen Jye/0000-0002-7629-8312; Wang, Min/0000-0002-2357-589X; Yeong, Yik Sung/0000-0001-5897-9037</t>
  </si>
  <si>
    <t>National Natural Science Foundation of China [42188102, 42120104006, 41976117, 42176111]; Fundamental Research Funds for the Central Universities [201812002]</t>
  </si>
  <si>
    <t>National Natural Science Foundation of China(National Natural Science Foundation of China (NSFC)); Fundamental Research Funds for the Central Universities(Fundamental Research Funds for the Central Universities)</t>
  </si>
  <si>
    <t>This study was supported by the following funding sources: National Natural Science Foundation of China (No. 42188102, 42120104006, 41976117 and 42176111) , and the Fundamental Research Funds for the Central Universities (201812002 and Andrew McMinn) .</t>
  </si>
  <si>
    <t>10.1016/j.virusres.2023.199226</t>
  </si>
  <si>
    <t>T9UY6</t>
  </si>
  <si>
    <t>WOS:001081375000001</t>
  </si>
  <si>
    <t>Martínez, D; Nualart, D; Loncoman, C; Opazo, JC; Zabala, K; Morera, FJ; Mardones, GA; Vargas-Chacoff, L</t>
  </si>
  <si>
    <t>Martinez, Danixa; Nualart, Daniela; Loncoman, Carlos; Opazo, Juan C.; Zabala, Kattina; Morera, Francisco J.; Mardones, Gonzalo A.; Vargas-Chacoff, Luis</t>
  </si>
  <si>
    <t>Discovery of BbX transcription factor in the patagonian blennie: Exploring expression changes following combined bacterial and thermal stress exposure</t>
  </si>
  <si>
    <t>DEVELOPMENTAL AND COMPARATIVE IMMUNOLOGY</t>
  </si>
  <si>
    <t>Eleginops maclovinus; Sub-antarctic notothenioid; Gene expression; Piscirickettsia salmonis; HMG-BbX</t>
  </si>
  <si>
    <t>GROUP BOX-1 HMGB1; PISCIRICKETTSIA-SALMONIS; IMMUNOLOGICAL RESPONSE; FISH; PROTEIN; IDENTIFICATION; PERFORMANCE; METABOLISM; CULTURE; TOOL</t>
  </si>
  <si>
    <t>High-Mobility Group (HMG) proteins are involved in different processes such as transcription, replication, DNA repair, and immune response. The role of HMG proteins in the immune response of fish has been studied mainly for HMGB1, where its expression can be induced by the stimulation of viral/bacterial PAMPs and can act as a proinflammatory mediator and as a global regulator of transcription in response to temperature. However, for BbX this role remains to be discovered. In this work, we identified the BbX of E. maclovinus and evaluated the temporal expression levels after simultaneous challenge with P. salmonis and thermal stress. Phylogenetic analysis does not significantly deviate from the expected organismal relationships suggesting orthologous relationships and that BbX was present in the common ancestor of the group. BbX mRNA expression levels were very high in the intestinal tissue of E. maclovinus (foregut, midgut, and hindgut). Nevertheless, the protein levels analyzed by WB showed the highest levels of BbX protein in the liver (constitutive expression). On the other hand, the mRNA expression levels of BbX in the liver of E. maclovinus injected with P. salmonis and subjected to thermal stress showed an increase at days 16 and 20 in all treatments applied at 12 degrees C and 18 degrees C. Meanwhile, the protein levels quantified by WB showed a statistically significant increase in the HMG-Bbx at all experimental times (4, 8, 12, 16, and 20 dpi). However, at 4 dpi the HMG-Bbx protein levels were much higher than the other days evaluated. The results suggest that BbX protein may be implicated in the response mechanism to temper-ature and bacterial stimulation in the foregut, midgut, hindgut, and liver, according to our findings at the level of mRNA and protein. Furthermore, our WB analysis suggests an effect of P. salmonis on the expression of this protein that can be observed in condition C+ 12 degrees C compared to C- 12 degrees C. Then, there is an effect of temperature that can be evidenced in the condition AM 18 degrees C and SM 18 degrees C, compared to AB 18 degrees C and SB 18 degrees C at 4, 8, and 12 dpi. We found not differences in the levels of this protein if the thermal stress is achieved through acclimatization or shock. More research is necessary to clarify the importance of this type of HMG in the immune response and thermal tolerance in fish.</t>
  </si>
  <si>
    <t>[Martinez, Danixa] Univ San Sebastian, Fac Ciencias Nat, Lab Inst Invest, Puerto Montt, Chile; [Nualart, Daniela] Univ Austral Chile, Escuela Grad, Programa Doctorado Ciencias La Acuicultura, Puerto Montt, Chile; [Nualart, Daniela; Vargas-Chacoff, Luis] Univ Austral Chile, Inst Ciencias Marinas &amp; Limnol, Valdivia, Chile; [Nualart, Daniela; Vargas-Chacoff, Luis] Univ Austral Chile, Millennium Inst Biodivers Antarctic &amp; Subantarct E, BASE, Valdivia, Chile; [Nualart, Daniela; Vargas-Chacoff, Luis] Univ Austral Chile, Ctr Fondap Invest Altas Latitudes IDEAL, Casilla 567, Valdivia, Chile; [Loncoman, Carlos] Univ Austral Chile, Lab Bioquim Farmacol Virol &amp; Biotecnol, Inst Bioquim &amp; Microbiol, Valdivia, Chile; [Opazo, Juan C.; Morera, Francisco J.; Mardones, Gonzalo A.; Vargas-Chacoff, Luis] Integrat Biol Grp, Valdivia, Chile; [Opazo, Juan C.; Zabala, Kattina] Univ Austral Chile, Fac Ciencias, Inst Ciencias Ambientales &amp; Evolut, Valdivia, Chile; [Opazo, Juan C.] Millennium Nucl Ion Channel Associated Dis MiNICAD, Valdivia, Chile; [Opazo, Juan C.; Zabala, Kattina; Mardones, Gonzalo A.] Univ San Sebastian, Fac Med &amp; Ciencia, Valdivia, Chile; [Morera, Francisco J.] Pontificia Univ Catolica Chile, Escuela Med Vet, Fac Agron &amp; Ingn Forestal, Fac Ciencias Biol, Santiago, Chile; [Morera, Francisco J.] Pontificia Univ Catolica Chile, Fac Med, Santiago, Chile</t>
  </si>
  <si>
    <t>Universidad San Sebastian; Universidad Austral de Chile; Universidad Austral de Chile; Universidad Austral de Chile; Universidad Austral de Chile; Universidad Austral de Chile; Universidad Austral de Chile; Universidad San Sebastian; Pontificia Universidad Catolica de Chile; Pontificia Universidad Catolica de Chile</t>
  </si>
  <si>
    <t>Martínez, D (corresponding author), Univ San Sebastian, Fac Ciencias Nat, Lab Inst Invest, Puerto Montt, Chile.;Vargas-Chacoff, L (corresponding author), Univ Austral Chile, Inst Ciencias Marinas &amp; Limnol, Valdivia, Chile.;Vargas-Chacoff, L (corresponding author), Integrat Biol Grp, Valdivia, Chile.</t>
  </si>
  <si>
    <t>danixa.martinez@uss.cl; luis.vargas@uach.cl</t>
  </si>
  <si>
    <t>Opazo, Juan C./0000-0001-7938-4083; Vargas-Chacoff, Luis/0000-0002-0497-2582; Loncoman, Carlos/0000-0002-4321-8873</t>
  </si>
  <si>
    <t>Fondap IDEAL program [15150003]; ANID-Millenium Science Initiative-BASE; ANID - Programa Iniciativa Cientifica Milenio [ICN 2021_002]; Fondo Nacional de Desarrollo Cientifico y Tecnologico from Chile [1210471]; Millennium Nucleus of Ion Channel-Associated Diseases is a Millennium Nucleus of the Millennium Scientific Initiative; National Agency of Research and Development (ANID) [NCN19_168]; Ministry of Science, Technology, Knowledge, and Innovation, Chile</t>
  </si>
  <si>
    <t>Fondap IDEAL program; ANID-Millenium Science Initiative-BASE; ANID - Programa Iniciativa Cientifica Milenio; Fondo Nacional de Desarrollo Cientifico y Tecnologico from Chile; Millennium Nucleus of Ion Channel-Associated Diseases is a Millennium Nucleus of the Millennium Scientific Initiative; National Agency of Research and Development (ANID); Ministry of Science, Technology, Knowledge, and Innovation, Chile</t>
  </si>
  <si>
    <t>This work was supported by the Fondap IDEAL program (15150003) , and ANID-Millenium Science Initiative-BASE. ANID - Programa Iniciativa Cientifica Milenio - ICN 2021_002 to LV-C. This work was also supported by the Fondo Nacional de Desarrollo Cientifico y Tecnologico from Chile (FONDECYT 1210471) and The Millennium Nucleus of Ion Channel-Associated Diseases is a Millennium Nucleus of the Millennium Scientific Initiative, National Agency of Research and Development (ANID, NCN19_168) , Ministry of Science, Technology, Knowledge, and Innovation, Chile to JCO.</t>
  </si>
  <si>
    <t>0145-305X</t>
  </si>
  <si>
    <t>1879-0089</t>
  </si>
  <si>
    <t>DEV COMP IMMUNOL</t>
  </si>
  <si>
    <t>Dev. Comp. Immunol.</t>
  </si>
  <si>
    <t>10.1016/j.dci.2023.105056</t>
  </si>
  <si>
    <t>Fisheries; Immunology; Veterinary Sciences; Zoology</t>
  </si>
  <si>
    <t>U0XJ6</t>
  </si>
  <si>
    <t>WOS:001082119900001</t>
  </si>
  <si>
    <t>Lin, JX; Sun, PZ; Zhao, YF; Du, XP; Ren, X; Man, H; Li, DM</t>
  </si>
  <si>
    <t>Lin, Junxin; Sun, Peizi; Zhao, Yanfen; Du, Xiaoping; Ren, Xiang; Man, Hao; Li, Dongmei</t>
  </si>
  <si>
    <t>Effect of L-Lysine on Heat-Induced Aggregation Behavior of Antarctic Krill (Euphausia superba) Myofibrillar Protein</t>
  </si>
  <si>
    <t>FOOD AND BIOPROCESS TECHNOLOGY</t>
  </si>
  <si>
    <t>Antarctic krill (Euphausia superba); L-Lysine; Heat-induced aggregation; Myofibrillar proteins; Protein structure</t>
  </si>
  <si>
    <t>L-ARGININE; CHEMICAL INTERACTIONS; MOLECULAR FORCES; GEL PROPERTIES; AMINO-ACIDS; MYOSIN; CARP; CONFORMATION; ACTOMYOSIN; GELATION</t>
  </si>
  <si>
    <t>Heat treatment reduces the quality of Antarctic krill (Euphausia superba) meat, thus greatly limiting its industrial application. It was found that L-Lys immersion pretreatment can effectively improve the quality of heat-treated Antarctic krill meat; the underlying mechanism is unclear. Therefore, this study aimed to investigate the effect of L-Lys concentrations (0, 25, 50, 100, and 200 mM) on the aggregation behavior and structure of Antarctic krill myofibrillar protein solution before and after heat treatment. Compared with the untreated group, L-Lys decreased the surface hydrophobicity and particle size of the heat-treated Antarctic krill protein by 2.38 times and 18.27 times while increasing the solubility by 3.59 times. Furthermore, L-Lys intervention inhibited the formation of disulfide bonds in myofibrillar protein of the heat-treated Antarctic krill, enhanced the intermolecular hydrogen bonding force, improved the orderliness of the secondary structure, and exposed the tyrosine residues of the protein molecule. As a result, the polarity of the microenvironment was enhanced while the tertiary structure of the protein was altered, thus inhibiting thermal aggregation. This study reveals the mechanism of L-Lys inhibition of thermal aggregation behavior of Antarctic krill myofibrillar protein. Our results provide insights into the development and utilization of Antarctic krill protein in the food industry.</t>
  </si>
  <si>
    <t>[Lin, Junxin; Sun, Peizi; Zhao, Yanfen; Ren, Xiang; Man, Hao; Li, Dongmei] Dalian Polytech Univ, Natl Engn Res Ctr Seafood, Sch Food Sci &amp; Technol, Dalian 116034, Liaoning, Peoples R China; [Du, Xiaoping] Liaoyu Grp Co Ltd, Dalian 116034, Liaoning, Peoples R China; [Li, Dongmei] Minist Educ China, Engn Res Ctr Seafood, Dalian 116034, Liaoning, Peoples R China; [Li, Dongmei] Dalian Polytech Univ, Collaborat Innovat Ctr Seafood Deep Proc, Dalian 116034, Liaoning, Peoples R China; [Li, Dongmei] State Key Lab Marine Food Proc &amp; Safety Control, Dalian 116034, Liaoning, Peoples R China</t>
  </si>
  <si>
    <t>Li, DM (corresponding author), Dalian Polytech Univ, Natl Engn Res Ctr Seafood, Sch Food Sci &amp; Technol, Dalian 116034, Liaoning, Peoples R China.;Li, DM (corresponding author), Minist Educ China, Engn Res Ctr Seafood, Dalian 116034, Liaoning, Peoples R China.;Li, DM (corresponding author), Dalian Polytech Univ, Collaborat Innovat Ctr Seafood Deep Proc, Dalian 116034, Liaoning, Peoples R China.;Li, DM (corresponding author), State Key Lab Marine Food Proc &amp; Safety Control, Dalian 116034, Liaoning, Peoples R China.</t>
  </si>
  <si>
    <t>Li, Dm/JED-3025-2023</t>
  </si>
  <si>
    <t>Li, Dm/0000-0003-3770-3554</t>
  </si>
  <si>
    <t>National Natural Science Foundation of China; National Key Research and Development Project of Dalian [32372364]; [2022YF16SN033]</t>
  </si>
  <si>
    <t>National Natural Science Foundation of China(National Natural Science Foundation of China (NSFC)); National Key Research and Development Project of Dalian;</t>
  </si>
  <si>
    <t>This work was supported by the National Natural Science Foundation of China (32372364) and the National Key Research and Development Project of Dalian (Grant No. 2022YF16SN033).</t>
  </si>
  <si>
    <t>1935-5130</t>
  </si>
  <si>
    <t>1935-5149</t>
  </si>
  <si>
    <t>FOOD BIOPROCESS TECH</t>
  </si>
  <si>
    <t>Food Bioprocess Technol.</t>
  </si>
  <si>
    <t>2023 SEP 21</t>
  </si>
  <si>
    <t>10.1007/s11947-023-03205-y</t>
  </si>
  <si>
    <t>S4PA0</t>
  </si>
  <si>
    <t>WOS:001070990700002</t>
  </si>
  <si>
    <t>Lauber, J; Hattermann, T; de Steur, L; Darelius, E; Auger, M; Nost, OA; Moholdt, G</t>
  </si>
  <si>
    <t>Lauber, Julius; Hattermann, Tore; de Steur, Laura; Darelius, Elin; Auger, Matthis; Nost, Ole Anders; Moholdt, Geir</t>
  </si>
  <si>
    <t>Warming beneath an East Antarctic ice shelf due to increased subpolar westerlies and reduced sea ice</t>
  </si>
  <si>
    <t>CIRCUMPOLAR DEEP-WATER; SOUTHERN WEDDELL SEA; SEASONAL VARIABILITY; CONTINENTAL-SHELF; ANNULAR MODE; MELT RATES; OCEAN; SURFACE; IMPACT; SLOPE</t>
  </si>
  <si>
    <t>Understanding how climate change influences ocean-driven melting of the Antarctic ice shelves is one of the greatest challenges for projecting future sea level rise. The East Antarctic ice shelf cavities host cold water masses that limit melting, and only a few short-term observational studies exist on what drives warm water intrusions into these cavities. We analyse nine years of continuous oceanographic records from below Fimbulisen and relate them to oceanic and atmospheric forcing. On monthly time scales, warm inflow events are associated with weakened coastal easterlies reducing downwelling in front of the ice shelf. Since 2016, however, we observe sustained warming, with inflowing Warm Deep Water temperatures reaching above 0 &amp; DEG;C. This is concurrent with an increase in satellite-derived basal melt rates of 0.62 m yr-1, which nearly doubles the basal mass loss at this relatively cold ice shelf cavity. We find that this transition is linked to a reduction in coastal sea ice cover through an increase in atmosphere-ocean momentum transfer and to a strengthening of remote subpolar westerlies. These results imply that East Antarctic ice shelves may become more exposed to warmer waters with a projected increase of circum-Antarctic westerlies, increasing this region's relevance for sea level rise projections. Oceanographic observations indicate sustained warming and enhanced basal melt since 2016 below the Fimbulisen ice sheet in East Antarctica, associated with increased subpolar westerlies and reduced sea ice.</t>
  </si>
  <si>
    <t>[Lauber, Julius; Hattermann, Tore; de Steur, Laura; Moholdt, Geir] Norwegian Polar Res Inst, Tromso, Norway; [Lauber, Julius; Darelius, Elin] Univ Bergen, Geophys Inst, Bergen, Norway; [Darelius, Elin] Bjerknes Ctr Climate Res, Bergen, Norway; [Auger, Matthis] Sorbonne Univ, CNRS, LOCEAN, Paris, France; [Auger, Matthis] Univ Tasmania, Inst Marine &amp; Antarctic Studies, Hobart, Tas, Australia; [Auger, Matthis] Univ Tasmania, Australian Ctr Excellence Antarctic Sci, Hobart, Tas, Australia; [Nost, Ole Anders] Akvaplan Niva AS, Trondheim, Norway; [Nost, Ole Anders] Oceanbox Io, Tromso, Norway</t>
  </si>
  <si>
    <t>Norwegian Polar Institute; University of Bergen; Bjerknes Centre for Climate Research; Centre National de la Recherche Scientifique (CNRS); Museum National d'Histoire Naturelle (MNHN); Sorbonne Universite; University of Tasmania; University of Tasmania; Akvaplan-niva</t>
  </si>
  <si>
    <t>Lauber, J (corresponding author), Norwegian Polar Res Inst, Tromso, Norway.;Lauber, J (corresponding author), Univ Bergen, Geophys Inst, Bergen, Norway.</t>
  </si>
  <si>
    <t>julius.lauber@npolar.no</t>
  </si>
  <si>
    <t>Darelius, Elin/O-4096-2015; de Steur, Laura/B-4882-2016</t>
  </si>
  <si>
    <t>Darelius, Elin/0000-0003-3060-0317; Auger, Matthis/0000-0001-6228-5732; Lauber, Julius/0000-0002-8410-0134; de Steur, Laura/0000-0002-6043-7920</t>
  </si>
  <si>
    <t>Research Council of Norway [295075]; Centre for Ice, Climate and Ecosystems (ICE), Norwegian Polar Institute (NPI); NPI through ICE; Norwegian Antarctic Research Expedition [759, 3801-103]; iMelt; European Union [101003826, 821001]; CNES/CLS scholarship</t>
  </si>
  <si>
    <t>Research Council of Norway(Research Council of Norway); Centre for Ice, Climate and Ecosystems (ICE), Norwegian Polar Institute (NPI); NPI through ICE; Norwegian Antarctic Research Expedition; iMelt; European Union(European Union (EU)); CNES/CLS scholarship</t>
  </si>
  <si>
    <t>This research was funded by the Research Council of Norway through the KLIMAFORSK programme (iMelt, 295075). The installation of the moorings through the project 'ICE Fimbulisen - top to bottom' was financed by the Centre for Ice, Climate and Ecosystems (ICE), Norwegian Polar Institute (NPI). The moorings were maintained by NPI through ICE, the Norwegian Antarctic Research Expedition (IceRises 759, 3801-103) and iMelt. J.L. was funded by iMelt, T.H. and M.A. by the European Union's Horizon 2020 programme (CRiceS, 101003826 and SO-CHIC, 821001, respectively), and M.A. additionally by a CNES/CLS scholarship. The authors thank E. Schlosser for helpful discussions on SAM, and H. Goodwin, J. Kohler, S. Lidstrom and P. A. Dodd for help with fieldwork.</t>
  </si>
  <si>
    <t>10.1038/s41561-023-01273-5</t>
  </si>
  <si>
    <t>T1ER3</t>
  </si>
  <si>
    <t>WOS:001069506500001</t>
  </si>
  <si>
    <t>Hayden, AM; Dow, CF</t>
  </si>
  <si>
    <t>Hayden, Anna-Mireilla; Dow, Christine F.</t>
  </si>
  <si>
    <t>Examining the effect of ice dynamic changes on subglacial hydrology through modelling of a synthetic Antarctic glacier</t>
  </si>
  <si>
    <t>Antarctic glaciology; glacier modelling; subglacial processes</t>
  </si>
  <si>
    <t>PINE ISLAND GLACIER; BENEATH THWAITES GLACIER; WEST ANTARCTICA; GROUNDING LINE; TOTTEN GLACIER; WATER-SYSTEM; SENSITIVITY; GREENLAND; DRAINAGE; LAKES</t>
  </si>
  <si>
    <t>Hydrologic pathways beneath ice sheets and glaciers play an important role in regulating ice flow. Antarctica has experienced, and will continue to experience, changes in ice dynamics and geometry, but the associated changes in subglacial hydrology have received less attention. Here, we use the GlaDS subglacial hydrology model to examine drainage evolution beneath an idealised Antarctic glacier in response to steepening ice surface slopes, accelerating ice velocities and subglacial lake drainages. Ice surface slope changes exerted a dominant influence, redirecting basal water to different outlet locations and substantially increasing channelised discharge crossing the grounding line. Faster ice velocities had comparatively negligible effects. Subglacial lake drainage results indicated that lake refilling times play a key role in drainage system evolution, with lake flux more readily accommodated following shorter refilling times. Our findings are significant for vulnerable Antarctic regions currently experiencing dynamic thinning since subglacial water re-routing could destabilise ice shelves through enhanced sub-shelf melting, potentially hastening irreversible retreat. These changes could also affect subglacial lake activity. We, therefore, emphasise that including a nuanced and complex representation of subglacial hydrology in ice-sheet models could provide critical information on the timing and magnitude of sea-level change contributions from Antarctica.</t>
  </si>
  <si>
    <t>[Hayden, Anna-Mireilla; Dow, Christine F.] Univ Waterloo, Dept Geog &amp; Environm Management, Waterloo, ON, Canada</t>
  </si>
  <si>
    <t>University of Waterloo</t>
  </si>
  <si>
    <t>Hayden, AM (corresponding author), Univ Waterloo, Dept Geog &amp; Environm Management, Waterloo, ON, Canada.</t>
  </si>
  <si>
    <t>ahayden@uwaterloo.ca</t>
  </si>
  <si>
    <t>Dow, Christine/0000-0003-1346-2258</t>
  </si>
  <si>
    <t>National Science and Engineering Research Council; Association of Canadian Universities for Northern Studies, Polar Knowledge Canada; Queen Elizabeth II Graduate Scholarship in Science and Technology; Natural Sciences and Engineering Research Council of Canada [RGPIN-03761-2017]; Canada Research Chairs Program [950-231237]</t>
  </si>
  <si>
    <t>National Science and Engineering Research Council(Natural Sciences and Engineering Research Council of Canada (NSERC)); Association of Canadian Universities for Northern Studies, Polar Knowledge Canada; Queen Elizabeth II Graduate Scholarship in Science and Technology; Natural Sciences and Engineering Research Council of Canada(Natural Sciences and Engineering Research Council of Canada (NSERC)CGIAR); Canada Research Chairs Program(Canada Research Chairs)</t>
  </si>
  <si>
    <t>A.-M. Hayden was funded by the National Science and Engineering Research Council, the Association of Canadian Universities for Northern Studies, Polar Knowledge Canada, and the Queen Elizabeth II Graduate Scholarship in Science and Technology. A.-M. Hayden thanks Kevin Siu, Dylan Ruth and Adam Hepburn for their modelling advice. C. Dow was supported by the Natural Sciences and Engineering Research Council of Canada (RGPIN-03761-2017) and the Canada Research Chairs Program (950-231237). We thank Mauro Werder for the use of the GlaDS model, and the two reviewers and Scientific Editor, Dr. Michelle Koutnik, for their insightful comments.</t>
  </si>
  <si>
    <t>10.1017/jog.2023.65</t>
  </si>
  <si>
    <t>S0HV1</t>
  </si>
  <si>
    <t>WOS:001068075700001</t>
  </si>
  <si>
    <t>Huth, A; Duddu, R; Smith, B; Sergienko, O</t>
  </si>
  <si>
    <t>Huth, Alex; Duddu, Ravindra; Smith, Benjamin; Sergienko, Olga</t>
  </si>
  <si>
    <t>Simulating the processes controlling ice-shelf rift paths using damage mechanics</t>
  </si>
  <si>
    <t>Antarctic glaciology; glacier modeling; glaciological model experiments; iceberg calving; ice shelves</t>
  </si>
  <si>
    <t>THWAITES GLACIER; BASAL CREVASSES; FRACTURE; FLOW; PROPAGATION; ICEBERGS; CREEP; OCEAN; ANTARCTICA; CLIMATE</t>
  </si>
  <si>
    <t>Rifts are full-thickness fractures that propagate laterally across an ice shelf. They cause ice-shelf weakening and calving of tabular icebergs, and control the initial size of calved icebergs. Here, we present a joint inverse and forward computational modeling framework to capture rifting by combining the vertically integrated momentum balance and anisotropic continuum damage mechanics formulations. We incorporate rift-flank boundary processes to investigate how the rift path is influenced by the pressure on rift-flank walls from seawater, contact between flanks, and ice melange that may also transmit stress between flanks. To illustrate the viability of the framework, we simulate the final 2 years of rift propagation associated with the calving of tabular iceberg A68 in 2017. We find that the rift path can change with varying ice melange conditions and the extent of contact between rift flanks. Combinations of parameters associated with slower rift widening rates yield simulated rift paths that best match observations. Our modeling framework lays the foundation for robust simulation of rifting and tabular calving processes, which can enable future studies on ice-sheet-climate interactions, and the effects of ice-shelf buttressing on land ice flow.</t>
  </si>
  <si>
    <t>[Huth, Alex] NOAA GFDL, Princeton, NJ 08540 USA; [Huth, Alex; Sergienko, Olga] Princeton Univ, Atmospher &amp; Ocean Sci, Princeton, NJ 08544 USA; [Duddu, Ravindra] Vanderbilt Univ, Dept Civil &amp; Environm Engn, Nashville, TN USA; [Duddu, Ravindra] Vanderbilt Univ, Dept Earth &amp; Environm Sci, Nashville, TN USA; [Smith, Benjamin] Univ Washington, Polar Sci Ctr, Appl Phys Lab, Seattle, WA USA</t>
  </si>
  <si>
    <t>National Oceanic Atmospheric Admin (NOAA) - USA; Princeton University; Vanderbilt University; Vanderbilt University; University of Washington; University of Washington Seattle</t>
  </si>
  <si>
    <t>Huth, A (corresponding author), NOAA GFDL, Princeton, NJ 08540 USA.;Huth, A (corresponding author), Princeton Univ, Atmospher &amp; Ocean Sci, Princeton, NJ 08544 USA.</t>
  </si>
  <si>
    <t>Alexander.Huth@noaa.gov</t>
  </si>
  <si>
    <t>Sergienko, Olga/HII-8500-2022; Huth, Alex/HNI-9516-2023; Duddu, Ravindra/A-6854-2015</t>
  </si>
  <si>
    <t>Sergienko, Olga/0000-0002-5764-8815; Huth, Alex/0000-0002-7590-3525; Duddu, Ravindra/0000-0002-4205-0247</t>
  </si>
  <si>
    <t>NSF Office of Polar Programs [2139002]; NASA Cryosphere award [80NSSC21K1003]; NSF Office of Polar Programs via CAREER grant [PLR-1847173]; National Oceanic and Atmospheric Administration, U.S. Department of Commerce [NA18OAR4320123]</t>
  </si>
  <si>
    <t>NSF Office of Polar Programs(National Science Foundation (NSF)); NASA Cryosphere award; NSF Office of Polar Programs via CAREER grant; National Oceanic and Atmospheric Administration, U.S. Department of Commerce(National Oceanic Atmospheric Admin (NOAA) - USA)</t>
  </si>
  <si>
    <t>We thank two anonymous referees and the Editor Douglas Brinkerhoff for their useful suggestions that greatly improved readability of the paper. A. Huth acknowledges support from NSF Office of Polar Programs via grant No. 2139002. R. Duddu and B. Smith acknowledge funding support from NASA Cryosphere award No. 80NSSC21K1003. R. Duddu also acknowledges funding support from NSF Office of Polar Programs via CAREER grant No. PLR-1847173. O. Sergienko acknowledges award NA18OAR4320123 from the National Oceanic and Atmospheric Administration, U.S. Department of Commerce. The statements, findings, conclusions and recommendations are those of the authors and do not necessarily reflect the views of the National Oceanic and Atmospheric Administration, or the U.S. Department of Commerce. The authors acknowledge GFDL resources made available for this research.</t>
  </si>
  <si>
    <t>10.1017/jog.2023.71</t>
  </si>
  <si>
    <t>S0IC7</t>
  </si>
  <si>
    <t>WOS:001068083300001</t>
  </si>
  <si>
    <t>Liverpool, L</t>
  </si>
  <si>
    <t>Liverpool, Layal</t>
  </si>
  <si>
    <t>Russia's war in Ukraine is disrupting Antarctic science</t>
  </si>
  <si>
    <t>Politics; Climate change</t>
  </si>
  <si>
    <t>The polar region is demilitarized, but the conflict is posing a threat to important climate data collected at Ukraine's research station.</t>
  </si>
  <si>
    <t>Liverpool, Layal/0000-0003-1992-9576</t>
  </si>
  <si>
    <t>SEP 21</t>
  </si>
  <si>
    <t>10.1038/d41586-023-02764-6</t>
  </si>
  <si>
    <t>S2FC5</t>
  </si>
  <si>
    <t>WOS:001069368300009</t>
  </si>
  <si>
    <t>[Rignot, Eric] Univ Calif Irvine, Dept Earth Syst Sci, Irvine, CA 92697 USA; [Rignot, Eric] Univ Calif Irvine, Dept Civil &amp; Environm Engn, Irvine, CA 92697 USA; [Rignot, Eric] Caltechs, Jet Prop Lab, Pasadena, CA 91011 USA</t>
  </si>
  <si>
    <t>University of California System; University of California Irvine; University of California System; University of California Irvine; National Aeronautics &amp; Space Administration (NASA); NASA Jet Propulsion Laboratory (JPL)</t>
  </si>
  <si>
    <t>Rignot, E (corresponding author), Univ Calif Irvine, Dept Earth Syst Sci, Irvine, CA 92697 USA.;Rignot, E (corresponding author), Univ Calif Irvine, Dept Civil &amp; Environm Engn, Irvine, CA 92697 USA.;Rignot, E (corresponding author), Caltechs, Jet Prop Lab, Pasadena, CA 91011 USA.</t>
  </si>
  <si>
    <t>10.1038/s41558-023-01819</t>
  </si>
  <si>
    <t>S2KA0</t>
  </si>
  <si>
    <t>WOS:001069496700003</t>
  </si>
  <si>
    <t>O'Brien, PA; Tan, SJ; Frade, PR; Robbins, SJ; Engelberts, JP; Bell, SC; Vanwonterghem, I; Miller, DJ; Webster, NS; Zhang, GJ; Bourne, DG</t>
  </si>
  <si>
    <t>O'Brien, Paul A.; Tan, Shangjin; Frade, Pedro R.; Robbins, Steven J.; Engelberts, J. Pamela; Bell, Sara C.; Vanwonterghem, Inka; Miller, David J.; Webster, Nicole S.; Zhang, Guojie; Bourne, David G.</t>
  </si>
  <si>
    <t>Validation of key sponge symbiont pathways using genome-centric metatranscriptomics</t>
  </si>
  <si>
    <t>NITROGEN; DENITRIFICATION; TRANSPORTERS; METABOLISM; DIVERSITY; BACTERIA; QUALITY; PROTEIN; COMMON</t>
  </si>
  <si>
    <t>The sponge microbiome underpins host function through provision and recycling of essential nutrients in a nutrient poor environment. Genomic data suggest that carbohydrate degradation, carbon fixation, nitrogen metabolism, sulphur metabolism and supplementation of B-vitamins are central microbial functions. However, validation beyond the genomic potential of sponge symbiont pathways is rarely explored. To evaluate metagenomic predictions, we sequenced the metagenomes and metatranscriptomes of three common coral reef sponges: Ircinia ramosa, Ircinia microconulosa and Phyllospongia foliascens. Multiple carbohydrate active enzymes were expressed by Poribacteria, Bacteroidota and Cyanobacteria symbionts, suggesting these lineages have a central role in assimilating dissolved organic matter. Expression of entire pathways for carbon fixation and multiple sulphur compound transformations were observed in all sponges. Gene expression for anaerobic nitrogen metabolism (denitrification and nitrate reduction) were more common than aerobic metabolism (nitrification), where only the I. ramosa microbiome expressed the nitrification pathway. Finally, while expression of the biosynthetic pathways for B-vitamins was common, the expression of additional transporter genes was far more limited. Overall, we highlight consistencies and disparities between metagenomic and metatranscriptomic results when inferring microbial activity, while uncovering new microbial taxa that contribute to the health of their sponge host via nutrient exchange. The sponge microbiome is hypothesised to carry out a range of metabolic functions that improve the fitness of the host. Our study tested whether these metabolic functions were active across three different sponge species by analysing the gene-expression of their symbionts. We establish that genomic predictions are largely accurate, while highlighting new discoveries such as the potential coupling of aerobic and anaerobic nitrogen processes in Ircinia ramosa.image</t>
  </si>
  <si>
    <t>[O'Brien, Paul A.; Bourne, David G.] James Cook Univ, Coll Sci &amp; Engn, Townsville, Qld, Australia; [O'Brien, Paul A.; Bell, Sara C.; Webster, Nicole S.; Bourne, David G.] Australian Inst Marine Sci, Townsville, Qld, Australia; [O'Brien, Paul A.; Webster, Nicole S.; Bourne, David G.] AIMSJCU, Townsville, Qld, Australia; [O'Brien, Paul A.; Robbins, Steven J.; Engelberts, J. Pamela; Vanwonterghem, Inka; Webster, Nicole S.] Univ Queensland, Australian Ctr Ecogenom, Sch Chem &amp; Mol Biosci, St Lucia, Qld, Australia; [Tan, Shangjin] BGI Shenzhen, Beishan Ind Zone, Shenzhen, Peoples R China; [Frade, Pedro R.] Nat Hist Museum Vienna, Vienna, Austria; [Engelberts, J. Pamela] Queensland Univ Technol, Translat Res Inst, Ctr Microbiome Res, Brisbane, Qld, Australia; [Miller, David J.] James Cook Univ, ARC Ctr Excellence Coral Reef Studies, Townsville, Qld, Australia; [Miller, David J.] James Cook Univ, Ctr Trop Bioinformat &amp; Mol Biol, Townsville, Qld, Australia; [Webster, Nicole S.] Australian Antarctic Div, Dept Climate Change Energy Environm &amp; Water, Kingston, Tas, Australia; [Zhang, Guojie] Zhejiang Univ, Ctr Evolutionary &amp; Organismal Biol, Sch Med, Hangzhou, Peoples R China; [Zhang, Guojie] Zhejiang Univ, Womens Hosp, Sch Med, Hangzhou, Peoples R China; [Zhang, Guojie] Zhejiang Univ, Med Ctr, Liangzhu Lab, Hangzhou, Peoples R China; [Zhang, Guojie] Zhejiang Univ, Ctr Evolutionary &amp; Organismal Biol, Sch Med, Hangzhou 310058, Peoples R China; [Zhang, Guojie] Zhejiang Univ, Womens Hosp, Sch Med, Hangzhou 310058, Peoples R China</t>
  </si>
  <si>
    <t>James Cook University; Australian Institute of Marine Science; University of Queensland; Beijing Genomics Institute (BGI); Queensland University of Technology (QUT); James Cook University; James Cook University; Australian Antarctic Division; Zhejiang University; Zhejiang University; Liangzhu Laboratory; Zhejiang University; Zhejiang University; Zhejiang University</t>
  </si>
  <si>
    <t>Bourne, DG (corresponding author), James Cook Univ, Coll Sci &amp; Engn, Townsville, Qld, Australia.;Zhang, GJ (corresponding author), Zhejiang Univ, Ctr Evolutionary &amp; Organismal Biol, Sch Med, Hangzhou 310058, Peoples R China.;Zhang, GJ (corresponding author), Zhejiang Univ, Womens Hosp, Sch Med, Hangzhou 310058, Peoples R China.</t>
  </si>
  <si>
    <t>guojiezhang@zju.edu.cn; david.bourne@jcu.edu.au</t>
  </si>
  <si>
    <t>Engelberts, J. Pamela/AAW-5997-2021; Zhang, Guojie/HCH-1880-2022; Webster, Nicole/G-4980-2011; Zhang, Guojie/J-7273-2019</t>
  </si>
  <si>
    <t>Engelberts, J. Pamela/0000-0002-1185-3741; O'Brien, Paul/0000-0003-3932-1461; Bell, Sara/0000-0003-1327-0360; Webster, Nicole/0000-0002-4753-5278; Zhang, Guojie/0000-0001-6860-1521; Rodrigues Frade, Pedro/0000-0002-4010-255X; Robbins, Steven/0000-0003-4592-084X</t>
  </si>
  <si>
    <t>The authors would like to thank Bettina Glasl, Hillary Smith and Ole Brodnicke for their assistance in the field and Kate Quigley for her assistance in the laboratory. We also thank China National GeneBank (CNGB) for the provision of sequencing and computa; AIMS@JCU postgraduate research scholarship - Beijing Genome Institute, Earthwatch Institute; Mitsubishi Corporation</t>
  </si>
  <si>
    <t>The authors would like to thank Bettina Glasl, Hillary Smith and Ole Brodnicke for their assistance in the field and Kate Quigley for her assistance in the laboratory. We also thank China National GeneBank (CNGB) for the provision of sequencing and computational resources. Paul A. O &amp; apos;Brien was supported by an AIMS@JCU postgraduate research scholarship. This work was funded by the Beijing Genome Institute, Earthwatch Institute and Mitsubishi Corporation.</t>
  </si>
  <si>
    <t>10.1111/1462-2920.16509</t>
  </si>
  <si>
    <t>CR0C0</t>
  </si>
  <si>
    <t>WOS:001067557200001</t>
  </si>
  <si>
    <t>Kirkwood, S; Belova, E; Voelger, P; Chatterjee, S; Satheesan, K</t>
  </si>
  <si>
    <t>Kirkwood, Sheila; Belova, Evgenia; Voelger, Peter; Chatterjee, Sourav; Satheesan, Karathazhiyath</t>
  </si>
  <si>
    <t>Extended validation of Aeolus winds with wind-profiling radars in Antarctica and Arctic Sweden</t>
  </si>
  <si>
    <t>RADIOSONDE OBSERVATIONS; LIDAR; TROPOSPHERE; PRODUCTS; NETWORK; QUALITY; MISSION; BIAS</t>
  </si>
  <si>
    <t>Winds from two wind-profiling radars, ESRAD (ESrange atmospheric RADar) in Arctic Sweden and MARA (Moveable Atmospheric Radar for Antarctica) on the coast of Antarctica, are compared with collocated (within 100 km) winds measured by the Doppler lidar on board the Aeolus satellite for the time period July 2019-May 2021 (baseline 2B11). Data are considered as a whole and subdivided into summer and winter as well as ascending (afternoon) and descending (morning) passes. Mean differences (bias) and random differences are categorized (standard deviation and scaled median absolute deviation) and the effects of different quality criteria applied to the data are assessed, including the introduction of the modified Z score to eliminate gross errors. This last criterion has a substantial effect on the standard deviation, particularly for Mie winds. Significant bias is found in two cases, for Rayleigh winds for the descending satellite passes. at MARA (-1.4 (+0.7) m s(-1)) and for all Mie winds at ESRAD (+1.0 (+0.3) m s(-1)). For the Rayleigh winds at MARA, there is no obvious explanation for the bias in the data distribution. The Mie wind error with respect to the wind data measured at ESRAD shows a skewed distribution toward positive values (Aeolus horizontal line-of-sight wind &gt; ESRAD wind). Random differences (scaled median absolute deviation) for all data together are 5.9 and 5.3 m s(-1) for Rayleigh winds at MARA and ESRAD, respectively, and 4.9 and 3.9 m s(-1) for Mie winds. When the comparison is restricted to Aeolus measurements with a mean location within 25 km from the radars, there is no change to the random differences for Rayleigh winds, but for Mie winds they are reduced to 3.3 and 3.6 m s(-1). These represent an upper bound for Aeolus wind random errors since they are due to a combination of spatial differences and random errors in both radar winds and Aeolus winds. The random errors in radar winds are &lt; 2 m s(-1 )and therefore contribute little, but spatial variability clearly makes a significant contribution for Mie winds, especially at MARA.</t>
  </si>
  <si>
    <t>[Kirkwood, Sheila; Belova, Evgenia; Voelger, Peter] Swedish Inst Space Phys, S-98128 Kiruna, Sweden; [Chatterjee, Sourav] Minist Earth Sci, Natl Ctr Polar &amp; Ocean Res, Vasco Da Gama 403804, Goa, India; [Satheesan, Karathazhiyath] Univ Sci &amp; Technol, Sch Marine Sci Cochin, Dept Atmospher Sci, Cochin 682016, Kerala, India</t>
  </si>
  <si>
    <t>Voelger, P (corresponding author), Swedish Inst Space Phys, S-98128 Kiruna, Sweden.</t>
  </si>
  <si>
    <t>peter.voelger@irf.se</t>
  </si>
  <si>
    <t>K, Satheesan/B-8495-2009</t>
  </si>
  <si>
    <t>K, Satheesan/0000-0003-1456-7203</t>
  </si>
  <si>
    <t>Swedish National Space Agency; Esrange Space Center of the Swedish Space Corporation</t>
  </si>
  <si>
    <t>Swedish National Space Agency(Swedish National Space Agency (SNSA)); Esrange Space Center of the Swedish Space Corporation</t>
  </si>
  <si>
    <t>ESRAD operation and maintenance are provided by the Esrange Space Center of the Swedish Space Corporation. The team members at Maitri station for the Indian Scientific Expedition to Antarctica (ISEA) and the Antarctic logistics division at NCPOR (India) are acknowledged for providing necessary support for the operation of MARA.</t>
  </si>
  <si>
    <t>SEP 20</t>
  </si>
  <si>
    <t>10.5194/amt-16-4215-2023</t>
  </si>
  <si>
    <t>HV7D9</t>
  </si>
  <si>
    <t>WOS:001162339900001</t>
  </si>
  <si>
    <t>Mota, ACM; Costa, ES; Torres, JPM; de Araujo, J; Tormena, LC; Dantas, GPD</t>
  </si>
  <si>
    <t>Mota, Ana Carolina Marinho; Costa, Erli Schneider; Torres, Joao Paulo Machado; de Araujo, Jansen; Tormena, Larissa Castro; Dantas, Gisele Pires de Mendonca</t>
  </si>
  <si>
    <t>Brown Skua and south polar Skua (Aves: Stercorariidae) a hybridization case or same species?</t>
  </si>
  <si>
    <t>Antarctic Peninsula; Seabirds; Genetic; Speciation</t>
  </si>
  <si>
    <t>POPULATION DIFFERENTIATION; HAPLOTYPE RECONSTRUCTION; STATISTICAL-METHOD; PHYLOGEOGRAPHY; MITOCHONDRIAL; DNA; SPECIATION; PENGUINS; SEQUENCE; MARKERS</t>
  </si>
  <si>
    <t>Brown Skua (Stercorarius antarcticus-lonnbergi) and South Polar Skua (Stercorarius maccormicki) occur throughout the Antarctic Peninsula and are sympatric in distribution over 500 km. In this region, hybridization between a male South Polar Skua and a female Brown Skua producing viable and fertile offspring. The present study aims to review the evolutionary history of South Polar Skua and Brown Skua to understand the hybridization process between these species better. To assess the evolutionary history between these species, 67 DNA samples were sequenced for AK1 locus, 70 samples for RAG1 locus, and 96 samples for Cytb locus, from individuals sampled at King George Island and Elephant Island. Cytb and RAG1 loci showed greater genetic diversity in samples from hybrid birds than those of non-hybrid individuals and may reflect the outcome of the heterosis. Overall, Brown Skua had higher genetic diversity than South Polar Skua. In addition, South Polar Skua showed probable populational expansion signals, in contrast to Brown Skua which showed population stability through time. However, our phylogenetic analysis did not corroborate the reciprocal monophyly between these species. Thus, South Polar Skua and Brown Skua show incomplete lineage sorting, indicating these species are a single taxonomic group.</t>
  </si>
  <si>
    <t>[Mota, Ana Carolina Marinho] Univ Fed Minas Gerais, ICB, ICBS Pontificia Univ Catolica Minas Gerais, Belo Horizonte, MG, Brazil; [Costa, Erli Schneider] Univ Estadual Rio Grande do Sul, Mestrado Profiss Ambiente &amp; Sustentabilidade, Porto Alegre, RS, Brazil; [Torres, Joao Paulo Machado] Univ Fed Rio de Janeiro, Lab Micropoluentes Jan Japenga, Inst Biofis Carlos Chagas Filho, Rio De Janeiro, Brazil; [de Araujo, Jansen] Univ Sao Paulo, Inst Ciencias Biomed 2, Lab Pesquisa Virus Emergentes, Sao Paulo, Brazil; [Tormena, Larissa Castro] Univ Sao Paulo, Inst Biociencias, Sao Paulo, Brazil; [Dantas, Gisele Pires de Mendonca] Pontificia Univ Catolica Minas, PPG Biol Vertebrados, Ave Dom Jose Gaspar 500,Predio 41, Belo Horizonte, MG, Brazil</t>
  </si>
  <si>
    <t>Universidade Federal de Minas Gerais; Universidade Estadual do Rio Grande do Sul (UERGS); Universidade Federal do Rio de Janeiro; Universidade de Sao Paulo; Universidade de Sao Paulo; Pontificia Universidade Catolica de Minas Gerais</t>
  </si>
  <si>
    <t>Dantas, GPD (corresponding author), Pontificia Univ Catolica Minas, PPG Biol Vertebrados, Ave Dom Jose Gaspar 500,Predio 41, Belo Horizonte, MG, Brazil.</t>
  </si>
  <si>
    <t>giseledantas@pucminas.br</t>
  </si>
  <si>
    <t>torres, joao/AAI-8390-2021; COSTA, ERLI SCHNEIDER/AAP-2375-2020; Dantas, Gisele PM/T-6782-2019</t>
  </si>
  <si>
    <t>torres, joao/0000-0002-2510-1612; COSTA, ERLI SCHNEIDER/0000-0002-3739-1178; Dantas, Gisele PM/0000-0001-5282-7577</t>
  </si>
  <si>
    <t>We are grateful to all individuals that helped with field work. We appreciate the improvements in English usage made by Bruce Peterson through the Association of Field Ornithologists' program of editorial assistance.</t>
  </si>
  <si>
    <t>10.1007/s00300-023-03193-x</t>
  </si>
  <si>
    <t>WOS:001067347600001</t>
  </si>
  <si>
    <t>Kiebacher, T; Urmi, E</t>
  </si>
  <si>
    <t>Kiebacher, Thomas; Urmi, Edwin</t>
  </si>
  <si>
    <t>Intersectional polyphyly of the puzzling Scapania obcordata (Marchantiidae) suggests convergent evolution: resurrection and European occurrence of S. jensenii</t>
  </si>
  <si>
    <t>PLANT BIOSYSTEMS</t>
  </si>
  <si>
    <t>Adaptive evolution; Alps; bryophytes; disturbance; Scapaniaceae; sex ratio; taxonomy</t>
  </si>
  <si>
    <t>SEX-RATIO; DIFFERENTIATION; AMPLIFICATION; BRYOPHYTES; LIVERWORT; PATTERNS</t>
  </si>
  <si>
    <t>We present an example of morphological convergence among two species of Scapania that were considered to be conspecific. We resurrect S. jensenii from synonymy with the morphologically and molecularly variable S. obcordata because our molecular data show that they are distantly related. Chloroplast trnL-trnF and nuclear ITS sequences resolved S. obcordata in sect. Curtae and S. jensenii in sect. Apiculatae sister to S. obscura and we detected morphological differences in secondary pigmentation and leaf anatomy. The similarity comprises the absence of a pronounced keel in vegetative leaves and a weakly defined stem cortex. These features are virtually unknown in other species of Scapania and probably result from convergence in adaptation to the same environmental conditions, as both taxa inhabit alluvial plains characterised by regular disturbance by flooding and covering with sand and silt. While S. obcordata is widespread in the northern Holarctic and known from the Antarctic, S. jensenii is known from a few localities in Greenland, mainland Norway, the Chukchi Peninsula and the Swiss Alps. Its rarity, the absence of female plants, and the lack of genetic variability suggest that S. jensenii underwent a bottleneck event.</t>
  </si>
  <si>
    <t>[Kiebacher, Thomas] Stuttgart State Museum Nat Hist, Dept Bot, Stuttgart, Germany; [Kiebacher, Thomas] Univ Zurich, Inst Systemat &amp; Evolutionary Bot, Zurich, Switzerland; [Kiebacher, Thomas] State Museum Nat Hist Stuttgart, Dept Bot, Rosenstein 1, D-70191 Stuttgart, Germany</t>
  </si>
  <si>
    <t>University of Zurich</t>
  </si>
  <si>
    <t>Kiebacher, T (corresponding author), State Museum Nat Hist Stuttgart, Dept Bot, Rosenstein 1, D-70191 Stuttgart, Germany.</t>
  </si>
  <si>
    <t>thomas.kiebacher@smns-bw.de</t>
  </si>
  <si>
    <t>Paul-Schiller Foundation (Lachen, CH); Ella &amp; J. Paul Schnorf Foundation (Bern, CH); canton of Bern; canton of Uri; canton of Valais</t>
  </si>
  <si>
    <t>Paul-Schiller Foundation (Lachen, CH); Ella &amp; J. Paul Schnorf Foundation (Bern, CH); canton of Bern(Japanese Urological Association); canton of Uri; canton of Valais</t>
  </si>
  <si>
    <t>We greatly appreciate the support of our librarian Martin Spinnler and we warmly thank M. K. Meier, J. Steffen and T. Moser for their assistance at field work, T. Hallingbaeck, D. Long and F. Zemp for providing specimens and S. Royek for contributing to the lab work. We acknowledge the curators and the technical staff of the herbaria C, JE, KPAGB, TRH, UPS and Z + ZT for arranging the loan of specimens. Furthermore, we thank A. Lochmatter and the UNESCO World Heritage Swiss Alps Jungfrau-Aletsch as well as A. Bergamini and the Swiss Federal Research Institute WSL for their interest and help with the applications. For financial support we acknowledge the Paul-Schiller Foundation (Lachen, CH), the Ella &amp; J. Paul Schnorf Foundation (Bern, CH) and the cantons of Bern, Uri and Valais.</t>
  </si>
  <si>
    <t>1126-3504</t>
  </si>
  <si>
    <t>1724-5575</t>
  </si>
  <si>
    <t>PLANT BIOSYST</t>
  </si>
  <si>
    <t>Plant Biosyst.</t>
  </si>
  <si>
    <t>2023 SEP 20</t>
  </si>
  <si>
    <t>10.1080/11263504.2023.2258878</t>
  </si>
  <si>
    <t>T7OD6</t>
  </si>
  <si>
    <t>WOS:001079830700001</t>
  </si>
  <si>
    <t>Buschi, E; Dell'Anno, A; Tangherlini, M; Stefanni, S; Lo Martire, M; Núñez-Pons, L; Avila, C; Corinaldesi, C</t>
  </si>
  <si>
    <t>Buschi, Emanuela; Dell'Anno, Antonio; Tangherlini, Michael; Stefanni, Sergio; Lo Martire, Marco; Nunez-Pons, Laura; Avila, Conxita; Corinaldesi, Cinzia</t>
  </si>
  <si>
    <t>Rhodobacteraceae dominate the core microbiome of the sea star Odontaster validus (Koehler, 1906) in two opposite geographical sectors of the Antarctic Ocean</t>
  </si>
  <si>
    <t>microbiome; microbial diversity; Odontaster validus; geographic location; Antarctica</t>
  </si>
  <si>
    <t>SUBCUTICULAR BACTERIA; ROSS SEA; TRANSMISSION; DIVERSITY; ALIGNMENT; ANIMALS; PRIMERS; LIFE; FORM</t>
  </si>
  <si>
    <t>Microbiota plays essential roles in the health, physiology, and in adaptation of marine multi-cellular organisms to their environment. In Antarctica, marine organisms have a wide range of unique physiological functions and adaptive strategies, useful for coping with extremely cold conditions. However, the role of microbiota associated with Antarctic organisms in such adaptive strategies is underexplored. In the present study, we investigated the diversity and putative functions of the microbiome of the sea star Odontaster validus, one of the main keystone species of the Antarctic benthic ecosystems. We compared the whole-body bacterial microbiome of sea stars from different sites of the Antarctic Peninsula and Ross Sea, two areas located in two opposite geographical sectors of the Antarctic continent. The taxonomic composition of O. validus microbiomes changed both between and within the two Antarctic sectors, suggesting that environmental and biological factors acting both at large and local scales may influence microbiome diversity. Despite this, one bacterial family (Rhodobacteraceae) was shared among all sea star individuals from the two geographical sectors, representing up to 95% of the microbial core, and suggesting a key functional role of this taxon in holobiont metabolism and well-being. In addition, the genus Roseobacter belonging to this family was also present in the surrounding sediment, implying a potential horizontal acquisition of dominant bacterial core taxa via host-selection processes from the environment.</t>
  </si>
  <si>
    <t>[Buschi, Emanuela] Stn Zool Napoli Anton Dohrn, Fano Marine Ctr, Dept Marine Biotechnol, Fano, Italy; [Dell'Anno, Antonio; Lo Martire, Marco] Polytech Univ Marche, Dept Life &amp; Environm Sci, Ancona, Italy; [Tangherlini, Michael] Stn Zool Napoli Anton Dohrn, Fano Marine Ctr, Dept Res Infrastruct Marine Biol Resources, Fano, Italy; [Stefanni, Sergio] Stn Zool Napoli Anton Dohrn, Dept Biol &amp; Evolut Marine Organisms, Naples, Italy; [Nunez-Pons, Laura] Stn Zool Napoli Anton Dohrn, Dept Integrat Marine Ecol, Naples, Italy; [Nunez-Pons, Laura] Natl Biodivers Future Ctr, NBFC, Palermo, Italy; [Avila, Conxita] Univ Barcelona, Fac Biol, Dept Evolutionary Biol Ecol &amp; Environm Sci, Barcelona, Catalonia, Spain; [Avila, Conxita] Univ Barcelona, Inst Recerca Biodiversitat, Barcelona, Catalonia, Spain; [Corinaldesi, Cinzia] Polytech Univ Marche, Dept Mat Environm Sci &amp; Urban Planning, Ancona, Italy</t>
  </si>
  <si>
    <t>Marche Polytechnic University; Stazione Zoologica Anton Dohrn di Napoli; Stazione Zoologica Anton Dohrn di Napoli; University of Barcelona; University of Barcelona; Marche Polytechnic University</t>
  </si>
  <si>
    <t>Corinaldesi, C (corresponding author), Polytech Univ Marche, Dept Mat Environm Sci &amp; Urban Planning, Ancona, Italy.</t>
  </si>
  <si>
    <t>c.corinaldesi@univpm.it</t>
  </si>
  <si>
    <t>Buschi, Emanuela/KFS-6355-2024; Dell'Anno, Antonio AD/G-9468-2012</t>
  </si>
  <si>
    <t>Dell'Anno, Antonio AD/0000-0002-4324-7834; Buschi, Emanuela/0000-0003-2434-2710</t>
  </si>
  <si>
    <t>This study has been conducted in the framework of the project PNRA16_00173 Diversity and Evolution of Marine Microbial Communities associated with Antarctic Benthic Invertebrates (DEMBAI) and in the framework of the ACTIQUIM-2 project (CTM2010-17415; cru [PNRA16_00173, CTM2010-17415]</t>
  </si>
  <si>
    <t>This study has been conducted in the framework of the project PNRA16_00173 Diversity and Evolution of Marine Microbial Communities associated with Antarctic Benthic Invertebrates (DEMBAI) and in the framework of the ACTIQUIM-2 project (CTM2010-17415; cru</t>
  </si>
  <si>
    <t>Thanks go to all the members of the ACTIQUIM-4 cruise for their help during scuba diving.r This study has been conducted in the framework of the project PNRA16_00173 Diversity and Evolution of Marine Microbial Communities associated with Antarctic Benthic Invertebrates (DEMBAI) and in the framework of the ACTIQUIM-2 project (CTM2010-17415; cruise ACTIQUIM-4).</t>
  </si>
  <si>
    <t>10.3389/fmicb.2023.1234725</t>
  </si>
  <si>
    <t>T3MM4</t>
  </si>
  <si>
    <t>WOS:001077060600001</t>
  </si>
  <si>
    <t>Su, Y; Zhang, WJ; Liang, YT; Wang, HM; Liu, YD; Zheng, KY; Liu, ZQ; Yu, H; Ren, LY; Shao, HB; Sung, YY; Mok, WJ; Wong, LL; Zhang, YZ; Mcminn, A; Wang, M</t>
  </si>
  <si>
    <t>Su, Yue; Zhang, Wenjing; Liang, Yantao; Wang, Hongmin; Liu, Yundan; Zheng, Kaiyang; Liu, Ziqi; Yu, Hao; Ren, Linyi; Shao, Hongbing; Sung, Yeong Yik; Mok, Wen Jye; Wong, Li Lian; Zhang, Yu-Zhong; Mcminn, Andrew; Wang, Min</t>
  </si>
  <si>
    <t>Viruses play crucial roles in the ecosystem by modulating the host community structure, mediating biogeochemical cycles, and compensating for the metabolism of host cells. Mariana Trench, the world's deepest hadal habitat, harbors a variety of unique microorganisms that have adapted to its extreme conditions of low temperatures, high pressure, and nutrient scarcity. However, our knowledge about isolated hadal phage strains in the hadal trench is still limited. This study reported the discovery of a temperate phage, vB_HmeY_H4907, infecting Halomonas meridiana H4907, isolated from surface sediment from the Mariana Trench at a depth of 8,900 m. To our best knowledge, it is the deepest isolated siphovirus from the ocean. Its 40,452 bp linear dsDNA genome has 57.64% GC content and 55 open reading frames, and it is highly homologous to its host. Phylogenetic analysis and average nucleotide sequence identification reveal that vB_HmeY_H4907 is separated from the isolated phages and represents a new family, Suviridae, with eight predicted proviruses and six uncultured viral genomes. They are widely distributed in the ocean, suggesting a prevalence of this viral family in the deep sea. These findings expand our understanding of the phylogenetic diversity and genomic features of hadal lysogenic phages, provide essential information for further studies of phage-host interactions and evolution, and may reveal new insights into the lysogenic lifestyles of viruses inhabiting the hadal ocean..</t>
  </si>
  <si>
    <t>[Su, Yue; Zhang, Wenjing; Liang, Yantao; Wang, Hongmin; Liu, Yundan; Zheng, Kaiyang; Yu, Hao; Ren, Linyi; Shao, Hongbing; Zhang, Yu-Zhong; Mcminn, Andrew; Wang, Min] Ocean Univ China, Inst Evolut &amp; Marine Biodivers, Coll Marine Life Sci, Frontiers Sci Ctr Deep Ocean,Ctr Ocean Carbon Neu, Qingdao, Peoples R China; [Zhang, Wenjing] Shanghai Jiao Tong Univ, Sch Oceanog, Shanghai, Peoples R China; [Liang, Yantao; Shao, Hongbing; Sung, Yeong Yik; Mok, Wen Jye; Wong, Li Lian; Wang, Min] UMT OUC Joint Acad Ctr Marine Studies, Qingdao, Peoples R China; [Liu, Ziqi] Hiroshima Univ, Sch Integrated Arts &amp; Sci, Dept Integrated Global Studies, Higashihiroshima, Japan; [Sung, Yeong Yik; Mok, Wen Jye; Wong, Li Lian] Univ Malaysia Terengganu, Inst Marine Biotechnol, Kuala Terengganu, Malaysia; [Zhang, Yu-Zhong] Shandong Univ, Marine Biotechnol Res Ctr, State Key Lab Microbial Technol, Jinan, Peoples R China; [Mcminn, Andrew] Univ Tasmania, Inst Marine &amp; Antarctic Studies, Launceston, Tas, Australia; [Wang, Min] Ocean Univ China, Haide Coll, Qingdao, Peoples R China; [Wang, Min] Qingdao Univ, Affiliated Hosp, Qingdao, Peoples R China</t>
  </si>
  <si>
    <t>WONG, LI LIAN/ABE-1887-2022; Mok, Wen Jye/AAF-9229-2019; JIANG, Peng/KGL-3427-2024; yang, zhou/KBB-6972-2024; li, jixiang/JXN-7599-2024; chen, bin/KBQ-8114-2024; Wang, Min/AFR-9645-2022; Han, Yang/JVN-5921-2024</t>
  </si>
  <si>
    <t>Mok, Wen Jye/0000-0002-7629-8312; chen, bin/0000-0002-3398-1314; Wang, Min/0000-0002-2357-589X;</t>
  </si>
  <si>
    <t>The authors declare that they have no conflicts of interest regarding this study.</t>
  </si>
  <si>
    <t>We are thankful for the support of the high-performance servers of the Center for High Performance Computing and System Simulation, Pilot National Laboratory for Marine Science and Technology (Qingdao), the Marine Big Data Center of the Institute for Advanced Ocean Study of the Ocean University of China, the IEMB-1, a high-performance computing cluster operated by the Institute of Evolution and Marine Biodiversity, and the Marine Big Data Center of the Institute for Advanced Ocean Study of the Ocean University of China.r This study was supported by the Laoshan Laboratory (No. LSKJ202203201), the National Key Research and Development Program of China (2022YFC2807500), the National Natural Science Foundation of China (Nos. 42120104006, 41976117, and 42176111), and the Fundamental Research Funds for the Central Universities (202172002, 201812002, and Andrew McMinn).r Y. Liang and M.W.: supervision, conceptualization, project administration, and funding acquisition. Y.S.: methodology, writing, and original draft preparation. W.Z.: phage isolation. H.W., Y. Liu, and K.Z.: genome analysis and software. Z.L., H.Y., and L.R.: data curation and visualization. H.S., Y.S., W.J.M., L.L.W., and A.M.: review and editing. Y.-Z.Z.: provision of bacterial strains. All authors contributed to the article and approved the submitted version.r The authors declare that they have no conflicts of interest regarding this study.</t>
  </si>
  <si>
    <t>e0191223</t>
  </si>
  <si>
    <t>S5WF9</t>
  </si>
  <si>
    <t>WOS:001071860100001</t>
  </si>
  <si>
    <t>Gilbert, L; Jeanniard-du-Dot, T; Authier, M; Chouvelon, T; Spitz, J</t>
  </si>
  <si>
    <t>Gilbert, Lola; Jeanniard-du-Dot, Tiphaine; Authier, Matthieu; Chouvelon, Tiphaine; Spitz, Jerome</t>
  </si>
  <si>
    <t>Composition of cetacean communities worldwide shapes their contribution to ocean nutrient cycling</t>
  </si>
  <si>
    <t>IRON FERTILIZATION; PREY CONSUMPTION; ENERGY-REQUIREMENTS; ANTARCTIC KRILL; MARINE MAMMALS; URINARY LOSSES; BALEEN WHALES; CARBON EXPORT; TRACE-METALS; SOUTHERN</t>
  </si>
  <si>
    <t>Defecation by large whales is known to fertilise oceans with nutrients, stimulating phytoplankton and ecosystem productivity. However, our current understanding of these processes is limited to a few species, nutrients and ecosystems. Here, we investigate the role of cetacean communities in the worldwide biological cycling of twomajor nutrients and six trace nutrients. We show that cetaceans release more nutrients in mesotrophic to eutrophic temperate waters than in oligotrophic tropical waters, mirroring patterns of ecosystem productivity. The released nutrient cocktails also vary geographically, driven by the composition of cetacean communities. The roles of small cetaceans, deep diving cetaceans and baleen whales differ quantitatively and functionally, with contributions of small cetaceans and deep divers exceeding those of large whales in some areas. The functional diversity of cetacean communities expands beyond their role as top predators to include their role as active nutrient vectors, which might be equally important to local ecosystem dynamics.</t>
  </si>
  <si>
    <t>[Gilbert, Lola; Jeanniard-du-Dot, Tiphaine; Spitz, Jerome] La Rochelle Univ, Ctr Biol Studies Chize, UMR 7372, CNRS, La Rochelle, France; [Gilbert, Lola; Authier, Matthieu; Chouvelon, Tiphaine; Spitz, Jerome] La Rochelle Univ, Pelagis Observ, UAR 3462, CNRS, La Rochelle, France; [Chouvelon, Tiphaine] IFREMER, Chem Contaminat Marine Ecosyst Unit, Nantes, France</t>
  </si>
  <si>
    <t>Centre National de la Recherche Scientifique (CNRS); CNRS - Institute of Ecology &amp; Environment (INEE); Centre National de la Recherche Scientifique (CNRS); Ifremer</t>
  </si>
  <si>
    <t>Spitz, J (corresponding author), La Rochelle Univ, Ctr Biol Studies Chize, UMR 7372, CNRS, La Rochelle, France.;Spitz, J (corresponding author), La Rochelle Univ, Pelagis Observ, UAR 3462, CNRS, La Rochelle, France.</t>
  </si>
  <si>
    <t>jspitz@univ-lr.fr</t>
  </si>
  <si>
    <t>French Ministry for Ecology (Ministre de la Transition Ecologique et Solidaire/Direction de l'Eau et de la Biodiversite-MTES/DEB); European project H2020 SUMMER [817806]</t>
  </si>
  <si>
    <t>French Ministry for Ecology (Ministre de la Transition Ecologique et Solidaire/Direction de l'Eau et de la Biodiversite-MTES/DEB); European project H2020 SUMMER</t>
  </si>
  <si>
    <t>This work was supported by the French Ministry for Ecology (Ministre de la Transition Ecologique et Solidaire/Direction de l'Eau et de la Biodiversite-MTES/DEB) and by the European project H2020 SUMMER SustainableManagement ofMesopelagic Resources (grant agreement ID: 817806). We are grateful to Nicolas Bousquet for his guidance in the design of a bootstrap procedure appropriate for our sensitivity analysis.</t>
  </si>
  <si>
    <t>SEP 19</t>
  </si>
  <si>
    <t>10.1038/s41467-023-41532-y</t>
  </si>
  <si>
    <t>LR2H1</t>
  </si>
  <si>
    <t>WOS:001188458600002</t>
  </si>
  <si>
    <t>Motizuki, Y; Nakai, Y; Takahashi, K; Hirose, J; Sahoo, YV; Yumoto, M; Maruyama, M; Sakashita, M; Kase, K; Wada, S; Motoyama, H; Yano, Y</t>
  </si>
  <si>
    <t>Motizuki, Yuko; Nakai, Yoichi; Takahashi, Kazuya; Hirose, Junya; Sahoo, Yu Vin; Yumoto, Masaki; Maruyama, Masayuki; Sakashita, Michio; Kase, Kiwamu; Wada, Satoshi; Motoyama, Hideaki; Yano, Yasushige</t>
  </si>
  <si>
    <t>A novel laser melting sampler for discrete, sub-centimeter depth-resolved analyses of stable water isotopes in ice cores</t>
  </si>
  <si>
    <t>Antarctic glaciology; ice chemistry; ice core; ice engineering</t>
  </si>
  <si>
    <t>CONTINUOUS-FLOW ANALYSIS; ANALYSIS SYSTEM</t>
  </si>
  <si>
    <t>We developed a novel laser melting sampler (LMS) for ice cores to measure the stable water isotope ratios (delta 18O and delta D) as temperature proxies at sub-centimeter depth resolutions. In this LMS system, a 2 mm diameter movable evacuation nozzle holds an optical fiber through which a laser beam irradiates the ice core. The movable nozzle intrudes into the ice core, the laser radiation meanwhile melts the ice cylindrically, and the meltwater is pumped away simultaneously through the same nozzle and transferred to a vial for analysis. To avoid isotopic fractionation of the ice through vaporization, the laser power is adjusted to ensure that the temperature of the meltwater is always kept well below its boiling point. A segment of a Dome Fuji shallow ice core (Antarctica), using the LMS, was then demonstrated to have been discretely sampled with a depth resolution as small as 3 mm: subsequent analysis of delta 18O, delta D, and deuterium excess (d) was consistent with results obtained by hand segmentation within measurement uncertainties. With system software to control sampling resolution, the LMS will enable us to identify temperature variations that may be detectable only at sub-centimeter resolutions in ice cores.</t>
  </si>
  <si>
    <t>[Motizuki, Yuko; Nakai, Yoichi; Takahashi, Kazuya; Hirose, Junya; Sahoo, Yu Vin; Yano, Yasushige] RIKEN Nishina Ctr, Astroglaciol Lab, Wako, Japan; [Yumoto, Masaki; Maruyama, Masayuki; Sakashita, Michio; Kase, Kiwamu; Wada, Satoshi] RIKEN Ctr Adv Photon, Photon Control Technol Team, Wako, Japan; [Motoyama, Hideaki] Natl Inst Polar Res, Tachikawa, Japan</t>
  </si>
  <si>
    <t>RIKEN; RIKEN; Research Organization of Information &amp; Systems (ROIS); National Institute of Polar Research (NIPR) - Japan</t>
  </si>
  <si>
    <t>Motizuki, Y (corresponding author), RIKEN Nishina Ctr, Astroglaciol Lab, Wako, Japan.</t>
  </si>
  <si>
    <t>motizuki@riken.jp</t>
  </si>
  <si>
    <t>JSPS KAKENHI [JP17H01119]</t>
  </si>
  <si>
    <t>JSPS KAKENHI(Ministry of Education, Culture, Sports, Science and Technology, Japan (MEXT)Japan Society for the Promotion of ScienceGrants-in-Aid for Scientific Research (KAKENHI))</t>
  </si>
  <si>
    <t>The authors are grateful to the 51st Japanese Antarctic Research Expedition and Dome Fuji drilling team for obtaining the DFS10 ice core and are thankful to Shuji Fujita (National Institute of Polar Research) for support in providing us with the segment used in this study. The authors thank Ikumi Oyabu (National Institute of Polar Research) and Yoshinori Iizuka (Institute of Low Temperature Science, Hokkaido University) for helpful comments. The authors are grateful to the anonymous referees who contributed valuable and constructive comments that improved the quality of our paper. This work was supported by JSPS KAKENHI Grant No. JP17H01119.</t>
  </si>
  <si>
    <t>2023 SEP 19</t>
  </si>
  <si>
    <t>10.1017/jog.2023.52</t>
  </si>
  <si>
    <t>W4KC2</t>
  </si>
  <si>
    <t>WOS:001091319400001</t>
  </si>
  <si>
    <t>Van Overmeiren, P; Demeestere, K; Mangold, A; Delcloo, A; Van Langenhove, H; Walgraeve, C</t>
  </si>
  <si>
    <t>Van Overmeiren, Preben; Demeestere, Kristof; Mangold, Alexander; Delcloo, Andy; Van Langenhove, Herman; Walgraeve, Christophe</t>
  </si>
  <si>
    <t>Year-round measurement of atmospheric volatile organic compounds using sequential sampling in Dronning Maud Land, East-Antarctica</t>
  </si>
  <si>
    <t>VOCs; OVOCs; Antarctic atmosphere; Autosampler; TD-GC-MS; TD-PTR-Qi-TOFMS</t>
  </si>
  <si>
    <t>BIOMASS BURNING EMISSIONS; MASS-SPECTROMETRY; CHLORINATED HYDROCARBONS; NONMETHANE HYDROCARBONS; BREAKTHROUGH VOLUME; DIMETHYL SULFIDE; BOUNDARY-LAYER; COMPOUNDS VOC; TRACE GASES; AIR-QUALITY</t>
  </si>
  <si>
    <t>Antarctica is considered the most pristine environment on Earth but is also characterized by its unique conditions such as the strong polar vortex and extreme cold. A detailed understanding of volatile organic compounds (VOCs) and the atmospheric oxidation reactions they undergo is essential to document biogeochemical cycles and to better understand their impact on radiative forcing. This research aims to provide a unique dataset of oxygenated (O)VOCs occurring in the Antarctic troposphere and provide insights into their temporal behavior. A home-made sequential sorbent tube auto sampler was deployed at the atmospheric observatory of the Princess Elisabeth station (71.95 degrees S, 23.35 degrees E, 1390 m asl) to collect 20 samples during the period from December 2019 to October 2020. The samples were analyzed consecutively by TD-GC-MS followed by direct thermal desorption of samples in a high-resolution PTR-Qi-TOFMS.Concentrations of 70 VOCs allocated to 4 different chemical groups (halogenated compounds, non-aromatic hydrocarbons, sulfur-containing compounds, and oxygenated aromatic and non-aromatic compounds) were determined. The results show temporal patterns for compounds such as bromoform (14 +/- 6 ng/m3) and OVOCs such as furaldehyde (24 +/- 9 ng/m3), amongst others, which are attributed to the seasonality of atmospheric conditions. Products of the atmospheric oxidation process show linear correlation indicating their mutual relationship and association with a common parent compound.The usage of an autonomous autosampler in the extreme conditions of Antarctica was demonstrated and proved to be a powerful tool in the sampling of air in such a remote location. The novel approach of using two analytical techniques boasts increased sensitivity and a broad range of compounds that can be detected, yielding the first dataset of its kind for Antarctica.</t>
  </si>
  <si>
    <t>[Van Overmeiren, Preben; Demeestere, Kristof; Van Langenhove, Herman; Walgraeve, Christophe] Univ Ghent, Fac Biosci Engn, Dept Green Chem &amp; Technol, Res Grp EnVOC Environm Organ Chem &amp; Technol, Ghent, Belgium; [Mangold, Alexander; Delcloo, Andy] Royal Meteorol Inst Belgium RMI, Uccle, Belgium; [Delcloo, Andy] Univ Ghent, Dept Phys &amp; Astron, Ghent, Belgium; [Walgraeve, Christophe] Coupure Links 653, Ghent, Belgium</t>
  </si>
  <si>
    <t>Ghent University; Royal Meteorological Institute of Belgium; Ghent University</t>
  </si>
  <si>
    <t>Walgraeve, C (corresponding author), Coupure Links 653, Ghent, Belgium.</t>
  </si>
  <si>
    <t>Christophe.Walgraeve@UGent.be</t>
  </si>
  <si>
    <t>Van Overmeiren, Preben/0000-0002-8097-4221; Mangold, Alexander/0000-0002-9355-0807</t>
  </si>
  <si>
    <t>Belgian Science Policy office (BELSPO) [BR/175/A2/CHASE, BR/175/A2/CHASE-2, B2/191/P1/CLIMB]; Hercules foundation [AUGE/15/08]; special research fund (BOF); Princess Elisabeth Station for the never</t>
  </si>
  <si>
    <t>Belgian Science Policy office (BELSPO)(Belgian Federal Science Policy Office); Hercules foundation; special research fund (BOF); Princess Elisabeth Station for the never</t>
  </si>
  <si>
    <t>We acknowledge the financial support of the Belgian Science Policy office (BELSPO) in the framework of the CHASE (BR/175/A2/CHASE) and CLIMB (BR/175/A2/CHASE-2 and B2/191/P1/CLIMB) projects. The financial investment in analytical equipment (PTR-Qi-TOFMS) in the framework of heavy research equipment support by the Hercules foundation is acknowledged (AUGE/15/08) as well as the financial support by the special research fund (BOF) in the form of SG for Christophe Walgraeve. We would like to express our gratitude to the International Polar Foundation (IPF) , in particular to Nighat Gigi Johnson- Amin, Alain Hubert, the field guides (Christophe, Manu, and Polo) , Henri Robert, and all personnel deployed at, and in support of the Princess Elisabeth Station for the never-ending support. Finally, we thank our technical staff Lore Vandermeersch and Patrick De Wispelaere.</t>
  </si>
  <si>
    <t>10.1016/j.atmosenv.2023.120074</t>
  </si>
  <si>
    <t>U1LK4</t>
  </si>
  <si>
    <t>WOS:001082485600001</t>
  </si>
  <si>
    <t>Pandey, M; Rudraswami, NG; Singh, VP; Viegas, A</t>
  </si>
  <si>
    <t>Pandey, M.; Rudraswami, N. G.; Singh, V. P.; Viegas, A.</t>
  </si>
  <si>
    <t>Geochemical evaluation of cosmic spherules collected from the Central Indian Ocean Basin</t>
  </si>
  <si>
    <t>Micrometeorites; Cosmic spherule; Chondrite; Atmospheric entry</t>
  </si>
  <si>
    <t>EXTRATERRESTRIAL DUST; ATMOSPHERIC ENTRY; OXYGEN-ISOTOPE; ACCRETION RATE; CHONDRITIC MICROMETEORITES; ANTARCTIC MICROMETEORITES; MASS-DISTRIBUTION; CHONDRULES; OLIVINE; FLUX</t>
  </si>
  <si>
    <t>Micrometeorites (MMs) significantly contribute to the extraterrestrial material the Earth receives and represent a broader range of precursors than known meteorites. Low sedimentation rates prevalent in the deep-sea regions far away from land provide a unique opportunity for collecting MMs from these least disturbed regions. In the present study, we have studied 305 cosmic spherules recovered from the Central Indian Ocean Basin (CIOB); that have undergone melting during hypervelocity entry into the Earth's atmosphere. During the atmospheric entry, primary signatures of MMs are lost depending upon the extent of heating, complicating the identification of the parent body. Nevertheless, we have tried to relate these cosmic spherules to their respective parent bodies based on elemental ratios present in them, considering atmospheric ablative losses of various elements. The chemical analyses indicate that many deep-sea cosmic spherules are linked to carbonaceous chondrites. Around 239 porphyritic olivines (PO), 42 relict olivines are studied for their textural development and composition during recrystallisation during atmospheric entry. Thirty-zoned olivines are analysed from rim to core to understand various elements behaviour during atmospheric entry. Seawater plays a vital role in eroding these cosmic spherules material, and its effect is also discussed. As most of the recent micrometeorite collections focus on the polar region, these deep-sea spherules will significantly add to the information about the extraterrestrial matter reaching the Earth.</t>
  </si>
  <si>
    <t>[Pandey, M.; Rudraswami, N. G.; Singh, V. P.] CSIR, Natl Inst Oceanog, Panaji 403004, Goa, India; [Pandey, M.; Rudraswami, N. G.; Viegas, A.] Goa Univ, Sch Earth Ocean &amp; Atmospher Sci, Taleigao 403206, Goa, India; [Rudraswami, N. G.; Singh, V. P.] Acad Sci &amp; Innovat Res AcSIR, Ghaziabad 201002, India</t>
  </si>
  <si>
    <t>Council of Scientific &amp; Industrial Research (CSIR) - India; CSIR - National Institute of Oceanography (NIO); Goa University; Academy of Scientific &amp; Innovative Research (AcSIR)</t>
  </si>
  <si>
    <t>Pandey, M; Rudraswami, NG (corresponding author), CSIR, Natl Inst Oceanog, Panaji 403004, Goa, India.;Pandey, M; Rudraswami, NG (corresponding author), Goa Univ, Sch Earth Ocean &amp; Atmospher Sci, Taleigao 403206, Goa, India.;Rudraswami, NG (corresponding author), Acad Sci &amp; Innovat Res AcSIR, Ghaziabad 201002, India.</t>
  </si>
  <si>
    <t>mayank.pandeybhu@gmail.com; rudra@nio.org</t>
  </si>
  <si>
    <t>SINGH, VIJAY PRATAP/0000-0002-9209-2381</t>
  </si>
  <si>
    <t>10.1016/j.dsr.2023.104153</t>
  </si>
  <si>
    <t>U0MN5</t>
  </si>
  <si>
    <t>WOS:001081834600001</t>
  </si>
  <si>
    <t>Ha, S; Lee, JI; Bak, YS; Yoo, KC; Khim, BK</t>
  </si>
  <si>
    <t>Ha, Sangbeom; Lee, Jae Il; Bak, Young-Suk; Yoo, Kyu-Cheul; Khim, Boo-Keun</t>
  </si>
  <si>
    <t>Paleoenvironmental reconstruction of glaciomarine sediments in the Drygalski Basin of the western Ross Sea since the Last Glacial Maximum</t>
  </si>
  <si>
    <t>SEDIMENTARY GEOLOGY</t>
  </si>
  <si>
    <t>Continental shelf sediments; Ice sheet; Ice shelf; Grounding line; Calving line; Drygalski Basin; Ross Sea</t>
  </si>
  <si>
    <t>ANTARCTIC ICE-SHEET; PLEISTOCENE-HOLOCENE RETREAT; CLAY MINERAL ASSEMBLAGES; GROUNDING-LINE RETREAT; SINKING ORGANIC-MATTER; MCMURDO SOUND; MARINE-SEDIMENTS; SOUTHERN-OCEAN; DIATOM ASSEMBLAGES; SURFACE SEDIMENTS</t>
  </si>
  <si>
    <t>The repeated growth and reduction of the ice sheet have controlled the striking variation of the continental shelf environment in the Ross Sea. Particularly, glaciomarine shelf sedimentation is closely related to the ice sheet dynamics and ice shelf development since the Last Glacial Maximum (LGM). Using the four gravity (and box) cores obtained from the northern Drygalski Basin in the western Ross Sea, multi-proxies including sediment properties, geochemical proxies, carbon isotopic values of organic matter, clay mineral compositions of fine-grained sediments, and diatom assemblage were analyzed with AMS 14C dating from bulk organic matters. Based on the core description, X-radiograph observation, and results of grain size distribution, the core sediments were classified into the seven sediment facies: clast-rich muddy diamicton, clast-rich sandy diamicton, massive mud, laminated mud, bioturbated mud, massive sandy mud, and bioturbated sandy mud. The association of these sediment facies defines the four lithologic units in terms of the depositional evolution. Lithologic unit 1 represents diamicton deposited proximal to the grounding line. When the ice sheet and ice shelf retreated since the LGM, the unsorted sediment mass was deposited proximal to the grounding line. Lithologic unit 2 consists of the massive mud deposited under the sub-ice shelf condition. During the ice sheet retreat, the fine-grained particles were transported by the meltwater plume to the subice shelf floor. The biogenic materials were also transported from the seasonal open marine area to the sub-ice shelf by the currents. Lithologic unit 3 was composed of sandy mud and mud with abundant dropstones that might have been deposited at the calving line. As the calving line passed the Drygalski Basin, a large amount of the coarse fractions was deposited due to ice shelf breakup. The terrestrial sediments from the Victoria Land coast were transported from the grounding line of the remained local ice sheet, when the calving line passed the north side of Drygalski Ice Tongue. Lithologic unit 4 comprises the bioturbated mud and sandy mud that were deposited under the seasonal open marine condition. The biological productivity increased significantly during the late Holocene, while the terrestrial sedimentation decreased under seasonal open marine conditions. The diatom assemblage and delta 13C values of sediment organic matter indicate the mid-Holocene warm climate with more sea ice melting. Since the LGM, the paleoenvironmental change and glaciomarine depositional evolution on the northern Drygalski Basin were closely linked with the ice sheet dynamics and ice shelf activity, in addition to the climate change during the Holocene. (c) 2023 Elsevier B.V. All rights reserved.</t>
  </si>
  <si>
    <t>[Ha, Sangbeom; Khim, Boo-Keun] Pusan Natl Univ, Dept Oceanog, Pusan 46241, South Korea; [Ha, Sangbeom; Lee, Jae Il; Yoo, Kyu-Cheul] Korea Polar Res Inst, Div Glacial Environm Res, Incheon 21990, South Korea; [Bak, Young-Suk] Jeonbuk Natl Univ, Earth Environm Syst Res Ctr, Jeonju 54896, South Korea; [Khim, Boo-Keun] Pusan Natl Univ, Marine Res Inst, Busan 46241, South Korea</t>
  </si>
  <si>
    <t>Pusan National University; Korea Polar Research Institute (KOPRI); Jeonbuk National University; Pusan National University</t>
  </si>
  <si>
    <t>Khim, BK (corresponding author), Pusan Natl Univ, Dept Oceanog, Pusan 46241, South Korea.</t>
  </si>
  <si>
    <t>sb_ha@pusan.ac.kr; leeji@kopri.re.kr; sydin@jbnu.ac.kr; kcyoo@kopri.re.kr; bkkhim@pusan.ac.kr</t>
  </si>
  <si>
    <t>National Research Foundation of Korea [2019K1A3A1A25000116, 2019R1A2C1007701, 2022R1A2B5B01001811]; KOPRI project [PE23090]</t>
  </si>
  <si>
    <t>National Research Foundation of Korea(National Research Foundation of Korea); KOPRI project(Korea Polar Research Institute of Marine Research Placement (KOPRI))</t>
  </si>
  <si>
    <t>The captain, crew, and all onboard of the I/B ARAON and technicians and researchers of DG12 Expedition in 2012 are thanked for core sampling. We appreciate the editor (Brian Jones) and two anonymous reviewers for their critical and constructive comments to improve the manuscript. This study was carried out with financial support from the National Research Foundation of Korea (2019K1A3A1A25000116, 2019R1A2C1007701, and 2022R1A2B5B01001811) and KOPRI project (PE23090) .</t>
  </si>
  <si>
    <t>0037-0738</t>
  </si>
  <si>
    <t>1879-0968</t>
  </si>
  <si>
    <t>SEDIMENT GEOL</t>
  </si>
  <si>
    <t>Sediment. Geol.</t>
  </si>
  <si>
    <t>10.1016/j.sedgeo.2023.106495</t>
  </si>
  <si>
    <t>T9VR1</t>
  </si>
  <si>
    <t>WOS:001081393800001</t>
  </si>
  <si>
    <t>Marangon, E; Uthicke, S; Patel, F; Marzinelli, EM; Bourne, DG; Webster, NS; Laffy, PW</t>
  </si>
  <si>
    <t>Marangon, Emma; Uthicke, Sven; Patel, Frances; Marzinelli, Ezequiel M.; Bourne, David G.; Webster, Nicole S.; Laffy, Patrick W.</t>
  </si>
  <si>
    <t>Life-stage specificity and cross-generational climate effects on the microbiome of a tropical sea urchin (Echinodermata: Echinoidea)</t>
  </si>
  <si>
    <t>climate change; coral reefs; development; microbe; sea urchin; transgenerational acclimatization</t>
  </si>
  <si>
    <t>BACTERIAL COMMUNITY DYNAMICS; OCEAN; ACIDIFICATION</t>
  </si>
  <si>
    <t>Microbes play a critical role in the development and health of marine invertebrates, though microbial dynamics across life stages and host generations remain poorly understood in most reef species, especially in the context of climate change. Here, we use a 4-year multigenerational experiment to explore microbe-host interactions under the Intergovernmental Panel on Climate Change (IPCC)-forecast climate scenarios in the rock-boring tropical urchin Echinometra sp. A. Adult urchins (F0) were exposed for 18 months to increased temperature and pCO2 levels predicted for years 2050 and 2100 under RCP 8.5, a period which encompassed spawning. After rearing F1 offspring for a further 2 years, spawning was induced, and F2 larvae were raised under current day and 2100 conditions. Cross-generational climate effects were also explored in the microbiome of F1 offspring through a transplant experiment. Using 16S rRNA gene sequence analysis, we determined that each life stage and generation was associated with a distinct microbiome, with higher microbial diversity observed in juveniles compared to larval stages. Although life-stage specificity was conserved under climate conditions projected for 2050 and 2100, we observed changes in the urchin microbial community structure within life stages. Furthermore, we detected a climate-mediated parental effect when juveniles were transplanted among climate treatments, with the parental climate treatment influencing the offspring microbiome. Our findings reveal a potential for cross-generational impacts of climate change on the microbiome of a tropical invertebrate species.</t>
  </si>
  <si>
    <t>[Marangon, Emma; Bourne, David G.] James Cook Univ, Coll Sci &amp; Engn, Townsville, Qld, Australia; [Marangon, Emma; Uthicke, Sven; Patel, Frances; Bourne, David G.; Webster, Nicole S.; Laffy, Patrick W.] Australian Inst Marine Sci, Townsville, Qld, Australia; [Marangon, Emma; Bourne, David G.; Laffy, Patrick W.] AIMS JCU, Townsville, Qld, Australia; [Marzinelli, Ezequiel M.] Univ Sydney, Sch Life &amp; Environm Sci, Sydney, NSW, Australia; [Marzinelli, Ezequiel M.] Nanyang Technol Univ, Singapore Ctr Environm Life Sci Engn, Singapore, Singapore; [Webster, Nicole S.] Univ Queensland, Australian Ctr Ecogenom, Brisbane, Qld, Australia; [Webster, Nicole S.] Australian Antarctic Div, Kingston, Tas, Australia</t>
  </si>
  <si>
    <t>James Cook University; Australian Institute of Marine Science; James Cook University; University of Sydney; Nanyang Technological University; University of Queensland; Australian Antarctic Division</t>
  </si>
  <si>
    <t>Marangon, E (corresponding author), James Cook Univ, Coll Sci &amp; Engn, Townsville, Qld, Australia.</t>
  </si>
  <si>
    <t>emma.marangon@my.jcu.edu.au</t>
  </si>
  <si>
    <t>Uthicke, Sven/F-1810-2010; Patel, Frances/AAM-2666-2021; Marzinelli, Ezequiel M/I-7726-2012; Webster, Nicole/G-4980-2011</t>
  </si>
  <si>
    <t>Uthicke, Sven/0000-0002-3476-6595; Webster, Nicole/0000-0002-4753-5278; Marangon, Emma/0000-0002-9546-4822; Laffy, Patrick/0000-0002-6754-1691</t>
  </si>
  <si>
    <t>We are very grateful to Dr. Sam Karelitz for his assistance in maintaining the larval cultures, Dr. Sara Bell and Dr. Katarina Damjanovic for their guidance in processing the samples, and Dr. Murray Logan and Hillary Smith for their advices on statistical; AIMS Evolution21 project; AIMS@JCU PhD scholarship</t>
  </si>
  <si>
    <t>We are very grateful to Dr. Sam Karelitz for his assistance in maintaining the larval cultures, Dr. Sara Bell and Dr. Katarina Damjanovic for their guidance in processing the samples, and Dr. Murray Logan and Hillary Smith for their advices on statistical analyses. We thank the National Sea Simulator (SeaSim) staff for assisting during this long-term experiment and maintaining the experimental aquaria. We also would like to acknowledge the Traditional Owners of the land and sea country where this study took place, the Wulgurukaba and Bindal People. The research was funded through the AIMS Evolution21 project, and Emma Marangon was supported by an AIMS@JCU PhD scholarship. JCU supported open access publication of this study.</t>
  </si>
  <si>
    <t>10.1111/mec.17124</t>
  </si>
  <si>
    <t>U2MS8</t>
  </si>
  <si>
    <t>WOS:001068180000001</t>
  </si>
  <si>
    <t>Morshedi, V; Eryalcin, KM; Esmaeili, N; Niromand, M; Gamoori, R; Urku, C; Safari, O</t>
  </si>
  <si>
    <t>Morshedi, Vahid; Eryalcin, Kamil Mert; Esmaeili, Noah; Niromand, Mohamad; Gamoori, Reza; Urku, Cigdem; Safari, Omid</t>
  </si>
  <si>
    <t>Rotifer enrichment with DHA did not improve growth and survival rate of yellowtail clownfish (Amphiprion clarkii) larvae</t>
  </si>
  <si>
    <t>AQUACULTURE INTERNATIONAL</t>
  </si>
  <si>
    <t>Highly unsaturated fatty acids; Larval feeding; Rotifer enrichment; Digestive enzymes; Growth</t>
  </si>
  <si>
    <t>DIETARY ARACHIDONIC-ACID; UNSATURATED FATTY-ACIDS; DIGESTIVE ENZYME-ACTIVITIES; CYPRINUS-CARPIO L.; N-3 HUFA LEVELS; EICOSAPENTAENOIC ACID; ANTIOXIDANT CAPACITY; HISTOLOGICAL-CHANGES; DOCOSAHEXAENOIC ACID; CLARIAS-GARIEPINUS</t>
  </si>
  <si>
    <t>Docosahexaenoic acid (DHA) enrichment of live food is a common practice to improve growth and survival of larvae. The current research aimed to test the effect of rotifer enrichment with DHA on growth, survival, fatty acid profile, digestive enzymes, antioxidant parameters, and histology in yellowtail clownfish (Amphiprion clarkii) larvae. Four levels of enrichments emulsions with DHA were considered, including DHA6 (6% DHA), DHA12 (12% DHA), DHA24 (24% DHA), and DHA36 (36% DHA). No substantial differences in growth data were recorded, suggesting that even 6% DHA emulsion enrichment which resulted in 4.22% DHA in rotifers is enough to fulfil the DHA requirements of yellowtail clownfish larvae to maximise the growth rate. Excessive levels of DHA (36%) decreased the survival rate of larvae. This fatty acid accumulated in the larvae body at high levels (24.72%). The DHA12 group had the lowest growth, possibly due to lower digestive enzymes and antioxidant activities in this treatment. There was a positive correlation between final weight and lipase (59%), protease (73%), and lactate dehydrogenase (69%). Furthermore, amylase, lipase, protease, and alkaline phosphatase had significant positive correlations with catalase (72%, 84%, 74%, and 66%, respectively) and lactate dehydrogenase (64%, 85%, 79%, and 77%, respectively). Superoxidase dismutase and catalase also had positive correlations with arachidonic acid levels in the body. Increased DHA levels, based on histology data, caused lipid vacuoles in enterocytes and hepatocytes. In conclusion, yellowtail clownfish larvae can grow well with high survival even with feeding rotifers enriched with 4.22% DHA or less.</t>
  </si>
  <si>
    <t>[Morshedi, Vahid] Persian Gulf Univ, Persian Gulf Res Inst, Dept Fisheries &amp; Biol, Bushehr 7516913817, Iran; [Eryalcin, Kamil Mert; Urku, Cigdem] Istanbul Univ, Fac Aquat Sci, Dept Aquaculture &amp; Fish Dis, Istanbul, Turkiye; [Esmaeili, Noah] Univ Tasmania, Inst Marine &amp; Antarctic Studies, Hobart, Tas 7053, Australia; [Niromand, Mohamad] Univ Hormozgan, Fac Marine Sci &amp; Technol, Dept Fisheries Sci, Bandar Abbas, Iran; [Safari, Omid] Ferdowsi Univ Mashhad, Fac Nat Resources &amp; Environm, Dept Fisheries, Mashhad, Iran</t>
  </si>
  <si>
    <t>Persian Gulf University; Istanbul University; University of Tasmania; University of Hormozgan; Ferdowsi University Mashhad</t>
  </si>
  <si>
    <t>Morshedi, V (corresponding author), Persian Gulf Univ, Persian Gulf Res Inst, Dept Fisheries &amp; Biol, Bushehr 7516913817, Iran.;Esmaeili, N (corresponding author), Univ Tasmania, Inst Marine &amp; Antarctic Studies, Hobart, Tas 7053, Australia.</t>
  </si>
  <si>
    <t>v.morshedi@pgu.ac.ir; eryalcin@istanbul.edu.tr; noah.esmaeili@utas.edu.au; mohamad_niromand@yahoo.com; rezagamoori@yahoo.com; curku@istanbul.edu.tr; omidsafari@um.ac.ir</t>
  </si>
  <si>
    <t>Esmaeili, Noah/Q-4536-2019; Safari, Omid/G-1983-2016; Morshedi, Vahid/H-1642-2018</t>
  </si>
  <si>
    <t>Esmaeili, Noah/0000-0001-8704-939X; Safari, Omid/0000-0001-8378-8291; ERYALCIN, Kamil Mert/0000-0002-8336-957X</t>
  </si>
  <si>
    <t>We are grateful to the director and staff of Tabasom Sahel Gheshm Company, Hormozgan, Iran, for providing the necessary facilities for the experiment.; Hormozgan, Iran</t>
  </si>
  <si>
    <t>We are grateful to the director and staff of Tabasom Sahel Gheshm Company, Hormozgan, Iran, for providing the necessary facilities for the experiment.</t>
  </si>
  <si>
    <t>0967-6120</t>
  </si>
  <si>
    <t>1573-143X</t>
  </si>
  <si>
    <t>AQUACULT INT</t>
  </si>
  <si>
    <t>Aquac. Int.</t>
  </si>
  <si>
    <t>10.1007/s10499-023-01279-1</t>
  </si>
  <si>
    <t>S1JH2</t>
  </si>
  <si>
    <t>WOS:001068795200001</t>
  </si>
  <si>
    <t>Will This Strange Antarctic Squid Solve America's Memory Crisis?</t>
  </si>
  <si>
    <t>NATION</t>
  </si>
  <si>
    <t>NATION CO INC</t>
  </si>
  <si>
    <t>33 IRVING PLACE, 8TH FLOOR, NEW YORK, NY 10003 USA</t>
  </si>
  <si>
    <t>0027-8378</t>
  </si>
  <si>
    <t>Nation</t>
  </si>
  <si>
    <t>SEP 18</t>
  </si>
  <si>
    <t>Political Science</t>
  </si>
  <si>
    <t>Government &amp; Law</t>
  </si>
  <si>
    <t>KE1S6</t>
  </si>
  <si>
    <t>WOS:001178196800013</t>
  </si>
  <si>
    <t>Sullivan, NB; Meyers, SR; Levy, RH; Mckay, RM; Golledge, NR; Cortese, G</t>
  </si>
  <si>
    <t>Sullivan, Nicholas B.; Meyers, Stephen R.; Levy, Richard H.; Mckay, Robert M.; Golledge, Nicholas R.; Cortese, Giuseppe</t>
  </si>
  <si>
    <t>Millennial- scale variability of the Antarctic ice sheet during the early Miocene</t>
  </si>
  <si>
    <t>paleoclimate; cryosphere; Miocene; cyclostratigraphy</t>
  </si>
  <si>
    <t>AND-2A DRILL HOLE; SEA-LEVEL; CLIMATE RESPONSE; MCMURDO SOUND; LONG-TERM; SOUTHERN; CYCLES; OCEAN; SENSITIVITY; RECORD</t>
  </si>
  <si>
    <t>Millennial -scale ice sheet variability (1-15 kyr periods) is well documented in the Quaternary, providing insight into critical atmosphere-ocean-cryosphere interactions that can inform the mechanism and pace of future climate change. Ice sheet variability at similar frequencies is comparatively less known and understood prior to the Quaternary during times, where higher atmospheric pCO2 and warmer climates prevailed, and continental -scale ice sheets were largely restricted to Antarctica. In this study, we evaluate a high- resolution clast abundance dataset (ice- rafted debris) that captures East Antarctic ice sheet variability in the western Ross Sea during the early Miocene. This dataset is derived from a 100 m -thick mudstone interval in the ANtarctic DRILLing (ANDRILL or AND) core 2A, which preserves a record of precession and eccentricity variability. The sedimentation rates are of appropriate resolution to also characterize the signature of robust, subprecession cyclicity. Strong sub- precession (-10 kyr) cyclicity is observed, with an amplitude modulation in lockstep with eccentricity, indicating a relationship between high- frequency Antarctic ice sheet dynamics and astronomical forcing. Bicoherence analysis indicates that many of the observed millennial -scale cycles (as short as 1.2 kyr) are associated with nonlinear interactions (combination or difference tones) between each other and the Milankovitch cycles. The presence of these cycles during the Miocene reveals the ubiquity of millennial -scale ice sheet variability and sheds light on the interactions between Earth's atmosphere, ocean, and ice in climates warmer than the Quaternary.</t>
  </si>
  <si>
    <t>[Sullivan, Nicholas B.; Meyers, Stephen R.] Univ Wisconsin, Dept Geosci, Madison, WI 53706 USA; [Levy, Richard H.; Mckay, Robert M.; Golledge, Nicholas R.] Victoria Univ Wellington, Antarctic Res Ctr, Wellington 6012, New Zealand; [Levy, Richard H.; Cortese, Giuseppe] Geol &amp; Nucl Sci, Lower Hutt 5040, New Zealand</t>
  </si>
  <si>
    <t>University of Wisconsin System; University of Wisconsin Madison; Victoria University Wellington; GNS Science - New Zealand</t>
  </si>
  <si>
    <t>Sullivan, NB (corresponding author), Univ Wisconsin, Dept Geosci, Madison, WI 53706 USA.</t>
  </si>
  <si>
    <t>nbsullivan@wisc.edu</t>
  </si>
  <si>
    <t>Meyers, Stephen/0000-0003-4422-720X; Golledge, Nicholas/0000-0001-7676-8970; Sullivan, Nicholas/0000-0003-2009-8992</t>
  </si>
  <si>
    <t>e2304152120</t>
  </si>
  <si>
    <t>10.1073/pnas.2304152120</t>
  </si>
  <si>
    <t>X9RY3</t>
  </si>
  <si>
    <t>WOS:001101751400007</t>
  </si>
  <si>
    <t>Ollus, VMS; Biuw, M; Lowther, A; Fauchald, P; Johannessen, JED; López, LMM; Gkikopoulou, KC; Oosthuizen, WC; Lindstrom, U</t>
  </si>
  <si>
    <t>Ollus, Victoria Marja Sofia; Biuw, Martin; Lowther, Andrew; Fauchald, Per; Johannessen, John Elling Deehr; Lopez, Lucia Martina Martin; Gkikopoulou, Kalliopi C.; Oosthuizen, W. Chris; Lindstrom, Ulf</t>
  </si>
  <si>
    <t>Large-scale seabird community structure along oceanographic gradients in the Scotia Sea and northern Antarctic Peninsula</t>
  </si>
  <si>
    <t>marine predators; seabirds; opportunistic sampling platforms; spatial ecology; biogeography; habitat use; community composition; Southern Ocean</t>
  </si>
  <si>
    <t>SOUTHERN-OCEAN; ECOLOGICAL STRUCTURE; COUNTING SEABIRDS; CLIMATE-CHANGE; BALEEN WHALES; MARINE BIRDS; ABUNDANCE; STRATEGIES; PREDATORS; REVEALS</t>
  </si>
  <si>
    <t>IntroductionThe Scotia Sea and Antarctic Peninsula are warming rapidly and changes in species distribution are expected. In predicting habitat shifts and considering appropriate management strategies for marine predators, a community-level understanding of how these predators are distributed is desirable. Acquiring such data, particularly in remote areas, is often problematic given the cost associated with the operation of research vessels. Here we use cruise vessels as sampling platforms to explore seabird distribution relative to habitat characteristics.MethodsData on seabird at-sea distribution were collected using strip-transect counts throughout the Antarctic Peninsula and Scotia Sea in the austral summer of 2019-2020. Constrained correspondence analysis (CCA) and generalized additive models (GAM) were used to relate seabird community composition, density, and species richness to environmental covariates.ResultsSpecies assemblages differed between oceanographic areas, with sea surface temperature and distance to coast being the most important predictors of seabird distribution. Our results further revealed a geographic separation of distinct communities rather than hotspot regions in the study area in summer.DiscussionThese findings highlight the importance of large-scale environmental characteristics in shaping seabird community structure, presumably through underlying prey distribution and interspecific interactions. The present study contributes to the knowledge of seabird distribution and habitat use as well as the baseline for assessing the response of Antarctic seabird communities to climate warming. We argue that cruise vessels, when combined with structured research surveys, can provide a cost-effective additional tool for the monitoring of community and ecosystem level changes.</t>
  </si>
  <si>
    <t>[Ollus, Victoria Marja Sofia; Lindstrom, Ulf] UiT Arctic Univ Norway, Dept Arctic &amp; Marine Biol, Tromso, Norway; [Ollus, Victoria Marja Sofia; Fauchald, Per] Norwegian Inst Nat Res, Dept Arctic Ecol, Tromso, Norway; [Biuw, Martin; Lindstrom, Ulf] Norwegian Inst Marine Res, Marine Mammal Res Grp, Tromso, Norway; [Lowther, Andrew; Johannessen, John Elling Deehr] Norwegian Polar Res Inst, Res Dept, Tromso, Norway; [Lopez, Lucia Martina Martin] Asociac Ipar Perspect, Sopela, Spain; [Gkikopoulou, Kalliopi C.] Univ St Andrews, Scottish Ocean Inst, Sea Mammal Res Unit, St Andrews, Scotland; [Oosthuizen, W. Chris] Univ Cape Town, Ctr Stat Ecol Environm &amp; Conservat, Dept Stat Sci, Cape Town, South Africa</t>
  </si>
  <si>
    <t>UiT The Arctic University of Tromso; Norwegian Institute Nature Research; Institute of Marine Research - Norway; Norwegian Polar Institute; University of St Andrews; University of Cape Town</t>
  </si>
  <si>
    <t>Ollus, VMS (corresponding author), UiT Arctic Univ Norway, Dept Arctic &amp; Marine Biol, Tromso, Norway.;Ollus, VMS (corresponding author), Norwegian Inst Nat Res, Dept Arctic Ecol, Tromso, Norway.</t>
  </si>
  <si>
    <t>victoria.ollus@uit.no</t>
  </si>
  <si>
    <t>López, Lucía/JVZ-6906-2024</t>
  </si>
  <si>
    <t>Gkikopoulou, Kalliopi/0000-0002-9232-4138; Deehr Johannessen, Elling/0000-0003-3515-5697</t>
  </si>
  <si>
    <t>UiT The Arctic University of Norway; UiT Norwegian Polar Institute</t>
  </si>
  <si>
    <t>This research was funded by UiT The Arctic University of Norway and the Norwegian Polar Institute. Open access publishing was funded by UiT The Arctic University of Norway.</t>
  </si>
  <si>
    <t>10.3389/fmars.2023.1233820</t>
  </si>
  <si>
    <t>T0EX7</t>
  </si>
  <si>
    <t>WOS:001074817400001</t>
  </si>
  <si>
    <t>Webster, MM; Twohey, B; Alagona, PS; Arafeh-Dalmau, N; Colton, MA; Eger, AM; Miller, SN; Pecl, GT; Scheffers, BR; Snyder, R</t>
  </si>
  <si>
    <t>Webster, Michael M.; Twohey, Becky; Alagona, Peter S.; Arafeh-Dalmau, Nur; Colton, Madhavi A.; Eger, Aaron M.; Miller, Stephanie N.; Pecl, Gretta T.; Scheffers, Brett R.; Snyder, Rebecca</t>
  </si>
  <si>
    <t>Assisting adaptation in a changing world</t>
  </si>
  <si>
    <t>FRONTIERS IN ENVIRONMENTAL SCIENCE</t>
  </si>
  <si>
    <t>assisting adaptation; acclimatization; range shifts; evolution; ecosystem reorganization</t>
  </si>
  <si>
    <t>CLIMATE-CHANGE; CONSERVATION; BIODIVERSITY; MANAGEMENT; TRANSLOCATION; COLONIZATION; CHALLENGES; RESILIENCE; EVOLUTION; ECOLOGY</t>
  </si>
  <si>
    <t>Today, all ecosystems are undergoing environmental change due to human activity, and in many cases the rate of change is accelerating due to climate change. Consequently, conservation programs are increasingly focused on the response of organisms, populations, and ecosystems to novel conditions. In parallel, the field of conservation biology is developing and deploying new tools to assist adaptation, which we define as aiming to increase the probability that organisms, populations, and ecosystems successfully adapt to ongoing change in biotic and abiotic conditions. Practitioners are aiming to assist a suite of adaptive processes, including acclimatization, range shifts, and evolution, at the individual and population level, while influencing the aggregate of these responses to assist ecosystem reorganization. The practice of assisting adaptation holds promise for environmental conservation, but effective policy and implementation will require thoughtful consideration of potential social and biological benefits and risks.</t>
  </si>
  <si>
    <t>[Webster, Michael M.] NYU, Dept Environm Studies, New York, NY 10012 USA; [Webster, Michael M.; Colton, Madhavi A.] Coral Reef Alliance, Oakland, CA 94612 USA; [Twohey, Becky] KERAMIDA Inc, Indianapolis, IN USA; [Alagona, Peter S.] Univ Calif Santa Barbara, Environm Studies Program, Santa Barbara, CA USA; [Arafeh-Dalmau, Nur] Univ Calif Los Angeles, Dept Geog, Los Angeles, CA USA; [Arafeh-Dalmau, Nur] Stanford Univ, Stanford Ctr Ocean Solut, Oceans Dept, Hopkins Marine Stn, Pacific Grove, CA USA; [Arafeh-Dalmau, Nur] Univ Queensland, Ctr Biodivers &amp; Conservat Sci, Sch Biol Sci, St Lucia, Qld, Australia; [Colton, Madhavi A.] Natl Audubon Soc, Oakland, CA USA; [Eger, Aaron M.] Univ New South Wales, Sch Biol Earth &amp; Environm Sci, Ecol &amp; Evolut Res Ctr, Ctr Marine Sci &amp; Innovat, Sydney, NSW, Australia; [Miller, Stephanie N.] Univ Maine, Mitchell Ctr Sustainabil Solut, Sch Biol &amp; Ecol, Orono, ME USA; [Pecl, Gretta T.] Univ Tasmania, Inst Marine &amp; Antarctic Studies, Hobart, Tas, Australia; [Pecl, Gretta T.] Univ Tasmania, Ctr Marine Socioecol, Hobart, Tas, Australia; [Scheffers, Brett R.] Univ Florida, Dept Wildlife Ecol &amp; Conservat, Gainesville, FL USA; [Snyder, Rebecca] Arizona State Univ, Dept Environm &amp; Life Sci, Tempe, AZ USA; [Snyder, Rebecca] World Wildlife Fund, Washington, DC USA</t>
  </si>
  <si>
    <t>New York University; University of California System; University of California Santa Barbara; University of California System; University of California Los Angeles; Stanford University; University of Queensland; University of New South Wales Sydney; University of Maine System; University of Maine Orono; University of Tasmania; University of Tasmania; State University System of Florida; University of Florida; Arizona State University; Arizona State University-Tempe; World Wildlife Fund</t>
  </si>
  <si>
    <t>Webster, MM (corresponding author), NYU, Dept Environm Studies, New York, NY 10012 USA.;Webster, MM (corresponding author), Coral Reef Alliance, Oakland, CA 94612 USA.</t>
  </si>
  <si>
    <t>mw4758@nyu.edu</t>
  </si>
  <si>
    <t>Arafeh-Dalmau, Nur/D-4223-2019</t>
  </si>
  <si>
    <t>Arafeh-Dalmau, Nur/0000-0001-9053-0037</t>
  </si>
  <si>
    <t>This publication is funded in part by the Gordon and Betty Moore Foundation and GP was funded by an ARC Future Fellowship.; Gordon and Betty Moore Foundation - ARC Future Fellowship</t>
  </si>
  <si>
    <t>We thank Avani Mehta Sood for reviewing an earlier draft of this manuscript.r This publication is funded in part by the Gordon and Betty Moore Foundation and GP was funded by an ARC Future Fellowship.</t>
  </si>
  <si>
    <t>2296-665X</t>
  </si>
  <si>
    <t>FRONT ENV SCI-SWITZ</t>
  </si>
  <si>
    <t>Front. Environ. Sci.</t>
  </si>
  <si>
    <t>10.3389/fenvs.2023.1232374</t>
  </si>
  <si>
    <t>T0MV4</t>
  </si>
  <si>
    <t>WOS:001075023500001</t>
  </si>
  <si>
    <t>Rovere, A; Pico, T; Richards, F; O'Leary, MJ; Mitrovica, JX; Goodwin, ID; Austermann, J; Latychev, K</t>
  </si>
  <si>
    <t>Rovere, Alessio; Pico, Tamara; Richards, Fred; O'Leary, Michael J.; Mitrovica, Jerry X.; Goodwin, Ian D.; Austermann, Jacqueline; Latychev, Konstantin</t>
  </si>
  <si>
    <t>Influence of reef isostasy, dynamic topography, and glacial isostatic adjustment on sea-level records in Northeastern Australia</t>
  </si>
  <si>
    <t>GREAT-BARRIER-REEF; ICE VOLUME; EARTH STRUCTURE; SEDIMENT; MANTLE; UPLIFT; DEPOSITION; BENEATH; DRIVEN; MODEL</t>
  </si>
  <si>
    <t>Understanding sea level during the peak of the Last Interglacial (125,000 yrs ago) is important for assessing future ice-sheet dynamics in response to climate change. The coasts and continental shelves of northeastern Australia (Queensland) preserve an extensive Last Interglacial record in the facies of coastal strandplains onland and fossil reefs offshore. However, there is a discrepancy, amounting to tens of meters, in the elevation of sea-level indicators between offshore and onshore sites. Here, we assess the influence of geophysical processes that may have changed the elevation of these sea-level indicators. We modeled sea-level change due to dynamic topography, glacial isostatic adjustment, and isostatic adjustment due to coral reef loading. We find that these processes caused relative sea-level changes on the order of, respectively, 10 m, 5 m, and 0.3 m. Of these geophysical processes, the dynamic topography predictions most closely match the tilting observed between onshore and offshore sea-level markers. Numerical models of dynamic topography, glacial isostatic adjustment and reef isostasy help reconcile the discrepancy between onshore and offshore sea-level indicators of the Last Interglacial in Queensland, Australia</t>
  </si>
  <si>
    <t>[Rovere, Alessio] Ca Foscari Univ Venice, Dept Environm Sci Informat &amp; Stat, Venice, Italy; [Rovere, Alessio] Univ Bremen, Ctr Marine Environm Sci, MARUM, Bremen, Germany; [Pico, Tamara] UC Santa Cruz, Earth &amp; Planetary Sci Dept, Santa Cruz, CA 95064 USA; [Richards, Fred] Imperial Coll London, Dept Earth Sci &amp; Engn, London, England; [O'Leary, Michael J.] Univ Western Australia, Oceans Inst, Sch Earth Sci, Perth, WA, Australia; [Mitrovica, Jerry X.; Latychev, Konstantin] Harvard Univ, Dept Earth &amp; Planetary Sci, Cambridge, MA USA; [Goodwin, Ian D.] Climalab, Sydney, NSW, Australia; [Goodwin, Ian D.] Univ New South Wales, Climate Change Res Ctr, Australian Ctr Excellence Antarctic Sci, Kensington, NSW, Australia; [Austermann, Jacqueline] Columbia Univ, Dept Earth &amp; Environm Sci, New York, NY USA; [Austermann, Jacqueline] Columbia Univ, Lamont Doherty Earth Observ, New York, NY USA</t>
  </si>
  <si>
    <t>Universita Ca Foscari Venezia; University of Bremen; University of California System; University of California Santa Cruz; Imperial College London; University of Western Australia; Harvard University; University of New South Wales Sydney; Columbia University; Columbia University</t>
  </si>
  <si>
    <t>Rovere, A (corresponding author), Ca Foscari Univ Venice, Dept Environm Sci Informat &amp; Stat, Venice, Italy.;Rovere, A (corresponding author), Univ Bremen, Ctr Marine Environm Sci, MARUM, Bremen, Germany.;Pico, T (corresponding author), UC Santa Cruz, Earth &amp; Planetary Sci Dept, Santa Cruz, CA 95064 USA.</t>
  </si>
  <si>
    <t>alessio.rovere@unive.it; tpico@ucsc.edu</t>
  </si>
  <si>
    <t>Rovere, Alessio/C-4262-2011</t>
  </si>
  <si>
    <t>Rovere, Alessio/0000-0001-5575-1168; Richards, Fred/0000-0002-6610-4289; Austermann, Jacqueline/0000-0003-3754-5082</t>
  </si>
  <si>
    <t>European Research Council (ERC) under the European Union [802414]; NSF EAR Postdoctoral Fellowship; University of California President's Postdoctoral Fellowship; Imperial College Research Fellowship Scheme; National Science Foundation [EAR-0949446, EAR-1550901, OCE-2054757, OCE-1841888]</t>
  </si>
  <si>
    <t>European Research Council (ERC) under the European Union(European Research Council (ERC)); NSF EAR Postdoctoral Fellowship; University of California President's Postdoctoral Fellowship(University of California System); Imperial College Research Fellowship Scheme; National Science Foundation(National Science Foundation (NSF))</t>
  </si>
  <si>
    <t>This work was funded by the European Research Council (ERC) under the European Union's Horizon 2020 research and innovation program (grant agreement no. 802414 to A.R.). T.P. acknowledges funding from the NSF EAR Postdoctoral Fellowship, the University of California President's Postdoctoral Fellowship, and NSF OCE-2054757. F.D.R. acknowledges funding from the Imperial College Research Fellowship Scheme. J.A. acknowledges funding from NSF grant OCE-1841888. Funding is also acknowledged by Harvard University (J.X.M. and K.L.). The map in Fig. 1a was created using ArcGIS software by Esri. ArcGIS (R) and ArcMapTM are the intellectual property of Esri and are used herein under license. Copyright Esri. All rights reserved. For more information about Esri (R) software, please visit (www.esri.com). We thank the Computational Infrastructure for Geodynamics (geodynamics.org) which is funded by the National Science Foundation under awards EAR-0949446 and EAR-1550901 for supporting the development of ASPECT.</t>
  </si>
  <si>
    <t>10.1038/s43247-023-00967-3</t>
  </si>
  <si>
    <t>S2JL0</t>
  </si>
  <si>
    <t>WOS:001069481300001</t>
  </si>
  <si>
    <t>Stutz, J; Eaves, S; Norton, K; Wilcken, KM; Moore, C; Mckay, R; Lowry, D; Licht, K; Johnson, K</t>
  </si>
  <si>
    <t>Stutz, Jamey; Eaves, Shaun; Norton, Kevin; Wilcken, Klaus M.; Moore, Claudia; Mckay, Rob; Lowry, Dan; Licht, Kathy; Johnson, Katelyn</t>
  </si>
  <si>
    <t>Inland thinning of Byrd Glacier, Antarctica, during Ross Ice Shelf formation</t>
  </si>
  <si>
    <t>EARTH SURFACE PROCESSES AND LANDFORMS</t>
  </si>
  <si>
    <t>Antarctic ice sheet reconstruction; cosmogenic nuclides; data-model comparison; glacial geomorphology; surface exposure dating</t>
  </si>
  <si>
    <t>GROUNDING-LINE RETREAT; HOLOCENE DEGLACIATION; SHEET-SHELF; SEA; EROSION; BE-10; MODEL; OCEAN; BASIN; RATES</t>
  </si>
  <si>
    <t>Geomorphological records of past ice sheet change offer the opportunity to examine their centennial-scale response to changing boundary conditions, which are not adequately captured in the satellite record. Here, we present the first reconstruction of ice surface lowering at Byrd Glacier, the largest outlet glacier of the Transantarctic Mountains. Using surface exposure ages from glacial erratic cobbles collected in two vertical transects along the Lonewolf Nunataks, we find the initial emergence of this set of nunataks occurred at similar to 15 ka, with a rapid pulse of thinning at similar to 8 ka. We compare our glacier thinning profiles with modelled ice sheet thickness and grounding line histories from two model ensembles to identify key processes responsible for ice sheet change. All model runs from the two ensembles predict grounding line retreat and inland thinning to occur in one rapid step from Last Glacial Maximum to present, in line with marine geology records, our exposure age data and derived glacier thinning rates. Experiments best matching the glacial thickness constraints, reconstructed from the surface exposure data, have faster basal sliding (i.e., promote greater sliding rates resulting in thinner ice). However, experiments best matching the timing and rapid rate of ice thinning derived from the same surface exposure data have higher basal friction. This apparent change in the modelled basal sliding regime, from when the ice surface is at maximum thickness, to the rapid thinning at similar to 8 ka, occurs as the grounding line retreats towards the Byrd Glacier and Ross Ice Shelf forms during the Holocene. This past context has implications for the stability of the modern grounding line of Byrd Glacier, which is characterised by high basal melt rates at the terminus-a process that has the potential to propagate glacier thinning far inland, impacting the overall (in)stability of the Byrd Glacier and Ross Ice Shelf.</t>
  </si>
  <si>
    <t>[Stutz, Jamey; Eaves, Shaun; Norton, Kevin; Moore, Claudia; Mckay, Rob; Lowry, Dan] Antarctic Res Ctr, Wellington, New Zealand; [Eaves, Shaun; Norton, Kevin; Moore, Claudia] Te Herenga Waka Victoria Univ Wellington, Sch Geog Earth &amp; Environm Sci, Wellington, New Zealand; [Wilcken, Klaus M.] ANSTO, Lucas Heights, NSW, Australia; [Lowry, Dan; Johnson, Katelyn] GNS Sci, Lower Hutt, New Zealand; [Licht, Kathy] Indiana Univ Purdue Univ Indianapolis, Indianapolis, IN USA</t>
  </si>
  <si>
    <t>Victoria University Wellington; Australian Nuclear Science &amp; Technology Organisation; GNS Science - New Zealand; Indiana University System; Indiana University-Purdue University Indianapolis</t>
  </si>
  <si>
    <t>Stutz, J (corresponding author), Antarctic Res Ctr, Wellington, New Zealand.</t>
  </si>
  <si>
    <t>jamey.stutz@vuw.ac.nz</t>
  </si>
  <si>
    <t>; Norton, Kevin/F-1606-2011</t>
  </si>
  <si>
    <t>Licht, Kathy/0000-0002-2233-2853; Norton, Kevin/0000-0002-7995-6464; Stutz, Jamey/0000-0002-5645-3311</t>
  </si>
  <si>
    <t>Antarctic Research Centre; Australian Institute of Nuclear Science and Engineering; Australian Nuclear Science and Technology Organisation, Centre for Accelerator Science [AP12721]; Ministry for Business Innovation and Employment</t>
  </si>
  <si>
    <t>Antarctic Research Centre; Australian Institute of Nuclear Science and Engineering; Australian Nuclear Science and Technology Organisation, Centre for Accelerator Science; Ministry for Business Innovation and Employment(New Zealand Ministry of Business, Innovation and Employment (MBIE))</t>
  </si>
  <si>
    <t>Antarctic Research Centre; Australian Institute of Nuclear Science and Engineering; Australian Nuclear Science and Technology Organisation, Centre for Accelerator Science, Grant/Award Number: AP12721; Ministry for Business Innovation and Employment</t>
  </si>
  <si>
    <t>0197-9337</t>
  </si>
  <si>
    <t>1096-9837</t>
  </si>
  <si>
    <t>EARTH SURF PROC LAND</t>
  </si>
  <si>
    <t>Earth Surf. Process. Landf.</t>
  </si>
  <si>
    <t>10.1002/esp.5701</t>
  </si>
  <si>
    <t>DB3N2</t>
  </si>
  <si>
    <t>WOS:001068541800001</t>
  </si>
  <si>
    <t>Gwiazdowicz, DJ; Niedbala, W; Skarzynski, D; Zawieja, B</t>
  </si>
  <si>
    <t>Gwiazdowicz, Dariusz J.; Niedbala, Wojciech; Skarzynski, Dariusz; Zawieja, Bogna</t>
  </si>
  <si>
    <t>What factors affect the alpha diversity of microarthropods (Acari, Collembola) on King George Island (Antarctica)?</t>
  </si>
  <si>
    <t>Antarctic stations; arthropod succession; biodiversity; pioneer species; zoogeography</t>
  </si>
  <si>
    <t>TERRESTRIAL ARTHROPOD FAUNA; MITES ACARI; BIODIVERSITY; COLONIZATION; PENINSULA; RECORDS; AREAS</t>
  </si>
  <si>
    <t>The natural environment in polar regions is being transformed, glaciers are melting and succession of microarthropods is being observed. We tested the hypothesis that habitat conditions, determined by the locality and character of the vegetation cover, play a significant role in such succession. The material for analysis was collected from four localities on King George Island in Antarctica: Arctowski Station, Demay Refuge, Republica del Ecuador Refuge and Comandante Ferraz Antarctic Station. From each locality, 30 samples (grasses, lichens, mosses) were collected and 310 508 microarthropod specimens were recorded, with 17 species (1 Mesostigmata, 9 Oribatida, 7 Collembola species) identified. Based on statistical analyses, it was shown that microarthropod communities differ both in individual localities and selected microhabitats. The greatest number of species was reported in the grass turf, while the greatest number of individuals was recorded in mosses. The dominant species at all the localities was Cryptopygus antarcticus antarcticus (299 203 individuals), which was found in greatest numbers in grasses and mosses. In turn, Tullbergia mixta (2485 individuals) was the dominant species of the lichens. Moreover, the following species, new to King George Island, were also identified: Flagrosuctobelba subcornigera, Liochthonius australis, Membranoppia ventrolaminata and Quadroppia monstruosa belonging to Oribatida as well as Archisotoma brucei belonging to Collembola.</t>
  </si>
  <si>
    <t>[Gwiazdowicz, Dariusz J.] Poznan Univ Life Sci, Fac Forestry &amp; Wood Technol, Wojska Polskiego 71c, PL-60625 Poznan, Poland; [Niedbala, Wojciech] Adam Mickiewicz Univ, Nat Hist Collect &amp; Dept Anim Taxon &amp; Ecol, Uniwersytetu Poznanskiego 6, PL-61614 Poznan, Poland; [Skarzynski, Dariusz] Univ Wroclaw, Fac Biol Sci, Dept Invertebrate Biol Evolut &amp; Conservat, Przybyszewskiego 65, PL-51148 Wroclaw, Poland; [Zawieja, Bogna] Poznan Univ Life Sci, Dept Math &amp; Stat Methods, Wojska Polskiego 28, PL-60637 Poznan, Poland</t>
  </si>
  <si>
    <t>Poznan University of Life Sciences; Adam Mickiewicz University; University of Wroclaw; Poznan University of Life Sciences</t>
  </si>
  <si>
    <t>Gwiazdowicz, DJ (corresponding author), Poznan Univ Life Sci, Fac Forestry &amp; Wood Technol, Wojska Polskiego 71c, PL-60625 Poznan, Poland.</t>
  </si>
  <si>
    <t>dariusz.gwiazdowicz@up.poznan.pl</t>
  </si>
  <si>
    <t>Skarżyński, Dariusz/T-2832-2018</t>
  </si>
  <si>
    <t>The study is dedicated to the memory of the late Prof Ziemowit Olszanowski, who helped to conduct it. The authors would like to thank Joachim Grzegorek for the construction of a portable Tullgren apparatus and Adam Latusek for his help in collecting the ma</t>
  </si>
  <si>
    <t>The study is dedicated to the memory of the late Prof Ziemowit Olszanowski, who helped to conduct it. The authors would like to thank Joachim Grzegorek for the construction of a portable Tullgren apparatus and Adam Latusek for his help in collecting the materials. The authors thank also Prof J.M. Behnke from the University of Nottingham (UK) for the linguistic proofreading of the text, as well as two anonymous reviewers for their feedback.</t>
  </si>
  <si>
    <t>10.1017/S0954102023000160</t>
  </si>
  <si>
    <t>WOS:001067623000001</t>
  </si>
  <si>
    <t>Turner, FE; Buck, CE; Jones, JM; Sime, LC; Vallet, IM; Wilkinson, RD</t>
  </si>
  <si>
    <t>Turner, Fiona E.; Buck, Caitlin E.; Jones, Julie M.; Sime, Louise C.; Vallet, Irene Malmierca; Wilkinson, Richard D.</t>
  </si>
  <si>
    <t>Reconstructing the Antarctic ice-sheet shape at the Last Glacial Maximum using ice-core data</t>
  </si>
  <si>
    <t>JOURNAL OF THE ROYAL STATISTICAL SOCIETY SERIES C-APPLIED STATISTICS</t>
  </si>
  <si>
    <t>Antarctic ice sheet; Bayesian calibration; Gaussian process emulation; palaeo-climatology</t>
  </si>
  <si>
    <t>SCALE CLIMATE-CHANGE; WEST ANTARCTICA; MODEL CALIBRATION; TAYLOR DOME; GREENLAND; HISTORY; SURFACE</t>
  </si>
  <si>
    <t>The Antarctic ice sheet (AIS) is the Earth's largest store of frozen water; understanding how it changed in the past allows us to improve projections of how it, and sea levels, may change. Here, we use previous AIS reconstructions, water isotope ratios from ice cores, and simulator predictions of the relationship between the ice-sheet shape and isotope ratios to create a model of the AIS at the Last Glacial Maximum. We develop a prior distribution that captures expert opinion about the AIS, generate a designed ensemble of potential shapes, run these through the climate model HadCM3, and train a Gaussian process emulator of the link between ice-sheet shape and isotope ratios. To make the analysis computationally tractable, we develop a preferential principal component method that allows us to reduce the dimension of the problem in a way that accounts for the differing importance we place in reconstructions, allowing us to create a basis that reflects prior uncertainty. We use Markov chain Monte Carlo to sample from the posterior distribution, finding shapes for which HadCM3 predicts isotope ratios closely matching observations from ice cores. The posterior distribution allows us to quantify the uncertainty in the reconstructed shape, a feature missing in other analyses.</t>
  </si>
  <si>
    <t>[Turner, Fiona E.] Kings Coll London, Dept Geog, Bush House NE Wing, London, England; [Buck, Caitlin E.] Univ Sheffield, Sch Math &amp; Stat, Sheffield, S Yorkshire, England; [Jones, Julie M.] Univ Sheffield, Dept Geog, Sheffield, S Yorkshire, England; [Sime, Louise C.; Vallet, Irene Malmierca] British Antarctic Survey, Cambridge, England; [Wilkinson, Richard D.] Univ Nottingham, Sch Math Sci, Univ Pk, Nottingham, England; [Turner, Fiona E.] Kings Coll London, Dept Geog, Bush House NE Wing, London WC2B 4BG, England</t>
  </si>
  <si>
    <t>University of London; King's College London; University of Sheffield; University of Sheffield; UK Research &amp; Innovation (UKRI); Natural Environment Research Council (NERC); NERC British Antarctic Survey; University of Nottingham; University of London; King's College London</t>
  </si>
  <si>
    <t>Turner, FE (corresponding author), Kings Coll London, Dept Geog, Bush House NE Wing, London WC2B 4BG, England.</t>
  </si>
  <si>
    <t>Wilkinson, Richard/T-7779-2019</t>
  </si>
  <si>
    <t>Wilkinson, Richard/0000-0003-4984-0839; Turner, Fiona/0000-0002-5919-153X; Buck, Caitlin Elisabeth/0000-0002-0872-9504</t>
  </si>
  <si>
    <t>The authors thank Dr Robert Arthern, Dr Richard Hindmarsh (deceased), Dr Dominic Hodgson, Dr Robert Mulvaney, and Dr James Smith at the British Antarctic Survey for taking part in the expert elicitation process.</t>
  </si>
  <si>
    <t>0035-9254</t>
  </si>
  <si>
    <t>1467-9876</t>
  </si>
  <si>
    <t>J ROY STAT SOC C</t>
  </si>
  <si>
    <t>J. R. Stat. Soc. Ser. C-Appl. Stat.</t>
  </si>
  <si>
    <t>10.1093/jrsssc/qlad078</t>
  </si>
  <si>
    <t>Statistics &amp; Probability</t>
  </si>
  <si>
    <t>Mathematics</t>
  </si>
  <si>
    <t>HC6N2</t>
  </si>
  <si>
    <t>hybrid, Green Published, Green Accepted</t>
  </si>
  <si>
    <t>WOS:001066889700001</t>
  </si>
  <si>
    <t>Bester, MN</t>
  </si>
  <si>
    <t>Bester, M. N.</t>
  </si>
  <si>
    <t>Cryptorchidism in the sub-Antarctic fur seal Arctocephalus tropicalis</t>
  </si>
  <si>
    <t>Fur seals; Reproduction; Ipsilateral testes; Testicular descent; Sexual maturity</t>
  </si>
  <si>
    <t>The prevalence of cryptorchidism, a condition when one or more testes failed to move to their proper position(s), was evaluated for sub-Antarctic fur seals from Gough Island, South Atlantic. The reproductive tracts of male fur seals (n = 123) were examined and reproductive organs measured in a previous study. Only one fur seal, a 5-year-old sexually mature male, had one inguinal testis on the right side, and a small abdominal one situated below the kidney on the same side. A matching contralateral testis could not be located, neither in the scrotum or inguinal canal nor within the abdominal cavity. Amongst pinnipeds, cryptorchids rarely occurred in northern fur seals (0.01% to 0.02% prevalence), harbour seals (undetermined prevalence) and in sub-Antarctic fur seals (0.8% prevalence). Inconsequential on a population level, the rare instances of cryptorchidism in seals are interesting curiosities.</t>
  </si>
  <si>
    <t>[Bester, M. N.] Univ Pretoria, Mammal Res Inst, Dept Zool &amp; Entomol, Private Bag X20, ZA-0028 Pretoria, South Africa</t>
  </si>
  <si>
    <t>University of Pretoria</t>
  </si>
  <si>
    <t>Bester, MN (corresponding author), Univ Pretoria, Mammal Res Inst, Dept Zool &amp; Entomol, Private Bag X20, ZA-0028 Pretoria, South Africa.</t>
  </si>
  <si>
    <t>mnbester@zoology.up.ac.za</t>
  </si>
  <si>
    <t>Allan Seabrook ably assisted in the field during the Gough 23 (1977/78) expedition. Logistic support at Gough Island was provided by the then South African Department of Transport (SADT), within the context of the South African National Antarctic Programme [1977/78]; British Foreign Office</t>
  </si>
  <si>
    <t>Allan Seabrook ably assisted in the field during the Gough 23 (1977/78) expedition. Logistic support at Gough Island was provided by the then South African Department of Transport (SADT), within the context of the South African National Antarctic Programme; British Foreign Office</t>
  </si>
  <si>
    <t>Allan Seabrook ably assisted in the field during the Gough 23 (1977/78) expedition. Logistic support at Gough Island was provided by the then South African Department of Transport (SADT), within the context of the South African National Antarctic Programme. The British Foreign Office permitted the research at Gough Island, a British possession.</t>
  </si>
  <si>
    <t>10.1007/s00300-023-03195-9</t>
  </si>
  <si>
    <t>WOS:001069442500001</t>
  </si>
  <si>
    <t>Meunier, J; Miquel, B; Gallet, B</t>
  </si>
  <si>
    <t>Meunier, Julie; Miquel, Benjamin; Gallet, Basile</t>
  </si>
  <si>
    <t>Vertical Structure of Buoyancy Transport by Ocean Baroclinic Turbulence</t>
  </si>
  <si>
    <t>ocean processes; mesoscale turbulence; ocean transport</t>
  </si>
  <si>
    <t>OVERTURNING CIRCULATION; GEOSTROPHIC TURBULENCE; GENERAL-CIRCULATION; PRIMITIVE EQUATION; BETA-PLANE; MODEL; EDDIES; FLUXES; ENERGY; STRATIFICATION</t>
  </si>
  <si>
    <t>Ocean mesoscale eddies enhance meridional buoyancy transport, notably in the Antarctic Circumpolar Current where they contribute to setting the deep stratification of the neighboring ocean basins. The much-needed parameterization of this buoyancy transport in global climate models requires a theory for the overall flux, but also for its vertical structure inside the fluid column. Based on the quasi-geostrophic dynamics of an idealized patch of ocean hosting an arbitrary vertically sheared zonal flow, we provide a quantitative prediction for the vertical structure of the buoyancy flux without adjustable parameters. The prediction agrees quantitatively with meridional flux profiles obtained through numerical simulations of an idealized patch of ocean with realistic parameter values. This work empowers modelers with an explicit and physically based expression for the vertical profile of buoyancy transport by ocean baroclinic turbulence, as opposed to the common practice of using arbitrary prescriptions for the depth-dependence of the transport coefficients. Ocean mesoscale vortices are turbulent structures tens of kilometers wide that play a central role in transporting tracers such as heat, salt, and carbon. In the Southern Ocean, the associated buoyancy transport crucially sets the deep stratification of neighboring ocean basins. Because mesoscale vortices are not resolved by most state-of-the-art climate models, modelers resort to rather crude parameterizations where-in the absence of a better theory-the transport properties of the eddies are often assumed to be depth-invariant in the ocean interior. In this contribution we derive a quantitative and parameter-free prediction for the vertical structure of the turbulent buoyancy flux, which can be readily implemented in global models at little computational cost. We derive a prediction for the depth-dependence of the buoyancy flux associated with ocean baroclinic turbulence in an idealized setupThe prediction is validated quantitatively by simulations of an idealized patch of ocean meant to resemble Southern Ocean conditionsThe prediction can be readily implemented into global models as a vertical profile for the Gent-McWilliams coefficient</t>
  </si>
  <si>
    <t>[Meunier, Julie; Gallet, Basile] Univ Paris Saclay, Serv Phys Etat Condense, CNRS, CEA, Gif Sur Yvette, France; [Miquel, Benjamin] Univ Claude Bernard Lyon 1, Univ Lyon, Ecole Cent Lyon, CNRS,LMFA,UMR5509,INSA Lyon, Ecully, France</t>
  </si>
  <si>
    <t>Universite Paris Saclay; Universite Paris Cite; CEA; Centre National de la Recherche Scientifique (CNRS); Centre National de la Recherche Scientifique (CNRS); Ecole Centrale de Lyon; Institut National des Sciences Appliquees de Lyon - INSA Lyon; Universite Claude Bernard Lyon 1; Universite Jean Monnet; CNRS - Institute for Engineering &amp; Systems Sciences (INSIS)</t>
  </si>
  <si>
    <t>Gallet, B (corresponding author), Univ Paris Saclay, Serv Phys Etat Condense, CNRS, CEA, Gif Sur Yvette, France.</t>
  </si>
  <si>
    <t>basile.gallet@cea.fr</t>
  </si>
  <si>
    <t>MIQUEL, BENJAMIN/0000-0001-6283-0382</t>
  </si>
  <si>
    <t>HORIZON EUROPE European Research Council [FLAVE 757239, 2021-A0102A10803, 2022-A0122A12489, 2023-A0142A12489]; European Research Council</t>
  </si>
  <si>
    <t>HORIZON EUROPE European Research Council(European Research Council (ERC)); European Research Council(European Research Council (ERC))</t>
  </si>
  <si>
    <t>This research is supported by the European Research Council under grant agreement FLAVE 757239. The numerical study was performed using HPC resources from GENCI-CINES and TGCC (Grants 2021-A0102A10803, 2022-A0122A12489, and 2023-A0142A12489).</t>
  </si>
  <si>
    <t>SEP 16</t>
  </si>
  <si>
    <t>e2023GL103948</t>
  </si>
  <si>
    <t>10.1029/2023GL103948</t>
  </si>
  <si>
    <t>AN6Q5</t>
  </si>
  <si>
    <t>WOS:001119188600001</t>
  </si>
  <si>
    <t>Nakayama, Y; Wongpan, P; Greenbaum, JS; Yamazaki, K; Noguchi, T; Simizu, D; Kashiwase, H; Blankenship, DD; Tamura, T; Aoki, S</t>
  </si>
  <si>
    <t>Nakayama, Yoshihiro; Wongpan, Pat; Greenbaum, Jamin S.; Yamazaki, Kaihe; Noguchi, Tomohide; Simizu, Daisuke; Kashiwase, Haruhiko; Blankenship, Donald D.; Tamura, Takeshi; Aoki, Shigeru</t>
  </si>
  <si>
    <t>Helicopter-Based Ocean Observations Capture Broad Ocean Heat Intrusions Toward the Totten Ice Shelf</t>
  </si>
  <si>
    <t>southern ocean; ice shelf; ocean heat intrusions; airborne measurement; AXCTD; AXBT</t>
  </si>
  <si>
    <t>CONTINENTAL-SHELF; BOTTOM WATER; MASS-LOSS; ACCELERATION; MELTWATER; GLACIER; CIRCULATION; ANTARCTICA; DEEP; SEA</t>
  </si>
  <si>
    <t>The recent discovery of warm ocean water near the Totten Ice Shelf (TIS) has increased attention to the Sabrina Coast in East Antarctica. We report the result of 6-day helicopter-based observations conducted during the 61st Japanese Antarctic Research Expedition (JARE61), revealing warm ocean water (0.5-1 &amp; DEG;C) occupying a large previously unsampled area of the Sabrina Coast (116.5 &amp; DEG;E-120 &amp; DEG;E) below 550-600 m. Along the TIS front, we observe modified Circumpolar Deep Water (mCDW) well above freezing (&amp; SIM;-0.7 &amp; DEG;C), consistent with previous work. We identify glacial meltwater outflow from the TIS cavity west of 116 &amp; DEG;E. No signs of mCDW intrusions toward the Moscow University Ice Shelf cavity are observed; however, those observations were limited to only two shallow (&amp; SIM;330 m) profiles. We also highlight the advantages of helicopter-based observations for accessibility, speed, maneuverability, and cost-efficiency. The combination of ship- and helicopter-based observations using the JARE61 approach will increase the potential of future polar oceanographic observations. Totten Glacier hosts the most rapidly thinning ice in East Antarctica. This record of thinning is due to rapid melt along the grounding line of the Totten Ice Shelf (TIS), where warm ocean water from the open ocean flows into ice shelf cavities. To understand the pathways and mechanisms of warm water inflow, ocean observations for entire continental shelf regions are necessary. This has historically not been possible due to intense sea ice and icebergs in the region. To overcome this problem, we conducted a 6-day helicopter-based oceanographic campaign during the 61st Japanese Antarctic Research Expedition. Our measurements show that warm ocean water occupies a large area of the continental shelf off the TIS. We identify glacial meltwater outflow from the TIS cavity west of 116 &amp; DEG;E, which provides direct evidence of TIS melting. We also show that helicopter-based measurements are better for the following aspects; (a) helicopter operations are insensitive to sea ice conditions, (b) helicopter travels faster than a ship, (c) helicopter can conduct measurement in a small ice crack, and (d) helicopter is cheaper to operate than an ice breaker. By combining ship-based and helicopter-based approaches, we may be able to enhance the efficiency of future polar oceanographic observations. Six-day helicopter-based observations retrieved 67 temperature profiles covering the entire continental shelf region off the Totten Ice Shelf (TIS)Between 116.5 &amp; DEG;E and 120 &amp; DEG;E, modified Circumpolar Deep Water can be found uniformly over the continental shelf region below 550-600 mGlacial meltwater outflow from the TIS cavity is identified west of 116 &amp; DEG;E</t>
  </si>
  <si>
    <t>[Nakayama, Yoshihiro; Wongpan, Pat; Yamazaki, Kaihe; Aoki, Shigeru] Hokkaido Univ, Inst Low Temp Sci, Sapporo, Japan; [Wongpan, Pat] Univ Tasmania, Inst Marine &amp; Antarctic Studies, Australian Antarctic Program Partnership, Nipaluna Hobart, Tas, Australia; [Wongpan, Pat] Japan Soc Promot Sci, Tokyo, Japan; [Greenbaum, Jamin S.] Univ Calif San Diego, Scripps Inst Oceanog, La Jolla, CA USA; [Yamazaki, Kaihe; Simizu, Daisuke; Tamura, Takeshi] Natl Inst Polar Res, Tachikawa, Japan; [Noguchi, Tomohide] Marine Works Japan Ltd, Yokosuka, Japan; [Kashiwase, Haruhiko] Tomakomai Coll, Natl Inst Technol, Tomakomai, Japan; [Blankenship, Donald D.] Univ Texas Austin, Inst Geophys, Austin, TX USA; [Tamura, Takeshi] Grad Univ Adv Studies, Tachikawa, Japan</t>
  </si>
  <si>
    <t>Hokkaido University; University of Tasmania; Japan Society for the Promotion of Science; University of California System; University of California San Diego; Scripps Institution of Oceanography; Research Organization of Information &amp; Systems (ROIS); National Institute of Polar Research (NIPR) - Japan; University of Texas System; University of Texas Austin; Graduate University for Advanced Studies - Japan</t>
  </si>
  <si>
    <t>Nakayama, Y (corresponding author), Hokkaido Univ, Inst Low Temp Sci, Sapporo, Japan.</t>
  </si>
  <si>
    <t>Yoshihiro.Nakayama@lowtem.hokudai.ac.jp</t>
  </si>
  <si>
    <t>Yamazaki, Kaihe/HRC-7878-2023; Wongpan, Pat/AAX-6946-2020</t>
  </si>
  <si>
    <t>Yamazaki, Kaihe/0000-0003-3631-5365; Wongpan, Pat/0000-0002-7113-8221</t>
  </si>
  <si>
    <t>Science Program of Japanese Antarctic Research Expedition (JARE) [AJ0902]; National Institute of Polar Research (NIPR) [KP-303]; Ministry of Education, Culture, Sports, Science, and Technology in Japan [JP17H06316, JP17H06317, JP17H06322, JP17H04710, JP21H04931, JP21K13989]; Inoue Science Research Award from the Inoue Science Foundation; NSF [OPP-2114454]; Australian Government as part of the Antarctic Science Collaborative Initiative program; Australian Antarctic Program Partnership [ASCI000002]; Japan Society for the Promotion of Science [18F18794]; NASA's Cryosphere Program [80NSSC22K0387]; Seequent Limited; G. Unger Vetlesen Foundation; Australian Antarctic Division projects [4346, 4511]; Australian Research Council's Special Research Initiative for Antarctic Gateway Partnership [SR140300001]</t>
  </si>
  <si>
    <t>Science Program of Japanese Antarctic Research Expedition (JARE); National Institute of Polar Research (NIPR)(National Institute of Polar Research (NIPR) - Japan); Ministry of Education, Culture, Sports, Science, and Technology in Japan(Ministry of Education, Culture, Sports, Science and Technology, Japan (MEXT)); Inoue Science Research Award from the Inoue Science Foundation; NSF(National Science Foundation (NSF)); Australian Government as part of the Antarctic Science Collaborative Initiative program(Australian Government); Australian Antarctic Program Partnership; Japan Society for the Promotion of Science(Ministry of Education, Culture, Sports, Science and Technology, Japan (MEXT)Japan Society for the Promotion of Science); NASA's Cryosphere Program(National Aeronautics &amp; Space Administration (NASA)); Seequent Limited; G. Unger Vetlesen Foundation; Australian Antarctic Division projects; Australian Research Council's Special Research Initiative for Antarctic Gateway Partnership(Australian Research Council)</t>
  </si>
  <si>
    <t>We thank the officers, crew, and scientists on board the Icebreaker Shirase. Helicopter flight operations and sensor deployments were conducted by Akihiro Naniwa, Yoshiyuki Inoue, Ken Fujitaka, Yoshiji Nitta, Shinji Sezaki, Takuya Fukumoto, Daisuke Soejima, Hiroshi Yamashita, Tetsufumi Nozawa, Keisuke Hamada, Yoshihiko Nakamura, Nobuhisa Takemoto, and Jun Mashiba. Insightful comments from the two anonymous reviewers were very helpful for improvement of the manuscript. This work is supported by the Science Program of Japanese Antarctic Research Expedition (JARE) as Prioritized Research Project (AJ0902: ROBOTICA) and National Institute of Polar Research (NIPR) through Project Research KP-303. Technical support for AXCTD/AXBT measurements was provided by Gregory Ng, Dillon Buhl, and Daniel Duncan from the University of Texas Institute of Geophysics, and by Tsurumi-Seiki Co., Ltd in Japan. We also thank Jason Roberts for their useful comments and suggestions. This work was supported by Grants-in-Aids for Scientific Research (JP17H06316, JP17H06317, JP17H06322, JP17H04710, JP21H04931, JP21K13989) from the Ministry of Education, Culture, Sports, Science, and Technology in Japan. Y.N. was also supported by the Inoue Science Research Award from the Inoue Science Foundation. J.S.G acknowledges support from NSF OPP-2114454. P.W. acknowledges support from the Australian Government as part of the Antarctic Science Collaborative Initiative program and contributes to Project 6 (Sea Ice) of the Australian Antarctic Program Partnership (project ID ASCI000002) and the Japan Society for the Promotion of Science (18F18794). J.S.G. acknowledges support from NSF grant OPP-2114454, NASA's Cryosphere Program under Grant 80NSSC22K0387, and Seequent Limited. J.G.G. and D.D.B. acknowledge support from NSF grant PLR-1543452, the G. Unger Vetlesen Foundation, Australian Antarctic Division projects 4346 and 4511, and the Australian Research Council's Special Research Initiative for Antarctic Gateway Partnership (project ID SR140300001).</t>
  </si>
  <si>
    <t>e2022GL097864</t>
  </si>
  <si>
    <t>10.1029/2022GL097864</t>
  </si>
  <si>
    <t>R5OS3</t>
  </si>
  <si>
    <t>WOS:001064850400001</t>
  </si>
  <si>
    <t>Tansey, E; Marchand, R; Alexander, SP; Klekociuk, AR; Protat, A</t>
  </si>
  <si>
    <t>Tansey, Emily; Marchand, Roger; Alexander, Simon P.; Klekociuk, Andrew R.; Protat, Alain</t>
  </si>
  <si>
    <t>Southern Ocean Low Cloud and Precipitation Phase Observed During the Macquarie Island Cloud and Radiation Experiment (MICRE)</t>
  </si>
  <si>
    <t>cloud phase; precipitation; Southern Ocean; Macquarie Island; remote sensing</t>
  </si>
  <si>
    <t>CMIP5 MODELS; LIQUID; TEMPERATURE; CIRCULATION; MECHANISMS; SIMULATION; BUDGET; BIASES</t>
  </si>
  <si>
    <t>Shallow cloud decks residing in or near the boundary layer cover a large fraction of the Southern Ocean (SO) and play a major role in determining the amount of shortwave radiation reflected back to space from this region. In this article, we examine the macrophysical characteristics and thermodynamic phase of low clouds (tops &lt;3 km) and precipitation using ground-based ceilometer, depolarization lidar and vertically-pointing W-band radar measurements collected during the Macquarie Island Cloud and Radiation Experiment (MICRE) from April 2016 to March 2017. During MICRE, low clouds occurred similar to 65% of the time on average (slightly more often in austral winter than summer). About 2/3 of low clouds were cold-topped (temperatures &lt;= 0 degrees C). These were thicker and had higher bases on average than warm-topped clouds. 83%-88% of cold-topped low clouds were liquid phase at cloud base (depending on the season). The majority of low clouds had precipitation in the vertical range 150-250 m below cloud base, a significant fraction of which did not reach the surface. Phase characterization is limited to the period between April 2016 and November 2016. Small-particle (low-radar-reflectivity) precipitation (which dominates precipitation occurrence) was mostly liquid below-cloud, while large-particle precipitation (which dominates total accumulation) was predominantly mixed/ambiguous or ice phase. Approximately 40% of cold-topped clouds had mixed/ambiguous or ice phase precipitation below (with predominantly liquid phase cloud droplets at cloud base). Below-cloud precipitation with radar reflectivity factors below about -10 dBZ were predominantly liquid, while reflectivity factors above about 0 dBZ were predominantly ice.</t>
  </si>
  <si>
    <t>[Tansey, Emily; Marchand, Roger] Univ Washington, Seattle, WA USA; [Alexander, Simon P.; Klekociuk, Andrew R.; Protat, Alain] Australian Antarctic Div, Hobart, Tas, Australia; [Alexander, Simon P.; Klekociuk, Andrew R.] Univ Tasmania, Inst Marine &amp; Antarctic Studies, Australian Antarctic Partnership Program, Hobart, Tas, Australia; [Protat, Alain] Australian Bur Meteorol, Melbourne, Vic, Australia</t>
  </si>
  <si>
    <t>University of Washington; University of Washington Seattle; Australian Antarctic Division; University of Tasmania; Bureau of Meteorology - Australia</t>
  </si>
  <si>
    <t>Tansey, E (corresponding author), Univ Washington, Seattle, WA USA.</t>
  </si>
  <si>
    <t>etansey@uw.edu</t>
  </si>
  <si>
    <t>Alexander, Simon/0000-0001-6823-8857; Tansey, Emily/0000-0002-2440-5454</t>
  </si>
  <si>
    <t>U.S. Department of Energy Atmospheric System Research program [DE-SC0016225]; NASA [80NSSC21L1724]; U.S. Department of Energy (DOE) [DE-SC0016225] Funding Source: U.S. Department of Energy (DOE)</t>
  </si>
  <si>
    <t>U.S. Department of Energy Atmospheric System Research program; NASA(National Aeronautics &amp; Space Administration (NASA)); U.S. Department of Energy (DOE)(United States Department of Energy (DOE))</t>
  </si>
  <si>
    <t>This work was supported by the U.S. Department of Energy Atmospheric System Research program through Grant DE-SC0016225 and NASA through Grant 80NSSC21L1724. Technical and logistical support for the deployment to Macquarie Island were provided by the Australian Antarctic Division through Australian Antarctic Science Project 4292, and we thank George Brettingham-Moore, Ken Barrett, Nick Cartwright, Nick Cole (deceased), Emry Crocker, Terry Egan, John French, Eric King (deceased), Ian McRobert, Lloyd Symons, Peter de Vries and Steven Whiteside for all of their assistance. We also thank Adrian McDonald for providing the University of Canterbury ceilometer data used to supplement the ARM ceilometer.</t>
  </si>
  <si>
    <t>e2023JD039205</t>
  </si>
  <si>
    <t>10.1029/2023JD039205</t>
  </si>
  <si>
    <t>R0RA7</t>
  </si>
  <si>
    <t>WOS:001061489000001</t>
  </si>
  <si>
    <t>Zheng, ZQ; Jin, J; Nie, YG; Hao, JH; Xue, YL; Liu, C; Chen, YY; Emslie, SD; Liu, XD</t>
  </si>
  <si>
    <t>Zheng, Zhangqin; Jin, Jing; Nie, Yaguang; Hao, Jihua; Xue, Yulu; Liu, Can; Chen, Yongyan; Emslie, Steven D.; Liu, Xiaodong</t>
  </si>
  <si>
    <t>Historical population changes of Adelie penguins in the Ross Sea region, Antarctica, and its climatic forcings</t>
  </si>
  <si>
    <t>Adelie penguin; Inexpressible island; Lacustrine sediments; Circumpolar deep water; Polynyas</t>
  </si>
  <si>
    <t>SOUTHERN ANNULAR MODE; ORNITHOGENIC SEDIMENTS; ENVIRONMENTAL IMPLICATIONS; HOLOCENE CHANGES; ICE-AGE; VARIABILITY; DISTRIBUTIONS; PALEOECOLOGY; PIGMENTS; SYSTEM</t>
  </si>
  <si>
    <t>The atmospheric-oceanic circulation patterns, especially for the Southern Annular Mode (SAM) and El Nino-Southern Oscillation (ENSO), two major atmospheric circulation patterns in the Ross Sea region, have been reported to greatly affect climate and marine ecosystems. However, from a historical perspective, the influence of atmospheric-oceanic circulation patterns on penguin populations remains unclear in this region. Here, we analyzed two lacustrine sediment cores collected from abandoned penguin colonies at Inexpressible Island, Ross Sea, Antarctica, and by applying alternative geochemical indices, successfully reconstructed the populations of the Adelie penguins (Pygoscelis adeliae) over the past similar to 1500 years. We found that penguin population peaked during 750-1350 AD at Inexpressible Island, potentially due to habitat expansion in the warmer climate. After comparing with historical records of penguin populations at Cape Bird, Dunlop Island, and Cape Adare, all were found to have a common increase during the 750-1350 AD period in the Ross Sea. The population trend also coincided with extreme activities of El Nino and SAM (+). We inferred that the SAM-ENSO might promote influxes of Circumpolar and Modified Circumpolar Deep Waters into the Ross Sea. The enhanced influx of nutrient-rich deep water, together with a warmer climate may jointly enhance polynya efficiency and population increase of Adelie penguins. Our study indicates the potentially significant roles of ENSO and SAM in the regulation of Antarctic ecosystems.</t>
  </si>
  <si>
    <t>[Zheng, Zhangqin; Jin, Jing; Xue, Yulu; Liu, Xiaodong] Univ Sci &amp; Technol China, Sch Earth &amp; Space Sci, Anhui Prov Key Lab Polar Environm &amp; Global Change, Hefei 230026, Anhui, Peoples R China; [Nie, Yaguang] Anhui Univ, Inst Phys Sci &amp; Informat Technol, Informat Mat &amp; Intelligent Sensing Lab Anhui Prov, Hefei 230601, Peoples R China; [Hao, Jihua; Liu, Can; Liu, Xiaodong] Univ Sci &amp; Technol China, Sch Earth &amp; Space Sci, CAS Key Lab Crust Mantle Mat &amp; Environm, Hefei 230026, Peoples R China; [Hao, Jihua] USTC, CAS Ctr Excellence Comparat Planetol, Hefei 230026, Anhui, Peoples R China; [Chen, Yongyan] Univ Sci &amp; Technol China, Sch Earth &amp; Space Sci, Hefei 230026, Anhui, Peoples R China; [Emslie, Steven D.] Univ N Carolina, Dept Biol &amp; Marine Biol, 601 S Coll Rd, Wilmington, NC 28403 USA</t>
  </si>
  <si>
    <t>Chinese Academy of Sciences; University of Science &amp; Technology of China, CAS; Anhui University; Chinese Academy of Sciences; University of Science &amp; Technology of China, CAS; Chinese Academy of Sciences; University of Science &amp; Technology of China, CAS; Chinese Academy of Sciences; University of Science &amp; Technology of China, CAS; University of North Carolina; University of North Carolina Wilmington</t>
  </si>
  <si>
    <t>Liu, XD (corresponding author), Univ Sci &amp; Technol China, Sch Earth &amp; Space Sci, Anhui Prov Key Lab Polar Environm &amp; Global Change, Hefei 230026, Anhui, Peoples R China.</t>
  </si>
  <si>
    <t>ycx@ustc.edu.cn</t>
  </si>
  <si>
    <t>Hao, Jihua/C-2770-2013</t>
  </si>
  <si>
    <t>Hao, Jihua/0000-0003-3657-050X</t>
  </si>
  <si>
    <t>National Natural Science Foundation of China [42276240, 41976191, 41776188]; strategic Priority Research Program of the Chinese Academy of Sciences [XDB40000000]</t>
  </si>
  <si>
    <t>National Natural Science Foundation of China(National Natural Science Foundation of China (NSFC)); strategic Priority Research Program of the Chinese Academy of Sciences(Chinese Academy of Sciences)</t>
  </si>
  <si>
    <t>We thank the Chinese Arctic and Antarctic Administration of Ministry of Natural Resources (MNR) for project support, and the United States Antarctic Program (USAP), Antarctic Support Contract and ItalianMario Zucchelli Station for logistical support. We also thank R. Murray and A. McKenzie for field assistance on Inexpressible Island. This study was supported by the National Natural Science Foundation of China (Grant Nos. 42276240, 41976191 and 41776188) , and the strategic Priority Research Program of the Chinese Academy of Sciences (Grant No. XDB40000000) .r Mario Zucchelli Station for logistical support. We also thank R. Murray and A. McKenzie for field assistance on Inexpressible Island. This study was supported by the National Natural Science Foundation of China (Grant Nos. 42276240, 41976191 and 41776188) , and the strategic Priority Research Program of the Chinese Academy of Sciences (Grant No. XDB40000000) .</t>
  </si>
  <si>
    <t>10.1016/j.quascirev.2023.108308</t>
  </si>
  <si>
    <t>U2AO4</t>
  </si>
  <si>
    <t>WOS:001082886200001</t>
  </si>
  <si>
    <t>Zhang, WY; Zhu, RB; Jiao, Y; Rhew, RC; Sun, BW; Rinnan, R; Zhou, ZM</t>
  </si>
  <si>
    <t>Zhang, Wanying; Zhu, Renbin; Jiao, Yi; Rhew, Robert C.; Sun, Bowen; Rinnan, Riikka; Zhou, Zeming</t>
  </si>
  <si>
    <t>Sea animal colonies enhance carbonyl sulfide emissions from coastal Antarctic tundra</t>
  </si>
  <si>
    <t>DIMETHYL SULFIDE; GAS-EXCHANGE; SULFUR GASES; COS SOURCE; SOIL; FLUXES; ANHYDRASE; OCS; ATMOSPHERE; DISULFIDE</t>
  </si>
  <si>
    <t>The Antarctic tundra, dominated by non-vascular photoautotrophs (NVP) like mosses and lichens, serves as an important habitat for sea animals. These animals contribute organic matter and oceanic sulfur to land, potentially influencing sulfur transformations. Here, we measured carbonyl sulfide (OCS) fluxes from the Antarctic tundra and linked them to soil biochemical properties. Results revealed that the NVP-dominated upland tundra acted as an OCS sink (-0.97 &amp; PLUSMN; 0.57 pmol m-2 s-1), driven by NVP and OCS-metabolizing enzymes from soil microbes (e.g., Acidobacteria, Verrucomicrobia, and Chloroflexi). In contrast, tundra within sea animal colonies exhibited OCS emissions up to 1.35 &amp; PLUSMN; 0.38 pmol m-2 s-1, resulting from the introduction of organosulfur compounds that stimulated concurrent OCS production. Furthermore, sea animal colonization likely influenced OCS-metabolizing microbial communities and further promoted OCS production. Overall, this study highlighted the role of sea animal activities in shaping the soil-atmospheric exchange of OCS through interacting with soil chemical properties and microbial compositions. Antarctic sea-animal colonies influence non-vascular photoautotrophs, soil properties, and microbial communities to change ice-free coastal tundra from a sink of carbonyl sulfate to a source, as suggested by soil analyses and trace gas flux measurements on King George Island, Antarctica.</t>
  </si>
  <si>
    <t>[Zhang, Wanying; Zhu, Renbin; Sun, Bowen; Zhou, Zeming] Univ Sci &amp; Technol China, Inst Polar Environm, Sch Earth &amp; Space Sci, Hefei 230026, Anhui, Peoples R China; [Zhang, Wanying; Zhu, Renbin; Sun, Bowen; Zhou, Zeming] Univ Sci &amp; Technol China, Sch Earth &amp; Space Sci, Anhui Prov Key Lab Polar Environm &amp; Global Change, Hefei 230026, Anhui, Peoples R China; [Jiao, Yi; Rinnan, Riikka] Univ Copenhagen, Dept Biol, Terr Ecol Sect, DK-2100 Copenhagen O, Denmark; [Jiao, Yi; Rinnan, Riikka] Univ Copenhagen, Ctr Volatile Interact VOLT, Dept Biol, DK-2100 Copenhagen O, Denmark; [Rhew, Robert C.] Univ Calif Berkeley, Dept Geog, Berkeley, CA 94720 USA; [Rhew, Robert C.] Univ Calif Berkeley, Dept Environm Sci Policy &amp; Management, Berkeley, CA 94720 USA</t>
  </si>
  <si>
    <t>Chinese Academy of Sciences; University of Science &amp; Technology of China, CAS; Chinese Academy of Sciences; University of Science &amp; Technology of China, CAS; University of Copenhagen; University of Copenhagen; University of California System; University of California Berkeley; University of California System; University of California Berkeley</t>
  </si>
  <si>
    <t>Zhu, RB (corresponding author), Univ Sci &amp; Technol China, Inst Polar Environm, Sch Earth &amp; Space Sci, Hefei 230026, Anhui, Peoples R China.;Zhu, RB (corresponding author), Univ Sci &amp; Technol China, Sch Earth &amp; Space Sci, Anhui Prov Key Lab Polar Environm &amp; Global Change, Hefei 230026, Anhui, Peoples R China.</t>
  </si>
  <si>
    <t>zhurb@ustc.edu.cn</t>
  </si>
  <si>
    <t>Rhew, Robert C/M-8110-2016; Jiao, Yi/HNP-9992-2023; Sun, Bowen/M-6027-2018; Zhang, Wanying/IXD-8104-2023; Rinnan, Riikka/C-9771-2010</t>
  </si>
  <si>
    <t>Jiao, Yi/0000-0001-5027-3144; Rinnan, Riikka/0000-0001-7222-700X; Zhu, RenBin/0000-0001-7757-3622; Zhang, Wanying/0000-0001-9874-9834</t>
  </si>
  <si>
    <t>National Natural Science Foundation of China [41976220]; National Key Research and Development Program of China [2020YFA0608501]; China Postdoctoral Science Foundation [2022M713042]; Fundamental Research Funds for Central Universities [WK2080000170]</t>
  </si>
  <si>
    <t>National Natural Science Foundation of China(National Natural Science Foundation of China (NSFC)); National Key Research and Development Program of China; China Postdoctoral Science Foundation(China Postdoctoral Science Foundation); Fundamental Research Funds for Central Universities(Fundamental Research Funds for the Central Universities)</t>
  </si>
  <si>
    <t>This study was jointly funded by the National Natural Science Foundation of China (No. 41976220), National Key Research and Development Program of China (No. 2020YFA0608501), China Postdoctoral Science Foundation (No. 2022M713042), and Fundamental Research Funds for Central Universities (No. WK2080000170). RR would like to thank the Danish National Research Foundation for supporting the activities within the Center for Volatile Interactions (No. DNRF168). The authors would like to thank Professor Zhigang Yi for assistance in GC/MS analysis, the Chinese National Antarctic Research Expedition (CHINARE) for assistance in fieldwork.</t>
  </si>
  <si>
    <t>10.1038/s43247-023-00990-4</t>
  </si>
  <si>
    <t>S0OZ8</t>
  </si>
  <si>
    <t>WOS:001068262700001</t>
  </si>
  <si>
    <t>Wang, YH; Yuan, XJ; Ren, YB; Bushuk, M; Shu, Q; Li, CH; Li, XF</t>
  </si>
  <si>
    <t>Wang, Yunhe; Yuan, Xiaojun; Ren, Yibin; Bushuk, Mitchell; Shu, Qi; Li, Cuihua; Li, Xiaofeng</t>
  </si>
  <si>
    <t>Subseasonal Prediction of Regional Antarctic Sea Ice by a Deep Learning Model</t>
  </si>
  <si>
    <t>Antarctic; sea ice prediction</t>
  </si>
  <si>
    <t>PREDICTABILITY; FORECAST; IMPACTS; TRENDS</t>
  </si>
  <si>
    <t>Antarctic sea ice concentration (SIC) prediction at seasonal scale has been documented, but a gap remains at subseasonal scale (1-8 weeks) due to limited understanding of ice-related physical mechanisms. To overcome this limitation, we developed a deep learning model named Sea Ice Prediction Network (SIPNet) that can predict SIC without the need to account for complex physical processes. Compared to mainstream dynamical models like European Centre for Medium-Range Weather Forecasts, National Centers for Environmental Prediction, and Seamless System for Prediction and Earth System Research developed at Geophysical Fluid Dynamics Laboratory, as well as a relatively advanced statistical model like the linear Markov model, SIPNet outperforms them all, effectively filling the gap in subseasonal Antarctic SIC prediction capability. SIPNet results indicate that autumn SIC variability contributes the most to sea ice predictability, whereas spring contributes the least. In addition, the Weddell Sea displays the highest sea ice predictability, while predictability is low in the West Pacific. SIPNet can also capture the signal of ENSO and SAM on sea ice.</t>
  </si>
  <si>
    <t>[Wang, Yunhe; Ren, Yibin; Li, Xiaofeng] Chinese Acad Sci, Inst Oceanol, CAS Key Lab Ocean Circulat &amp; Waves, Qingdao, Peoples R China; [Yuan, Xiaojun; Li, Cuihua] Columbia Univ, Lamont Doherty Earth Observ, Palisades, NY 10964 USA; [Bushuk, Mitchell] NOAA, Geophys Fluid Dynam Lab, Princeton, NJ USA; [Shu, Qi] Minist Nat Resources, Inst Oceanog 1, Qingdao, Peoples R China</t>
  </si>
  <si>
    <t>Chinese Academy of Sciences; Institute of Oceanology, CAS; Columbia University; National Oceanic Atmospheric Admin (NOAA) - USA; First Institute of Oceanography, Ministry of Natural Resources; Ministry of Natural Resources of the People's Republic of China</t>
  </si>
  <si>
    <t>Li, XF (corresponding author), Chinese Acad Sci, Inst Oceanol, CAS Key Lab Ocean Circulat &amp; Waves, Qingdao, Peoples R China.;Yuan, XJ (corresponding author), Columbia Univ, Lamont Doherty Earth Observ, Palisades, NY 10964 USA.</t>
  </si>
  <si>
    <t>xyuan@ldeo.columbia.edu; lixf@qdio.ac.cn</t>
  </si>
  <si>
    <t>Li, Hongbo/KHV-4191-2024; wang, wang/KGW-2828-2024; Bushuk, Mitch/L-7032-2015</t>
  </si>
  <si>
    <t>Yuan, Xiaojun/0000-0002-6530-1619; Bushuk, Mitch/0000-0002-0063-1465; Wang, yunhe/0000-0001-8382-7094</t>
  </si>
  <si>
    <t>This work is supported by the Natural Science Foundation of Shandong Province, China (ZR2021QD059); National Natural Science Foundation of China (42106223 and 42206202); China Postdoctoral Science Foundation (2020TQ0322); and Strategic Priority Research Pr [42106223]; Natural Science Foundation of Shandong Province, China [42206202, 2020TQ0322]; National Natural Science Foundation of China [XDB42000000]; China Postdoctoral Science Foundation; Strategic Priority Research Program of the Chinese Academy of Sciences; Lamont-Doherty Earth Observatory of Columbia University; [ZR2021QD059]</t>
  </si>
  <si>
    <t>This work is supported by the Natural Science Foundation of Shandong Province, China (ZR2021QD059); National Natural Science Foundation of China (42106223 and 42206202); China Postdoctoral Science Foundation (2020TQ0322); and Strategic Priority Research Pr; Natural Science Foundation of Shandong Province, China(Natural Science Foundation of Shandong Province); National Natural Science Foundation of China(National Natural Science Foundation of China (NSFC)); China Postdoctoral Science Foundation(China Postdoctoral Science Foundation); Strategic Priority Research Program of the Chinese Academy of Sciences(Chinese Academy of Sciences); Lamont-Doherty Earth Observatory of Columbia University;</t>
  </si>
  <si>
    <t>This work is supported by the Natural Science Foundation of Shandong Province, China (ZR2021QD059); National Natural Science Foundation of China (42106223 and 42206202); China Postdoctoral Science Foundation (2020TQ0322); and Strategic Priority Research Program of the Chinese Academy of Sciences (XDB42000000). Yuan is supported by the Lamont-Doherty Earth Observatory of Columbia University and a private donation (Ying).</t>
  </si>
  <si>
    <t>e2023GL104347</t>
  </si>
  <si>
    <t>10.1029/2023GL104347</t>
  </si>
  <si>
    <t>Q6ZJ4</t>
  </si>
  <si>
    <t>WOS:001058983400001</t>
  </si>
  <si>
    <t>Wilson, NJ; Vreugdenhil, CA; Gayen, B; Hester, EW</t>
  </si>
  <si>
    <t>Wilson, Nicholas J.; Vreugdenhil, Catherine A.; Gayen, Bishakhdatta; Hester, Eric W.</t>
  </si>
  <si>
    <t>Double-Diffusive Layer and Meltwater Plume Effects on Ice Face Scalloping in Phase-Change Simulations</t>
  </si>
  <si>
    <t>ice-ocean interactions; ice shelf scalloping; meltwater plume; double-diffusive layers; Antarctic ice shelves; ocean dynamics</t>
  </si>
  <si>
    <t>PINE ISLAND GLACIER; SALINITY GRADIENT; SHELF; BENEATH; CONVECTION; DRIVEN; ABLATION</t>
  </si>
  <si>
    <t>Antarctic ice shelves are losing mass at increasing rates, yet the ice-ocean interactions that cause significant ice loss are not well understood. A new approach of high-resolution phase-change simulations is used to model vertical ice melting into a stratified ocean. The ocean dynamics show complicated interplay between a turbulent buoyant meltwater plume and double-diffusive layers, while the ice actively melts and changes topography. At room temperatures, the double-diffusive layer thickness is closely linked to ice scalloping. At lower, more realistic ocean temperatures, the meltwater plume becomes prominent with a laminar-to-turbulent transition imprinting an indent on the melting ice. The double-diffusive layer thickness is consistent with scaling prediction, while the real-world application demonstrates reasonably good matching of the scaling prediction for some Antarctic regions. Our study is a key first step toward the future use of high-resolution phase-change fluid dynamics simulations to better understand Antarctic ice shelves in a changing climate.</t>
  </si>
  <si>
    <t>[Wilson, Nicholas J.; Vreugdenhil, Catherine A.; Gayen, Bishakhdatta] Univ Melbourne, Dept Mech Engn, Melbourne, Vic, Australia; [Gayen, Bishakhdatta] Indian Inst Sci, Ctr Atmospher &amp; Ocean Sci, Bengaluru, India; [Gayen, Bishakhdatta] Univ Tasmania, Australian Ctr Excellence Antarctic Sci, Hobart, Tas, Australia; [Hester, Eric W.] Univ Calif Los Angeles, Dept Math, Los Angeles, CA USA</t>
  </si>
  <si>
    <t>University of Melbourne; Melbourne Bioinformatics; Indian Institute of Science (IISC) - Bangalore; University of Tasmania; University of California System; University of California Los Angeles</t>
  </si>
  <si>
    <t>Vreugdenhil, CA (corresponding author), Univ Melbourne, Dept Mech Engn, Melbourne, Vic, Australia.</t>
  </si>
  <si>
    <t>cat.vreugdenhil@unimelb.edu.au</t>
  </si>
  <si>
    <t>Hester, Eric W/JOK-9716-2023; Gayen, Bishakhdatta/D-9679-2011</t>
  </si>
  <si>
    <t>Hester, Eric W/0000-0003-1651-9141; Gayen, Bishakhdatta/0000-0001-6543-2590</t>
  </si>
  <si>
    <t>We thank the two reviewers for their helpful comments that have greatly improved this paper. This research was supported by the Australian Research Council (ARC) Australian Centre for Excellence in Antarctic Science and by the Research Computing Services N; Australian Research Council (ARC) Australian Centre for Excellence in Antarctic Science [DE220101027]; ARC Future Fellowship; ARC DECRA Fellowship; University of Melbourne, as part of the Wiley - The University of Melbourne agreement via the Council of Australian University Librarians; [FT180100037]; Australian Research Council [DE220101027] Funding Source: Australian Research Council</t>
  </si>
  <si>
    <t>We thank the two reviewers for their helpful comments that have greatly improved this paper. This research was supported by the Australian Research Council (ARC) Australian Centre for Excellence in Antarctic Science and by the Research Computing Services N; Australian Research Council (ARC) Australian Centre for Excellence in Antarctic Science(Australian Research Council); ARC Future Fellowship(Australian Research Council); ARC DECRA Fellowship(Australian Research Council); University of Melbourne, as part of the Wiley - The University of Melbourne agreement via the Council of Australian University Librarians; ; Australian Research Council(Australian Research Council)</t>
  </si>
  <si>
    <t>We thank the two reviewers for their helpful comments that have greatly improved this paper. This research was supported by the Australian Research Council (ARC) Australian Centre for Excellence in Antarctic Science and by the Research Computing Services NCI Access scheme at the University of Melbourne. B.G. was supported by ARC Future Fellowship Grant FT180100037. C.V. was supported by ARC DECRA Fellowship Grant DE220101027. Numerical simulations were conducted on the Australian National Computational Infrastructure. Open access publishing facilitated by The University of Melbourne, as part of the Wiley - The University of Melbourne agreement via the Council of Australian University Librarians.</t>
  </si>
  <si>
    <t>e2023GL104396</t>
  </si>
  <si>
    <t>10.1029/2023GL104396</t>
  </si>
  <si>
    <t>Q4QB0</t>
  </si>
  <si>
    <t>WOS:001057371500001</t>
  </si>
  <si>
    <t>Blanchard-Wrigglesworth, E; Cox, T; Espinosa, ZI; Donohoe, A</t>
  </si>
  <si>
    <t>Blanchard-Wrigglesworth, Edward; Cox, Tyler; Espinosa, Zachary I.; Donohoe, Aaron</t>
  </si>
  <si>
    <t>The Largest Ever Recorded Heatwave-Characteristics and Attribution of the Antarctic Heatwave of March 2022</t>
  </si>
  <si>
    <t>heatwaves; Antarctica; attribution; climate change; climate models; atmospheric variability</t>
  </si>
  <si>
    <t>EXTREME WEATHER; SEA-ICE; CLIMATE; CMIP5</t>
  </si>
  <si>
    <t>An unprecedented heatwave impacted East Antarctica in March 2022, peaking at 39? above climatology, the largest temperature anomaly ever recorded globally. We investigate the causes of the heatwave, the impact of climate change, and a climate model's ability in simulating such an event. The heatwave, which was skillfully forecast, resulted from a highly anomalous large-scale circulation pattern that advected an Australian airmass to East Antarctica in 4 days and produced record atmospheric heat fluxes. Southern Ocean sea surface temperatures anomalies had a minimal impact on the heatwave's amplitude. Simulations from a climate model fail to simulate such a large temperature anomaly mostly due to biases in its large-scale circulation variability, showcasing a pathway for future model improvement in simulating extreme heatwaves. The heatwave was made 2? warmer by climate change, and end of 21st century heatwaves may be an additional 5-6? warmer, raising the prospect of near-melting temperatures over the interior of East Antarctica.</t>
  </si>
  <si>
    <t>[Blanchard-Wrigglesworth, Edward; Cox, Tyler; Espinosa, Zachary I.; Donohoe, Aaron] Univ Washington, Dept Atmospher Sci, Seattle, WA 98195 USA; [Donohoe, Aaron] Univ Washington, Appl Phys Lab, Seattle, WA USA</t>
  </si>
  <si>
    <t>University of Washington; University of Washington Seattle; University of Washington; University of Washington Seattle</t>
  </si>
  <si>
    <t>Blanchard-Wrigglesworth, E (corresponding author), Univ Washington, Dept Atmospher Sci, Seattle, WA 98195 USA.</t>
  </si>
  <si>
    <t>edwardbw@uw.edu</t>
  </si>
  <si>
    <t>Cox, Tyler/0000-0001-6916-8344</t>
  </si>
  <si>
    <t>EBW and AD acknowledge the generous support of the National Science Foundation Office of Polar Programs through award 2233016. TC acknowledged the generous support of the National Science Foundation Award CLD2019647. ZE is supported by the U.S. Department; National Science Foundation Office of Polar Programs; National Science Foundation; U.S. Department of Energy, Office of Science, Office of Advanced Scientific Computing Research, Department of Energy Computational Science Graduate Fellowship; [2233016]</t>
  </si>
  <si>
    <t>EBW and AD acknowledge the generous support of the National Science Foundation Office of Polar Programs through award 2233016. TC acknowledged the generous support of the National Science Foundation Award CLD2019647. ZE is supported by the U.S. Department; National Science Foundation Office of Polar Programs(National Science Foundation (NSF)NSF - Directorate for Geosciences (GEO)); National Science Foundation(National Science Foundation (NSF)); U.S. Department of Energy, Office of Science, Office of Advanced Scientific Computing Research, Department of Energy Computational Science Graduate Fellowship(United States Department of Energy (DOE));</t>
  </si>
  <si>
    <t>EBW and AD acknowledge the generous support of the National Science Foundation Office of Polar Programs through award 2233016. TC acknowledged the generous support of the National Science Foundation Award CLD2019647. ZE is supported by the U.S. Department of Energy, Office of Science, Office of Advanced Scientific Computing Research, Department of Energy Computational Science Graduate Fellowship under Award Number(s) DE-SC0023112. We also thank Etienne Vignon and Christophe Genthon for help with Dome C data access and Dargan Frierson, Thomas Bracegirdle, Brian Rose, and Ian Eisenman for helpful discussions. This work uses ERA5 data, which contains modified Copernicus Climate Change Service information 2020. Neither the European Commission nor ECMWF is responsible for any use that may be made of the Copernicus information or data it contains. We acknowledge the NOAA Air Resources Laboratory (ARL) for the provision of the HYSPLIT transport and dispersion model and/or READY website () used in this publication. We would also like to acknowledge high-performance computing support from Cheyenne () provided by NCAR &amp; apos;s Computational and Information Systems Laboratory, sponsored by the National Science Foundation.</t>
  </si>
  <si>
    <t>e2023GL104910</t>
  </si>
  <si>
    <t>10.1029/2023GL104910</t>
  </si>
  <si>
    <t>Q6WG6</t>
  </si>
  <si>
    <t>WOS:001058902300001</t>
  </si>
  <si>
    <t>Guo, YY; Chen, XD; Huang, SH; Wen, ZP</t>
  </si>
  <si>
    <t>Guo, Yuanyuan; Chen, Xiaodan; Huang, Sihua; Wen, Zhiping</t>
  </si>
  <si>
    <t>Amplified Interannual Variation of the Summer Sea Ice in the Weddell Sea, Antarctic After the Late 1990s</t>
  </si>
  <si>
    <t>Antarctic sea ice; Southern Annular Mode; thermodynamic process; Weddell Sea</t>
  </si>
  <si>
    <t>ATMOSPHERIC CIRCULATION; VARIABILITY; CLIMATE; TRENDS; DRIVERS; IMPACTS; EXTENT</t>
  </si>
  <si>
    <t>The sea-ice extent (SIE) in the Weddell Sea plays a crucial role in the Antarctic climate system. Many studies have examined its long-term trend, however whether its year-to-year variation has changed remains unclear. We found an amplified year-to-year variance of the Weddell Sea SIE in austral summer since 1998/1999 in observational datasets. Analyses of sea-ice concentration budget and surface fluxes indicate that it is the thermodynamic process that drives the amplification of SIE variations, rather than the sea-ice-drift-related dynamic process. Compared to 1979-1998, the Southern Annular Mode in the preceding spring shows a closer linkage with the Weddell Sea SIE in 1999-2021 through a stronger and more prolonged impact on sea surface temperature, which thermodynamically modulates local sea ice via changing surface heat and radiation fluxes. Our study helps advance the understanding of extreme low Antarctic-SIE records occurring in recent decades and improve future projections of the Antarctic sea-ice variability.</t>
  </si>
  <si>
    <t>[Guo, Yuanyuan; Chen, Xiaodan; Huang, Sihua; Wen, Zhiping] Fudan Univ, Inst Atmospher Sci, Dept Atmospher &amp; Ocean Sci, Shanghai, Peoples R China; [Guo, Yuanyuan] Minist Educ LOIA, Key Lab Coupled Ocean Ice Atmosphere Syst &amp; Weathe, Shanghai, Peoples R China; [Wen, Zhiping] Fudan Univ, Shanghai Key Lab Ocean Land Atmosphere Boundary Dy, Shanghai, Peoples R China; [Wen, Zhiping] Jiangsu Collaborat Innovat Ctr Climate Change, Nanjing, Peoples R China</t>
  </si>
  <si>
    <t>Fudan University; Fudan University</t>
  </si>
  <si>
    <t>Guo, YY (corresponding author), Fudan Univ, Inst Atmospher Sci, Dept Atmospher &amp; Ocean Sci, Shanghai, Peoples R China.;Guo, YY (corresponding author), Minist Educ LOIA, Key Lab Coupled Ocean Ice Atmosphere Syst &amp; Weathe, Shanghai, Peoples R China.</t>
  </si>
  <si>
    <t>guoyyuan@fudan.edu.cn</t>
  </si>
  <si>
    <t>Chen, Xiaodan/ABH-3659-2022</t>
  </si>
  <si>
    <t>Chen, Xiaodan/0000-0001-6139-2181; Yuanyuan, Guo/0000-0002-0494-9526; Huang, Sihua/0000-0001-9008-6183</t>
  </si>
  <si>
    <t>The authors thank the constructive suggestions from two anonymous reviewers, which helped greatly to improve the manuscript. This research is supported by the National Natural Science Foundation of China (42375024, 41905072, 42030601, and 41875087). [41905072, 42030601, 41875087]; National Natural Science Foundation of China; [42375024]</t>
  </si>
  <si>
    <t>The authors thank the constructive suggestions from two anonymous reviewers, which helped greatly to improve the manuscript. This research is supported by the National Natural Science Foundation of China (42375024, 41905072, 42030601, and 41875087).; National Natural Science Foundation of China(National Natural Science Foundation of China (NSFC));</t>
  </si>
  <si>
    <t>The authors thank the constructive suggestions from two anonymous reviewers, which helped greatly to improve the manuscript. This research is supported by the National Natural Science Foundation of China (42375024, 41905072, 42030601, and 41875087).</t>
  </si>
  <si>
    <t>e2023GL104924</t>
  </si>
  <si>
    <t>10.1029/2023GL104924</t>
  </si>
  <si>
    <t>Q4SA6</t>
  </si>
  <si>
    <t>WOS:001057423100001</t>
  </si>
  <si>
    <t>Lösing, M; Moorkamp, M; Ebbing, J</t>
  </si>
  <si>
    <t>Loesing, Mareen; Moorkamp, Max; Ebbing, Joerg</t>
  </si>
  <si>
    <t>Joint inversion based on variation of information-a crustal model of Wilkes Land, East Antarctica</t>
  </si>
  <si>
    <t>Antarctica; Joint inversion; Crustal structure; Variation of Information; Wilkes Land</t>
  </si>
  <si>
    <t>DRONNING MAUD LAND; AIRBORNE GRAVITY; AEROMAGNETIC DATA; SUBGLACIAL BASIN; GONDWANA; GEOLOGY; ARCHITECTURE; SATELLITE; GRADIENT; REGION</t>
  </si>
  <si>
    <t>By combining gravity and magnetic data in a joint inversion approach, 3-D information on the crustal structure of Wilkes Land, East Antarctica, is obtained and possible geological features become evident. Both data sets are combined through a coupling method which decreases the variation of information (VI) so data misfit and model dissimilarity are minimized simultaneously. In this manner, statistically compatible inversion results are obtained. The suitability of the method is demonstrated through a synthetic example using magnetic data and pseudo-gravity. Subsequently, we apply the method to gravity residuals and magnetic data and identify matching features of high magnitude density and susceptibility. Prominent structures in NW-SE direction along the edge of the Mawson craton and at the presumed Australo-Antarctic and Indo-Antarctic terrane boundaries are enhanced. Given the structural similarity between inverted susceptibility and density, and a strong indication of a parameter relationship, we suggest a clustering approach in order to differentiate distinct groups with similar parameter properties. The spatial distribution of these clusters reveals possible geological structures that agree with previous 2-D studies and rock measurements from the Indian and Australian continents. This shows that the VI joint inversion is a convenient approach for remote regions like East Antarctica with sparse geological samples.</t>
  </si>
  <si>
    <t>[Loesing, Mareen; Ebbing, Joerg] Univ Kiel, Dept Geosci, Otto Hahn Pl 1, D-24118 Kiel, Germany; [Moorkamp, Max] Ludwig Maximilian Univ Munich, Dept Earth &amp; Environm Sci, Theresienstr 41, D-80333 Munich, Germany</t>
  </si>
  <si>
    <t>University of Kiel; University of Munich</t>
  </si>
  <si>
    <t>Lösing, M (corresponding author), Univ Kiel, Dept Geosci, Otto Hahn Pl 1, D-24118 Kiel, Germany.</t>
  </si>
  <si>
    <t>mareen.loesing@ifg.uni-kiel.de</t>
  </si>
  <si>
    <t>Ebbing, Joerg/B-8796-2013</t>
  </si>
  <si>
    <t>Ebbing, Joerg/0000-0001-7492-5338; Losing, Mareen/0000-0002-9222-2107</t>
  </si>
  <si>
    <t>Deutsche Forschungsgemeinschaft (DFG) [EB 255/8-1]; Heisenberg fellowship [MM 2265/6-1]</t>
  </si>
  <si>
    <t>Deutsche Forschungsgemeinschaft (DFG)(German Research Foundation (DFG)); Heisenberg fellowship(German Research Foundation (DFG))</t>
  </si>
  <si>
    <t>This work was supported by the Deutsche Forschungsgemeinschaft (DFG) in the framework of the priority programme `Antarctic Research with comparative investigations in Arctic ice areas' by a grant (grant no. EB 255/8-1). MM is supported by a Heisenberg fellowship (grant no. MM 2265/6-1).</t>
  </si>
  <si>
    <t>10.1093/gji/ggac334</t>
  </si>
  <si>
    <t>4P6CZ</t>
  </si>
  <si>
    <t>WOS:000855482200003</t>
  </si>
  <si>
    <t>Thalasso, F; Riquelme, B; Gómez, A; Mackenzie, R; Aguirre, FJ; Hoyos-Santillan, J; Rozzi, R; Sepulveda-Jauregui, A</t>
  </si>
  <si>
    <t>Thalasso, Frederic; Riquelme, Brenda; Gomez, Andres; Mackenzie, Roy; Aguirre, Francisco Javier; Hoyos-Santillan, Jorge; Rozzi, Ricardo; Sepulveda-Jauregui, Armando</t>
  </si>
  <si>
    <t>Technical note: Skirt chamber - an open dynamic method for the rapid and minimally intrusive measurement of greenhouse gas emissions from peatlands</t>
  </si>
  <si>
    <t>CO2 FLUX; METHANE EMISSIONS; CH4 FLUXES; RESPIRATION; CLIMATE; VEGETATION; COMMUNITY; ENERGY; ZERO; BOG</t>
  </si>
  <si>
    <t>We present a reliable and robust open dynamic chamber for measuring greenhouse gas exchange in peatlands with minimal disturbance of the ground. This chamber, called the skirt chamber, is based on a transparent plastic film placed above an open frame made of sparse interwoven wires and expanded around the base of the chamber below a steel chain that ensures contact to the ground, avoiding damage, trenching, and cutting vegetation. Gas exchange is determined using a portable gas analyzer from a mass balance in which the imperfect sealing of the chamber to the ground is quantified through the injection of a methane pulse. The method was tested on a pristine peatland dominated by Sphagnum magellanicum located on Navarino Island in the subantarctic Magellanic ecoregion in Chile. Our results indicate that the skirt chamber allowed the determination of methane fluxes and ecosystem respiration in about 20 min, with a limit of detection of 0.185 mg CH4 m(-2) h(-1) and 173 mg CO2 m(-2) h(-1), respectively. We conclude that the skirt chamber is a minimally intrusive, fast, portable, and inexpensive method that allows the quantification of greenhouse gas emissions with high spatial resolution in remote locations and without delay.</t>
  </si>
  <si>
    <t>[Thalasso, Frederic] Cinvestav, Inst Politecn Nacl, Ctr Invest &amp; Estudios Avanzados, Dept Biotecnol &amp; Bioingn, Mexico City 07360, Mexico; [Thalasso, Frederic; Riquelme, Brenda; Gomez, Andres; Mackenzie, Roy; Aguirre, Francisco Javier; Hoyos-Santillan, Jorge; Rozzi, Ricardo; Sepulveda-Jauregui, Armando] Univ Magallanes, Cape Horn Int Ctr, Puerto Williams 6350000, Chile; [Riquelme, Brenda; Mackenzie, Roy] Millennium Inst, Biodivers Antarctic &amp; Subantarct Ecosyst BASE, Santiago 7800003, Chile; [Hoyos-Santillan, Jorge; Sepulveda-Jauregui, Armando] Univ Magallanes, Ctr Invest Gaia Antartica CIGA, Environm Biogeochem Lab, Punta Arenas 6210427, Chile; [Hoyos-Santillan, Jorge; Sepulveda-Jauregui, Armando] Univ Chile, Ctr Climate &amp; Resilience Res CR 2, Santiago 7800003, Chile</t>
  </si>
  <si>
    <t>CINVESTAV - Centro de Investigacion y de Estudios Avanzados del Instituto Politecnico Nacional; Instituto Politecnico Nacional - Mexico; Universidad de Magallanes; Universidad de Magallanes; Universidad de Chile</t>
  </si>
  <si>
    <t>Thalasso, F (corresponding author), Cinvestav, Inst Politecn Nacl, Ctr Invest &amp; Estudios Avanzados, Dept Biotecnol &amp; Bioingn, Mexico City 07360, Mexico.;Thalasso, F; Sepulveda-Jauregui, A (corresponding author), Univ Magallanes, Cape Horn Int Ctr, Puerto Williams 6350000, Chile.;Sepulveda-Jauregui, A (corresponding author), Univ Magallanes, Ctr Invest Gaia Antartica CIGA, Environm Biogeochem Lab, Punta Arenas 6210427, Chile.;Sepulveda-Jauregui, A (corresponding author), Univ Chile, Ctr Climate &amp; Resilience Res CR 2, Santiago 7800003, Chile.</t>
  </si>
  <si>
    <t>thalasso@cinvestav.mx; armando.sepulveda@umag.cl</t>
  </si>
  <si>
    <t>Mackenzie, Roy/AAU-7621-2020; Sepulveda-Jauregui, Armando/J-5049-2019; Hoyos, Jorge/F-3529-2019</t>
  </si>
  <si>
    <t>Mackenzie, Roy/0000-0001-6620-1532; Sepulveda-Jauregui, Armando/0000-0001-7777-4520; Hoyos, Jorge/0000-0001-6295-9485</t>
  </si>
  <si>
    <t>We thank Rachele Ossola for her support in preparing the graphical abstract.</t>
  </si>
  <si>
    <t>SEP 15</t>
  </si>
  <si>
    <t>10.5194/bg-20-3737-2023</t>
  </si>
  <si>
    <t>HV7L0</t>
  </si>
  <si>
    <t>WOS:001162347100001</t>
  </si>
  <si>
    <t>Mervis, J</t>
  </si>
  <si>
    <t>Mervis, Jeffrey</t>
  </si>
  <si>
    <t>ANTARCTIC MELTDOWN</t>
  </si>
  <si>
    <t>X8BY5</t>
  </si>
  <si>
    <t>WOS:001100649500018</t>
  </si>
  <si>
    <t>Wang, CY; Yang, YD; Wang, SJ; Ai, ST; Che, YJ; Wang, JH; Li, LY; Li, F</t>
  </si>
  <si>
    <t>Wang, Chuya; Yang, Yuande; Wang, Shijin; Ai, Songtao; Che, Yanjun; Wang, Junhao; Li, Leiyu; Li, Fei</t>
  </si>
  <si>
    <t>Seasonal glacier change revealed from the real-time monitoring platform on Baishui River Glacier No.1 in Yulong Snow Mountain, Southeastern Qinghai-Tibet plateau</t>
  </si>
  <si>
    <t>Baishui River Glacier No.1; glacier change; GNSS; laser ranger; real-time monitor</t>
  </si>
  <si>
    <t>CHHOTA SHIGRI GLACIER; GREENLAND ICE-SHEET; MASS-BALANCE; MT. YULONG; SURFACE VELOCITIES; WESTERN HIMALAYA; ENERGY; VARIABILITY; GPS</t>
  </si>
  <si>
    <t>The mass balance of glaciers requires more detailed and continuous observations to understand their seasonal change in relation to climate. Here, we designed and installed an automated real-time monitoring platform at 4645m a.s.l. on the Baishui River Glacier No.1 to collect continuous high-resolution observational data, and analyzed the seasonal dynamic from glacier movement and surface mass balance from glacier melting and snow accumulation. The results showed that the platform moved northeastward similar to 12.9 m at a rate of 0.06 +/- 0.02 m d(-1) between September 2021 and April 2022. The surface mass balance showed a varied temporal period. July and August were the main ablation periods, while ablation decreased and ceased in September. The glacier neither melted nor accumulated much between October and December, but began to have rapid snow accumulation in January. The glacier surface temperature varied with the air temperature and showed significant inter-seasonal differences among monsoon, post-monsoon and winter seasons. The surface mass balance also exhibited a strong response to the air temperature changes, with an average decrease of 1 degrees C the point mass balance increased by 0.11 m w.e. from monsoon to post-monsoon and 0.22 m w.e. from post-monsoon to winter. Moreover, we found snowfall caused a decrease in the glacier surface temperature by increasing the surface albedo.</t>
  </si>
  <si>
    <t>[Wang, Chuya; Yang, Yuande; Ai, Songtao; Wang, Junhao; Li, Leiyu; Li, Fei] Wuhan Univ, Chinese Antarctic Ctr Surveying &amp; Mapping, Wuhan, Peoples R China; [Yang, Yuande; Ai, Songtao; Li, Fei] E China Normal Univ, Minist Educ, Key Lab Polar Mat &amp; Devices, Shanghai, Peoples R China; [Wang, Shijin] Chinese Acad Sci, Northwest Inst Ecoenvironm &amp; Resources, State Key Lab Cryospher Sci, Yulong Snow Mt Glacier &amp; Environm Observat &amp; Res, Lanzhou 730000, Peoples R China; [Che, Yanjun] Yichun Univ, Yichun, Jiangxi, Peoples R China</t>
  </si>
  <si>
    <t>Wuhan University; East China Normal University; Chinese Academy of Sciences; Yichun University</t>
  </si>
  <si>
    <t>Yang, YD (corresponding author), Wuhan Univ, Chinese Antarctic Ctr Surveying &amp; Mapping, Wuhan, Peoples R China.;Yang, YD (corresponding author), E China Normal Univ, Minist Educ, Key Lab Polar Mat &amp; Devices, Shanghai, Peoples R China.;Wang, SJ (corresponding author), Chinese Acad Sci, Northwest Inst Ecoenvironm &amp; Resources, State Key Lab Cryospher Sci, Yulong Snow Mt Glacier &amp; Environm Observat &amp; Res, Lanzhou 730000, Peoples R China.</t>
  </si>
  <si>
    <t>yuandeyang@whu.edu.cn; wangshijin@lzb.ac.cn</t>
  </si>
  <si>
    <t>WANG, JUNHAO/GWU-5051-2022</t>
  </si>
  <si>
    <t>WANG, JUNHAO/0000-0002-4886-1067; Wang, Chuya/0000-0001-5054-2367</t>
  </si>
  <si>
    <t>National Natural Science Foundation of China [42076234, 42101135]; Science and Technology Research Project of Jiangxi Provincial Department of Education [GJJ2201708]</t>
  </si>
  <si>
    <t>National Natural Science Foundation of China(National Natural Science Foundation of China (NSFC)); Science and Technology Research Project of Jiangxi Provincial Department of Education</t>
  </si>
  <si>
    <t>This study is funded by the National Natural Science Foundation of China (grant numbers 42076234, 42101135) and Science and Technology Research Project of Jiangxi Provincial Department of Education (No. GJJ2201708). We are grateful to the staff of the Yulong Snow Mountain Glacier and Environment Observation and Research Station for their help in setting up the platform.</t>
  </si>
  <si>
    <t>2023 SEP 15</t>
  </si>
  <si>
    <t>10.1017/aog.2023.48</t>
  </si>
  <si>
    <t>X0AY1</t>
  </si>
  <si>
    <t>WOS:001095177900001</t>
  </si>
  <si>
    <t>Peng, DM; Zhu, YG; Shumway, SE; Chu, JS; Sumaila, UR</t>
  </si>
  <si>
    <t>Peng, Daomin; Zhu, Yugui; Shumway, Sandra E.; Chu, Jiansong; Sumaila, U. Rashid</t>
  </si>
  <si>
    <t>Supporting Global Blue Economy through Sustainable Molluscan Mariculture with a Focus on China</t>
  </si>
  <si>
    <t>REVIEWS IN FISHERIES SCIENCE &amp; AQUACULTURE</t>
  </si>
  <si>
    <t>Blue economy; molluscan mariculture; sustainable production; environmental pollution; coordination</t>
  </si>
  <si>
    <t>AQUACULTURE; POLLUTION; CHALLENGES; FISHERIES; SHELLFISH; NITROGEN; TRADE</t>
  </si>
  <si>
    <t>Molluscan mariculture has become increasingly common in coastal areas of China with production accounting for similar to 69% of Chinese total mariculture production. In other international locations, however, a possible underutilization of molluscan mariculture may result from hesitancy based on initial environmental impacts. This study investigated the dynamic relationship between the molluscan mariculture industry (MMI) development and environmental quality (solid waste production, total wastewater emissions, and sulfur dioxide emissions) at the meso level. Their relationship trend followed that described by the environmental Kuznets curve theory in similar to 78% of the areas, and similar to 89% of the areas were in a coupled coordination state in most periods. This implied that the healthy development of the MMI can reduce environmental stress. These results should help to alleviate the negative perceptions of some researchers and the public regarding mariculture operation. The findings suggest that China, given its substantial contribution to global blue growth, should further support sustainable molluscan production by developing new strategies and policies and reducing potential negative impacts of mariculture on the environment.</t>
  </si>
  <si>
    <t>[Peng, Daomin; Chu, Jiansong] Ocean Univ China, Coll Marine Life Sci, Qingdao, Peoples R China; [Peng, Daomin; Sumaila, U. Rashid] Univ British Columbia, Inst Oceans &amp; Fisheries, Vancouver, BC, Canada; [Zhu, Yugui] Ocean Univ China, Coll Fisheries, Key Lab Mariculture, Minist Educ, Qingdao, Peoples R China; [Zhu, Yugui; Chu, Jiansong] Southern Marine Sci &amp; Engn Guangdong Lab, Guangzhou, Peoples R China; [Shumway, Sandra E.] Univ Connecticut, Dept Marine Sci, Groton, CT USA; [Sumaila, U. Rashid] Univ British Columbia, Sch Publ Policy &amp; Global Affairs, Vancouver, BC, Canada; [Zhu, Yugui] Ocean Univ China, Coll Fisheries, Key Lab Mariculture, Minist Educ, Qingdao 266003, Peoples R China</t>
  </si>
  <si>
    <t>Ocean University of China; University of British Columbia; Ocean University of China; Southern Marine Science &amp; Engineering Guangdong Laboratory; Southern Marine Science &amp; Engineering Guangdong Laboratory (Guangzhou); University of Connecticut; University of British Columbia; Ocean University of China</t>
  </si>
  <si>
    <t>Zhu, YG (corresponding author), Ocean Univ China, Coll Fisheries, Key Lab Mariculture, Minist Educ, Qingdao 266003, Peoples R China.</t>
  </si>
  <si>
    <t>zhuyugui@ouc.edu.cn</t>
  </si>
  <si>
    <t>Sumaila, U. Rashid/ABE-6475-2020</t>
  </si>
  <si>
    <t>Peng, Daomin/0000-0003-2814-1350</t>
  </si>
  <si>
    <t>National Natural Science Foundation of China [42176234]; Chinese Arctic and Antarctic Creative Program [JDB20210211]</t>
  </si>
  <si>
    <t>National Natural Science Foundation of China(National Natural Science Foundation of China (NSFC)); Chinese Arctic and Antarctic Creative Program</t>
  </si>
  <si>
    <t>This study was supported by the National Natural Science Foundation of China (No. 42176234), and the Chinese Arctic and Antarctic Creative Program (No. JDB20210211).</t>
  </si>
  <si>
    <t>2330-8249</t>
  </si>
  <si>
    <t>2330-8257</t>
  </si>
  <si>
    <t>REV FISH SCI AQUAC</t>
  </si>
  <si>
    <t>Rev. Fish. Sci. Aquac..</t>
  </si>
  <si>
    <t>10.1080/23308249.2023.2260489</t>
  </si>
  <si>
    <t>DQ3T9</t>
  </si>
  <si>
    <t>WOS:001086613600001</t>
  </si>
  <si>
    <t>Potenza, MAC; Cremonesi, L</t>
  </si>
  <si>
    <t>Potenza, Marco A. C.; Cremonesi, Llorenc</t>
  </si>
  <si>
    <t>An overview of the optical characterization of free microparticles and their radiative properties</t>
  </si>
  <si>
    <t>Light scattering; Light extinction; Microparticle optical properties; Aerosol optical properties</t>
  </si>
  <si>
    <t>DISCRETE-DIPOLE APPROXIMATION; ELASTIC LIGHT-SCATTERING; T-MATRIX CALCULATIONS; LIBRADTRAN SOFTWARE PACKAGE; SINGLE-PARTICLE EXTINCTION; Q-SPACE ANALYSIS; REFRACTIVE-INDEX; FRACTAL DIMENSION; DUST GRAINS; ICE CORE</t>
  </si>
  <si>
    <t>We discuss how the range of information available from microparticle analysis can be extended in a number of applications by measuring a specific set of optical properties of individual particles using light scattering. Central to these measurements are the real and imaginary components of the forward scattered field, the former being equal to the extinction cross-section except for a few particle-independent constants. Although still a niche technique, it has some inherent advantages and great potential for particle characterization, especially in the challenging near-wavelength size range. A selection of cases is covered from an experimental point of view, while some essential models are introduced to illustrate the underlying physical phenomena. We present a benchmark of experimental results from the literature and other examples that support optical diagnostics applied in science and industrial processes. As a key point of this work, we show that by accessing the fundamental properties of scatterers the inversion of light scattering data can be avoided. This provides model-independent results closer to application requirements without the drawbacks of case-specific assumptions.</t>
  </si>
  <si>
    <t>[Potenza, Marco A. C.] Univ Milan, Dept Phys, Via Celoria 16, I-20133 Milan, Italy; Univ Milan, CIMAINA, Via Celoria 16, I-20133 Milan, Italy</t>
  </si>
  <si>
    <t>University of Milan; University of Milan</t>
  </si>
  <si>
    <t>Potenza, MAC (corresponding author), Univ Milan, Dept Phys, Via Celoria 16, I-20133 Milan, Italy.</t>
  </si>
  <si>
    <t>marco.potenza@unimi.it</t>
  </si>
  <si>
    <t>Potenza, Marco/0000-0002-9379-6540</t>
  </si>
  <si>
    <t>Italian National Antarctic Research Program (PNRA) [PNRA16 _00231, PNRA18_00058]</t>
  </si>
  <si>
    <t>Italian National Antarctic Research Program (PNRA)(Ministry of Education, Universities and Research (MIUR))</t>
  </si>
  <si>
    <t>The authors acknowledge Marzio Giglio for more than a decade of discussions about light scattering, Tiziano Sanvito and Marco Pallaver of EOS S.r.l. for lending one of the instruments and the corresponding technical support, and the Italian National Antarctic Research Program (PNRA) : this paper is a contribution to the PNRA16 _00231 project OPTAIR and to the PNRA18_00058 project ICE-OPT.</t>
  </si>
  <si>
    <t>10.1016/j.jqsrt.2023.108773</t>
  </si>
  <si>
    <t>T8LI7</t>
  </si>
  <si>
    <t>WOS:001080439000001</t>
  </si>
  <si>
    <t>Liu, QF; Liu, RZ; Zhang, XM; Li, WL; Harner, T; Saini, A; Liu, HY; Yue, FE; Zeng, LX; Zhu, Y; Xing, CY; Li, L; Lee, P; Tong, SR; Wang, WG; Ge, MF; Wang, JJ; Wu, XG; Johannessen, C; Liggio, J; Li, SM; Hung, HY; Xie, ZG; Mabury, SA; Abbatt, JPD</t>
  </si>
  <si>
    <t>Liu, Qifan; Liu, Runzeng; Zhang, Xianming; Li, Wenlong; Harner, Tom; Saini, Amandeep; Liu, Hanyang; Yue, Fange; Zeng, Lixi; Zhu, Ying; Xing, Changyue; Li, Li; Lee, Patrick; Tong, Shengrui; Wang, Weigang; Ge, Maofa; Wang, Jianjun; Wu, Xiaoguo; Johannessen, Cassandra; Liggio, John; Li, Shao-Meng; Hung, Hayley; Xie, Zhouging; Mabury, Scott A.; Abbatt, Jonathan P. D.</t>
  </si>
  <si>
    <t>Oxidation of commercial antioxidants is driving increasing atmospheric abundance of organophosphate esters Implication for global regulation</t>
  </si>
  <si>
    <t>ONE EARTH</t>
  </si>
  <si>
    <t>PERSISTENT ORGANIC POLLUTANTS; FLAME RETARDANTS; CHEMICALS; DEGRADATION; OZONE</t>
  </si>
  <si>
    <t>SCIENCE FOR SOCIETY Organophosphate esters (OPEs), a group of synthetic chemicals widely used as flame retardants, are ubiquitously present in the global environment, including urban, rural, and polar regions. Recent studies indicate that OPEs can harm ecosystems and human health, including increased cancer risks. In response to the potential environmental and health risks posed by OPEs, seven states in the United States and the European Union have issued regulations on OPEs, including limiting or prohibiting their use in commercial products. Our results suggest that OPEs are not only emitted from known sources such as flame retardants but can also be produced when other commercial chemicals are transformed in the air. This implies that existing OPE regulations designed to limit OPE pollution may not be sufficient. Our study emphasizes the need for more comprehensive policies to control environmental OPEs.</t>
  </si>
  <si>
    <t>[Liu, Qifan; Liu, Hanyang; Yue, Fange; Xie, Zhouging] Univ Sci &amp; Technol China, Dept Environm Sci &amp; Engn, Anhui Key Lab Polar Environm &amp; Global Change, Hefei 230026, Peoples R China; [Liu, Runzeng] Shandong Univ, Sch Environm Sci &amp; Engn, Shandong Key Lab Environm Proc &amp; Hlth, Qingdao 266237, Peoples R China; [Liu, Qifan; Xie, Zhouging] Univ Sci &amp; Technol China, State Key Lab Fire Sci, Hefei 266237, Peoples R China; [Liu, Qifan; Liu, Runzeng; Mabury, Scott A.; Abbatt, Jonathan P. D.] Univ Toronto, Dept Chem, Toronto, ON M5S 3H6, Canada; [Zhang, Xianming; Johannessen, Cassandra] Concordia Univ, Dept Chem &amp; Biochem, 7141 Sherbrooke St West, Montreal, PQ H4B 1R6, Canada; [Li, Wenlong] Xiamen Univ, Coll Environm &amp; Ecol, Xiamen 361102, Peoples R China; [Li, Wenlong; Harner, Tom; Saini, Amandeep; Lee, Patrick; Liggio, John; Hung, Hayley] Environm &amp; Climate Change Canada, Air Qual Proc Res Sect, Toronto, ON M3H 5T4, Canada; [Zeng, Lixi] Jinan Univ, Sch Environm, Guangdong Key Lab Environm Pollut &amp; Hlth, Guangzhou 511443, Peoples R China; [Zhu, Ying] Shanghai Jiao Tong Univ, Sch Environm Sci &amp; Engn, State Environm Protect Key Lab Environm Hlth Impac, Shanghai 200240, Peoples R China; [Li, Li] Univ Nevada Reno, Sch Publ Hlth, Reno, NV 89557 USA; [Tong, Shengrui; Wang, Weigang; Ge, Maofa] Chinese Acad Sci, Inst Chem, CAS Res Educ Ctr Excellence Mol Sci, State Key Lab Struct Chem Unstable &amp; Stable Specie, Beijing 100190, Peoples R China; [Wang, Jianjun] Minist Nat Resources, Inst Oceanog 3, Xiamen 361005, Peoples R China; [Wang, Jianjun] Hainan Univ, State Key Lab Marine Resource Utilizat South China, Haikou 570228, Peoples R China; [Wu, Xiaoguo] Anhui Normal Univ, Coll Environm Sci &amp; Engn, Wuhu 241002, Peoples R China; [Li, Shao-Meng] Peking Univ, Coll Environm Sci &amp; Engn, State Key Joint Lab Environm Simulat &amp; Pollut Cont, Beijing 100871, Peoples R China</t>
  </si>
  <si>
    <t>Chinese Academy of Sciences; University of Science &amp; Technology of China, CAS; Shandong University; Chinese Academy of Sciences; University of Science &amp; Technology of China, CAS; University of Toronto; Concordia University - Canada; Xiamen University; Environment &amp; Climate Change Canada; Jinan University; Shanghai Jiao Tong University; Nevada System of Higher Education (NSHE); University of Nevada Reno; Chinese Academy of Sciences; Institute of Chemistry, CAS; Ministry of Natural Resources of the People's Republic of China; Third Institute of Oceanography, Ministry of Natural Resources; Hainan University; Anhui Normal University; Peking University</t>
  </si>
  <si>
    <t>Liu, QF; Xie, ZG (corresponding author), Univ Sci &amp; Technol China, Dept Environm Sci &amp; Engn, Anhui Key Lab Polar Environm &amp; Global Change, Hefei 230026, Peoples R China.;Liu, QF; Xie, ZG (corresponding author), Univ Sci &amp; Technol China, State Key Lab Fire Sci, Hefei 266237, Peoples R China.;Liu, QF; Mabury, SA; Abbatt, JPD (corresponding author), Univ Toronto, Dept Chem, Toronto, ON M5S 3H6, Canada.;Hung, HY (corresponding author), Environm &amp; Climate Change Canada, Air Qual Proc Res Sect, Toronto, ON M3H 5T4, Canada.</t>
  </si>
  <si>
    <t>hayley.hung@ec.gc.ca; hayley.hung@ec.gc.ca; zqxie@ustc.edu.cn; scott.mabury@utoronto.ca; jonathan.abbatt@utoronto.ca</t>
  </si>
  <si>
    <t>Wang, Weigang/AAP-9888-2021; Li, Wenlong/IUQ-8636-2023; Zhang, Xianming/A-2926-2010; Zhu, Ying/K-2797-2012</t>
  </si>
  <si>
    <t>Wang, Weigang/0000-0002-9798-4020; Li, Wenlong/0000-0003-3564-1708; Liu, Qifan/0000-0003-0033-5313; Zhang, Xianming/0000-0002-5301-7899; Zhu, Ying/0000-0002-2534-290X</t>
  </si>
  <si>
    <t>National Natural Science Foundation of China [42275101]; Shandong Provincial Natural Science Foundation, China [ZR2023JQ007]; Alfred P. Sloan Foundation [FG-2019-11404]; Natural Sciences and Engineering Research Council of Canada (NSERC) [RGPIN-2017-05972]; NSERC [DGECR-2021-00307]; Crown-Indigenous Relations and Northern Affairs Canada's Northern Contaminants Program; Government of Canada's Chemicals Management Plan [GCXE22S061]; NSFC [42130606]; Chinese Arctic and Antarctic Administration</t>
  </si>
  <si>
    <t>National Natural Science Foundation of China(National Natural Science Foundation of China (NSFC)); Shandong Provincial Natural Science Foundation, China(Natural Science Foundation of Shandong Province); Alfred P. Sloan Foundation(Alfred P. Sloan Foundation); Natural Sciences and Engineering Research Council of Canada (NSERC)(Natural Sciences and Engineering Research Council of Canada (NSERC)); NSERC(Natural Sciences and Engineering Research Council of Canada (NSERC)); Crown-Indigenous Relations and Northern Affairs Canada's Northern Contaminants Program; Government of Canada's Chemicals Management Plan; NSFC(National Natural Science Foundation of China (NSFC)); Chinese Arctic and Antarctic Administration</t>
  </si>
  <si>
    <t>We thank the Canadian Forces Station Alert for supporting data collection at the High Arctic Station of Alert. We thank David Harnish for help in securing Toronto air samples from the NAPS program of ECCC. Q.L. was supported by the National Natural Science Foundation of China (NSFC; 42275101) . R. L. was supported by Shandong Provincial Natural Science Foundation, China (ZR2023JQ007) . J.P.D.A. was supported by the Alfred P. Sloan Foundation (FG-2019-11404) and Natural Sciences and Engineering Research Council of Canada (NSERC; RGPIN-2017-05972) . S.A.M. was supported by NSERC. X.Z. was supported by NSERC (DGECR-2021-00307) . H.H. was supported by Crown-Indigenous Relations and Northern Affairs Canada's Northern Contaminants Program, with partial funding from the Government of Canada's Chemicals Management Plan. T.H. was supported by Government of Canada's Chemicals Management Plan. L.L. was supported by Environment and Climate Change Canada (GCXE22S061) . Z.X. was supported by the NSFC (41941014) and Chinese Arctic and Antarctic Administration. L.Z. was supported by NSFC (22076064) . Y.Z. was supported by NSFC (41977359) . M.G. was supported by NSFC (42130606) . This work does not reflect any regulatory conclusions for any substances mentioned.</t>
  </si>
  <si>
    <t>2590-3330</t>
  </si>
  <si>
    <t>2590-3322</t>
  </si>
  <si>
    <t>One Earth</t>
  </si>
  <si>
    <t>10.1016/j.oneear.2023.08.004</t>
  </si>
  <si>
    <t>T8GV7</t>
  </si>
  <si>
    <t>WOS:001080319900001</t>
  </si>
  <si>
    <t>Rodríguez, R; Barra, PJ; Larama, G; Carrion, VJ; Mora, MD; Hale, L; Durán, P</t>
  </si>
  <si>
    <t>Rodriguez, Rodrigo; Barra, Patricio J.; Larama, Giovanni; Carrion, Victor J.; Mora, Maria de la Luz; Hale, Lauren; Duran, Paola</t>
  </si>
  <si>
    <t>Microbiome engineering optimized by Antarctic microbiota to support a plant host under water deficit</t>
  </si>
  <si>
    <t>Antarctic microbiome; sustainable agriculture; climate change; microbiome transplant; water deficit stress; Host Mediated Microbiota Selection (HMMS); extreme environment</t>
  </si>
  <si>
    <t>GAEUMANNOMYCES-GRAMINIS; BACTERIAL COMMUNITIES; SOIL; RESPONSES; DROUGHT; WHEAT; TOLERANCE; FUNGAL; INOCULATION; METABOLISM</t>
  </si>
  <si>
    <t>Climate change challenges modern agriculture to develop alternative and eco-friendly solutions to alleviate abiotic and/or biotic stresses. The use of soil microbiomes from extreme environments opens new avenues to discover novel microorganisms and microbial functions to protect plants. In this study we confirm the ability of a bioinoculant, generated by natural engineering, to promote host development under water stress. Microbiome engineering was mediated through three factors i) Antarctic soil donation, ii) water deficit and iii) multigenerational tomato host selection. We revealed that tomato plants growing in soils supplemented with Antarctic microbiota were tolerant to water deficit stress after 10 generations. A clear increase in tomato seedling tolerance against water deficit stress was observed in all soils over generations of Host Mediated Microbiome Engineering, being Fildes mixture the most representatives, which was evidenced by an increased survival time, plant stress index, biomass accumulation, and decreased leaf proline content. Microbial community analysis using 16s rRNA gene amplicon sequencing data suggested a microbiome restructuring that could be associated with increased tolerance of water deficit. Additionally, the results showed a significant increase in the relative abundance of Candidatus Nitrosocosmicus and Bacillus spp. which could be key taxa associated with the observed tolerance improvement. We proposed that in situ microbiota engineering through the evolution of three factors (long-standing extreme climate adaption and host and stress selection) could represent a promising strategy for novel generation of microbial inoculants.</t>
  </si>
  <si>
    <t>[Rodriguez, Rodrigo] Univ La Frontera, Programa Doctorado Ciencias Recursos Nat, Temuco, Chile; [Rodriguez, Rodrigo; Barra, Patricio J.; Larama, Giovanni; Duran, Paola] Univ La Frontera, Biocontrol Res Lab, Temuco, Chile; [Rodriguez, Rodrigo] Agroscientific SpA, Temuco, Chile; [Barra, Patricio J.; Mora, Maria de la Luz; Duran, Paola] Univ La Frontera, Ctr Plant Soil Interact &amp; Nat Resources Biotechnol, Temuco, Chile; [Carrion, Victor J.] Leiden Univ, Inst Biol, Leiden, Netherlands; [Hale, Lauren] USDA, San Joaquin Valley Agr Sci Ctr, Agr Res Serv, Parlier, CA USA; [Duran, Paola] Univ La Frontera, Fac Ciencias Agr &amp; Medioambiente, Dept Prod Agr, Temuco, Chile</t>
  </si>
  <si>
    <t>Universidad de La Frontera; Universidad de La Frontera; Universidad de La Frontera; Leiden University; Leiden University - Excl LUMC; United States Department of Agriculture (USDA); Universidad de La Frontera</t>
  </si>
  <si>
    <t>Barra, PJ; Durán, P (corresponding author), Univ La Frontera, Biocontrol Res Lab, Temuco, Chile.;Barra, PJ; Durán, P (corresponding author), Univ La Frontera, Ctr Plant Soil Interact &amp; Nat Resources Biotechnol, Temuco, Chile.;Durán, P (corresponding author), Univ La Frontera, Fac Ciencias Agr &amp; Medioambiente, Dept Prod Agr, Temuco, Chile.</t>
  </si>
  <si>
    <t>patricio.barra@ufrontera.cl</t>
  </si>
  <si>
    <t>Mora Gil, Maria Luz/AAT-4081-2021; Larama, Giovanni/O-2745-2019; Barra, Patricio Javier/Z-5042-2019</t>
  </si>
  <si>
    <t>Mora Gil, Maria Luz/0000-0002-7474-1595; Barra, Patricio Javier/0000-0003-4145-3084; Rodriguez, Rodrigo/0000-0003-0991-5939</t>
  </si>
  <si>
    <t>This study was supported by the Instituto Antrtico Chileno (INACH), Regular project RT_06-17 from the Chilean government, Agencia Nacional de Investigacin y Desarrollo (ANID)-FONDECYT regular project No. 1201196 and Initiation project No. 1 [RT_06-17]; Instituto Antrtico Chileno (INACH) [1201196, 11200377]; Chilean government, Agencia Nacional de Investigacin y Desarrollo (ANID)-FONDECYT [3230478]; Fondecyt Postdoctoral project</t>
  </si>
  <si>
    <t>This study was supported by the Instituto Antrtico Chileno (INACH), Regular project RT_06-17 from the Chilean government, Agencia Nacional de Investigacin y Desarrollo (ANID)-FONDECYT regular project No. 1201196 and Initiation project No. 1; Instituto Antrtico Chileno (INACH); Chilean government, Agencia Nacional de Investigacin y Desarrollo (ANID)-FONDECYT; Fondecyt Postdoctoral project(Comision Nacional de Investigacion Cientifica y Tecnologica (CONICYT)CONICYT FONDECYT)</t>
  </si>
  <si>
    <t>This study was supported by the Instituto Antartico Chileno (INACH), Regular project RT_06-17 from the Chilean government, Agencia Nacional de Investigacion y Desarrollo (ANID)-FONDECYT regular project No. 1201196 and Initiation project No. 11200377 and Fondecyt Postdoctoral project 3230478.r This study was supported by the Instituto Antartico Chileno (INACH), Regular project RT_06-17 from the Chilean government, Agencia Nacional de Investigacion y Desarrollo (ANID)-FONDECYT regular project No. 1201196 and Initiation project No. 11200377 and Fondecyt Postdoctoral project 3230478.</t>
  </si>
  <si>
    <t>10.3389/fpls.2023.1241612</t>
  </si>
  <si>
    <t>T0YH1</t>
  </si>
  <si>
    <t>WOS:001075326400001</t>
  </si>
  <si>
    <t>Dawson, HM; Connors, E; Erazo, NG; Sacks, JS; Mierzejewski, V; Rundell, SM; Carlson, LT; Deming, JW; Ingalls, AE; Bowman, JS; Young, JN</t>
  </si>
  <si>
    <t>Dawson, H. M.; Connors, E.; Erazo, N. G.; Sacks, J. S.; Mierzejewski, V.; Rundell, S. M.; Carlson, L. T.; Deming, J. W.; Ingalls, A. E.; Bowman, J. S.; Young, J. N.</t>
  </si>
  <si>
    <t>Microbial metabolomic responses to changes in temperature and salinity along the western Antarctic Peninsula</t>
  </si>
  <si>
    <t>SEA-ICE; FRAGILARIOPSIS-CYLINDRUS; COMMUNITY COMPOSITION; BACTERIAL COMMUNITY; ORGANIC-MATTER; PHYTOPLANKTON; METABOLITES; SURFACE; CARBON; MICROORGANISMS</t>
  </si>
  <si>
    <t>Seasonal cycles within the marginal ice zones in polar regions include large shifts in temperature and salinity that strongly influence microbial abundance and physiology. However, the combined effects of concurrent temperature and salinity change on microbial community structure and biochemical composition during transitions between seawater and sea ice are not well understood. Coastal marine communities along the western Antarctic Peninsula were sampled and surface seawater was incubated at combinations of temperature and salinity mimicking the formation (cold, salty) and melting (warm, fresh) of sea ice to evaluate how these factors may shape community composition and particulate metabolite pools during seasonal transitions. Bacterial and algal community structures were tightly coupled to each other and distinct across sea-ice, seawater, and sea-ice-meltwater field samples, with unique metabolite profiles in each habitat. During short-term (approximately 10-day) incubations of seawater microbial communities under different temperature and salinity conditions, community compositions changed minimally while metabolite pools shifted greatly, strongly accumulating compatible solutes like proline and glycine betaine under cold and salty conditions. Lower salinities reduced total metabolite concentrations in particulate matter, which may indicate a release of metabolites into the labile dissolved organic matter pool. Low salinity also increased acylcarnitine concentrations in particulate matter, suggesting a potential for fatty acid degradation and reduced nutritional value at the base of the food web during freshening. Our findings have consequences for food web dynamics, microbial interactions, and carbon cycling as polar regions undergo rapid climate change.</t>
  </si>
  <si>
    <t>[Dawson, H. M.; Sacks, J. S.; Rundell, S. M.; Carlson, L. T.; Deming, J. W.; Ingalls, A. E.; Young, J. N.] Univ Washington, Sch Oceanog, Seattle, WA 98195 USA; [Connors, E.; Erazo, N. G.; Bowman, J. S.] Univ Calif San Diego, Scripps Inst Oceanog, La Jolla, CA 92037 USA; [Erazo, N. G.; Bowman, J. S.] Univ Calif San Diego, Ctr Marine Biodivers &amp; Conservat, La Jolla, CA 92037 USA; [Mierzejewski, V.] Arizona State Univ, Sch Earth &amp; Space Explorat, Tempe, AZ 85287 USA; [Bowman, J. S.] Univ Calif San Diego, Ctr Microbiome Innovat, La Jolla, CA 92037 USA</t>
  </si>
  <si>
    <t>University of Washington; University of Washington Seattle; University of California System; University of California San Diego; Scripps Institution of Oceanography; University of California System; University of California San Diego; Arizona State University; Arizona State University-Tempe; University of California System; University of California San Diego</t>
  </si>
  <si>
    <t>Dawson, HM; Young, JN (corresponding author), Univ Washington, Sch Oceanog, Seattle, WA 98195 USA.</t>
  </si>
  <si>
    <t>hmdawson@uw.edu; youngjn@uw.edu</t>
  </si>
  <si>
    <t>Sacks, Joshua/JJF-1469-2023</t>
  </si>
  <si>
    <t>Dawson, Hannah/0000-0003-2010-3536; Sacks, Joshua/0000-0002-8513-0589; Erazo, Natalia/0000-0002-7498-0860; Bowman, Jeff/0000-0002-8811-6280; Ingalls, Anitra/0000-0003-1953-7329; Connors, Elizabeth/0000-0002-4992-4218</t>
  </si>
  <si>
    <t>We would like to thank Ben Van Mooy for the opportunity to sample sea ice; Rebecca Trinh, Jack Conroy, and Shawnee Traylor-Biglio for help with sample collection during the 2018 field season at Palmer Station; Shelly Carpenter for performing EPS measuremen</t>
  </si>
  <si>
    <t>We would like to thank Ben Van Mooy for the opportunity to sample sea ice; Rebecca Trinh, Jack Conroy, and Shawnee Traylor-Biglio for help with sample collection during the 2018 field season at Palmer Station; Shelly Carpenter for performing EPS measurements; Aaron Morello and the UW Marine Chemistry Lab for assistance with CHN, nutrient, DOC, and chlorophyll analysis; Katherine Heal and Angie Boysen for data processing advice; Will Kumler for statistics and figure advice; Rachel Liu for figure design advice; and the staff of Palmer Station for their assistance.</t>
  </si>
  <si>
    <t>10.1038/s41396-023-01475-0</t>
  </si>
  <si>
    <t>U2YT0</t>
  </si>
  <si>
    <t>WOS:001065524000001</t>
  </si>
  <si>
    <t>Nielsen, OJ; Andersen, MPS</t>
  </si>
  <si>
    <t>Nielsen, Ole J.; Sulbaek Andersen, Mads P.</t>
  </si>
  <si>
    <t>Hydrofluorocarbons, Climate, and Health</t>
  </si>
  <si>
    <t>NEW ENGLAND JOURNAL OF MEDICINE</t>
  </si>
  <si>
    <t>To the Editor: In his Perspective article, Woodcock (June 29 issue)(1) appropriately praises the effectiveness of the Montreal Protocol and argues for increased phasedown of hydrofluorocarbons (HFCs). However, there are three points that we think require some corrective clarification. First, the Antarctic ozone hole was not the proof of Rowland and Molina's laboratory results. Computer models in the early 1980s, which included the Rowland-Molina chlorine-catalyzed ozone destruction mechanism, predicted small and slowly developing negative trends in stratospheric ozone, in reasonable agreement with contemporary observations.(2) The appearance of the ozone hole surprised the entire scientific community, was catalyzed by surface chemistry,(3) . . .</t>
  </si>
  <si>
    <t>[Nielsen, Ole J.] Univ Copenhagen, Copenhagen, Denmark; [Sulbaek Andersen, Mads P.] Calif State Univ Northridge, Northridge, CA USA</t>
  </si>
  <si>
    <t>University of Copenhagen; California State University System; California State University Northridge</t>
  </si>
  <si>
    <t>Nielsen, OJ (corresponding author), Univ Copenhagen, Copenhagen, Denmark.</t>
  </si>
  <si>
    <t>ojn@chem.ku.dk</t>
  </si>
  <si>
    <t>Sulbaek Andersen, Mads/C-4708-2008; Nielsen, Ole John/B-9988-2011</t>
  </si>
  <si>
    <t>Sulbaek Andersen, Mads/0000-0002-7976-5852; Nielsen, Ole John/0000-0002-0088-3937</t>
  </si>
  <si>
    <t>MASSACHUSETTS MEDICAL SOC</t>
  </si>
  <si>
    <t>WALTHAM</t>
  </si>
  <si>
    <t>WALTHAM WOODS CENTER, 860 WINTER ST,, WALTHAM, MA 02451-1413 USA</t>
  </si>
  <si>
    <t>0028-4793</t>
  </si>
  <si>
    <t>1533-4406</t>
  </si>
  <si>
    <t>NEW ENGL J MED</t>
  </si>
  <si>
    <t>N. Engl. J. Med.</t>
  </si>
  <si>
    <t>SEP 14</t>
  </si>
  <si>
    <t>10.1056/NEJMc2308778</t>
  </si>
  <si>
    <t>Medicine, General &amp; Internal</t>
  </si>
  <si>
    <t>General &amp; Internal Medicine</t>
  </si>
  <si>
    <t>EZ7S5</t>
  </si>
  <si>
    <t>WOS:001142831800010</t>
  </si>
  <si>
    <t>Charlton, C; Christiansen, F; Ward, R; Mackay, AI; Andrews-Goff, V; Zerbini, AN; Childerhouse, S; Guggenheimer, S; O'Shannessy, B; Brownell, RL Jr</t>
  </si>
  <si>
    <t>Charlton, Claire; Christiansen, Fredrik; Ward, Rhianne; Mackay, Alice I.; Andrews-Goff, Virginia; Zerbini, Alexandre N.; Childerhouse, Simon; Guggenheimer, Sacha; O'Shannessy, Bridgette; Brownell, Jr Robert L.</t>
  </si>
  <si>
    <t>Evaluating short- to medium-term effects of implantable satellite tags on southern right whales Eubalaena australis</t>
  </si>
  <si>
    <t>DISEASES OF AQUATIC ORGANISMS</t>
  </si>
  <si>
    <t>Satellite tracking; Skin condition; Effects; Cetacean; Health; Body condition; Follow-up-study</t>
  </si>
  <si>
    <t>MONITORED MOVEMENTS; ABUNDANCE; BEHAVIOR; TRAUMA</t>
  </si>
  <si>
    <t>Improving our understanding of the effects of satellite tags on large whales is a critical step in ongoing tag development to minimise potential health effects whilst addressing important research questions that enhance conservation management policy. In 2014, satellite tags were deployed on 9 female southern right whales Eubalaena australis accompanied by a calf off Australia. Photo-identification resights (n = 48) of 4 photo-identified individuals were recorded 1 to 2894 d (1-8 yr) post-tagging. Short-term (&lt;22 d) effects observed included localised and regional swelling, depression at the tag site, blubber extrusion, skin loss and pigmentation colour change. Broad swelling observable from lateral but not aerial imagery (similar to 1.2 m diameter or similar to 9% of body length) and depression at the tag site persisted up to 1446 d post-tagging for 1 individual, indicating a persistent foreign-body response or infection. Two tagged individuals returned 4 yr post-tagging in 2018 with a calf, and the medium-term effects were evaluated by comparing body condition of tagged whales with non-tagged whales. These females calved in a typical 4 yr interval, suggesting no apparent immediate impact of tagging on reproduction for these individuals, but longer-term monitoring is needed. There was no observable difference in the body condition between the 2 tagged and non-tagged females. Ongoing monitoring post-tagging is required to build on the sample size and statistical power. We demonstrate the value of long-term monitoring programmes and a collaborative approach for evaluating effects from satellite-tagging cetaceans to support species management.</t>
  </si>
  <si>
    <t>[Charlton, Claire; Ward, Rhianne] Curtin Univ, Ctr Marine Sci &amp; Technol, Perth, WA 6102, Australia; [Charlton, Claire; Guggenheimer, Sacha; O'Shannessy, Bridgette] Current Environm, Perth, WA 6050, Australia; [Christiansen, Fredrik] Aarhus Univ, Dept Ecosci Marine Mammal Res, DK-8000 Roskilde, Denmark; [Mackay, Alice I.] South Australian Res &amp; Dev Inst, West Beach, SA 5024, Australia; [Andrews-Goff, Virginia] Australian Antarctic Div, Dept Climate Change Energy Environm &amp; Water, Kingston, Tas 7050, Australia; [Zerbini, Alexandre N.] Univ Washington, Cooperat Inst Climate Ocean &amp; Ecosyst Studies CIC, Seattle, WA 98115 USA; [Zerbini, Alexandre N.] NOAA, Marine Mammal Lab, Alaska Fisheries Sci Ctr, Seattle, WA 98115 USA; [Zerbini, Alexandre N.] Marine Ecol &amp; Telemetry Res, Seabeck, WA 98380 USA; [Zerbini, Alexandre N.] Cascadia Res Collect, Olympia, WA 98501 USA; [Zerbini, Alexandre N.] Inst Aqualie, BR-36033310 Juiz De Fora, MG, Brazil; [Childerhouse, Simon] Cawthron Inst, Nelson 7010, New Zealand; [Brownell, Jr Robert L.] NOAA Fisheries, Southwest Fisheries Sci Ctr, Monterey, CA 93940 USA</t>
  </si>
  <si>
    <t>Curtin University; Aarhus University; South Australian Research &amp; Development Institute (SARDI); Australian Antarctic Division; University of Washington; University of Washington Seattle; National Oceanic Atmospheric Admin (NOAA) - USA; Cawthron Institute; National Oceanic Atmospheric Admin (NOAA) - USA</t>
  </si>
  <si>
    <t>Charlton, C (corresponding author), Curtin Univ, Ctr Marine Sci &amp; Technol, Perth, WA 6102, Australia.;Charlton, C (corresponding author), Current Environm, Perth, WA 6050, Australia.</t>
  </si>
  <si>
    <t>claire@currentenvironmental.net</t>
  </si>
  <si>
    <t>Murphy Oil Australia; Santos Energy; Minderoo Foundation Flourishing Oceans</t>
  </si>
  <si>
    <t>Professor Robert McCauley from Curtin University's Centre for Marine Science and Technology is thanked for his project management of the long term study, ongoing support and review of an early report version of the manuscript. We thank the Curtin University Great Australian Bight Right Whale Study for collection of these data, in particular for collection of data by Olivia Marsh in 2018 and Alice Morrison during 2016-2021. Body condition and resights for 2018 were collected by Shane Dickeson and Hunter Warick at Murdoch University, with Lars Bejder providing financial support. Long-term life history data were contributed by Stephen Burnell of the Oceans Institute, University of Western Australia. Citizen Scientists Linda Irwin, Sandra Caballero and Elizabeth Steele-Collins are acknowledged for the contribution of the tagged whale resighting data from Flinders Chase, South Australia in 2022. Funding for 2014-2018 was provided by Murphy Oil Australia and Santos Energy (Karoon gas in 2018), Current Environmental in 2021 and Minderoo Foundation Flourishing Oceans in 2022, and in-kind support was provided by Aboriginal Lands Trust, Yalata Community, Curtin University, South Australian Museum and Eubalaena Pty. Ltd. Connor McGarry reviewed the final manuscript.Professor Robert McCauley from Curtin University's Centre for Marine Science and Technology is thanked for his project management of the long term study, ongoing support and review of an early report version of the manuscript. We thank the Curtin University Great Australian Bight Right Whale Study for collection of these data, in particular for collection of data by Olivia Marsh in 2018 and Alice Morrison during 2016-2021. Body condition and resights for 2018 were collected by Shane Dickeson and Hunter Warick at Murdoch University, with Lars Bejder providing financial support. Long-term life history data were contributed by Stephen Burnell of the Oceans Institute, University of Western Australia. Citizen Scientists Linda Irwin, Sandra Caballero and Elizabeth Steele-Collins are acknowledged for the contribution of the tagged whale resighting data from Flinders Chase, South Australia in 2022. Funding for 2014-2018 was provided by Murphy Oil Australia and Santos Energy (Karoon gas in 2018), Current Environmental in 2021 and Minderoo Foundation Flourishing Oceans in 2022, and in-kind support was provided by Aboriginal Lands Trust, Yalata Community, Curtin University, South Australian Museum and Eubalaena Pty. Ltd. Connor McGarry reviewed the final manuscript.</t>
  </si>
  <si>
    <t>0177-5103</t>
  </si>
  <si>
    <t>1616-1580</t>
  </si>
  <si>
    <t>DIS AQUAT ORGAN</t>
  </si>
  <si>
    <t>Dis. Aquat. Org.</t>
  </si>
  <si>
    <t>10.3354/dao03730</t>
  </si>
  <si>
    <t>Fisheries; Veterinary Sciences</t>
  </si>
  <si>
    <t>T7OF3</t>
  </si>
  <si>
    <t>WOS:001079832400001</t>
  </si>
  <si>
    <t>Conroy, G</t>
  </si>
  <si>
    <t>Conroy, Gemma</t>
  </si>
  <si>
    <t>Antarctic research stations have polluted a pristine wilderness</t>
  </si>
  <si>
    <t>Environmental sciences; Sustainability; Scientific community</t>
  </si>
  <si>
    <t>Historical bad practices have left a legacy of pollution, but efforts are under way to chart a better future.</t>
  </si>
  <si>
    <t>10.1038/d41586-023-02740-0</t>
  </si>
  <si>
    <t>S9KW8</t>
  </si>
  <si>
    <t>WOS:001074292100010</t>
  </si>
  <si>
    <t>Elshishka, M; Mladenov, A; Lazarova, S; Peneva, V</t>
  </si>
  <si>
    <t>Elshishka, Milka; Mladenov, Aleksandar; Lazarova, Stela; Peneva, Vlada</t>
  </si>
  <si>
    <t>Terrestrial nematodes from the Maritime Antarctic</t>
  </si>
  <si>
    <t>endemics; distribution; DNA sequences; species</t>
  </si>
  <si>
    <t>FREE-LIVING NEMATODES; DIVERSITY; ISLAND; MONONCHIDA; DORYLAIMIDAE; COMMUNITIES; ECOSYSTEMS; JAIRAJPURI; DISPERSAL; TOLERANCE</t>
  </si>
  <si>
    <t>BackgroundSoil nematodes are one of the most important terrestrial faunal groups in Antarctica, as they are a major component of soil micro-food webs. Despite their crucial role in soil processes, knowledge of their species diversity and distribution is still incomplete. Taxonomic studies of Antarctic nematodes are fragmented, which prevents assessment of the degree of endemicity and distribution of the species, as well as other aspects of biogeography.New informationThe present study is focused on the nematode fauna of one of the three Antarctic sub-regions, the Maritime Antarctic and summarises all findings published up to April 2023. A species list that includes 44 species, belonging to 21 genera, 16 families and eight orders is provided. A review of the literature on terrestrial nematodes inhabiting the Maritime Antarctic showed that the sites are unevenly studied. Three islands (Signy, King George and Livingston Islands) revealed highest species richness, probably due to the highest rates of research effort. Most species and four genera (Antarctenchus, Pararhyssocolpus, Amblydorylaimus and Enchodeloides) are endemic, proving that nematode fauna of the Maritime Antarctic is autochthonous and unique. Several groups of islands/sites have been revealed, based on their nematode fauna. The study showed that species with a limited distribution prevailed, while only two species (Plectus antarcticus and Coomansus gerlachei) have been found in more than 50% of the sites. Based on the literature data, details on species localities, microhabitat distribution, plant associations and availability of DNA sequences are provided.</t>
  </si>
  <si>
    <t>[Elshishka, Milka; Mladenov, Aleksandar; Lazarova, Stela; Peneva, Vlada] Bulgarian Acad Sci, Inst Biodivers &amp; Ecosyst Res, 2 Gagarin St, Sofia 1113, Bulgaria</t>
  </si>
  <si>
    <t>Bulgarian Academy of Sciences</t>
  </si>
  <si>
    <t>Elshishka, M (corresponding author), Bulgarian Acad Sci, Inst Biodivers &amp; Ecosyst Res, 2 Gagarin St, Sofia 1113, Bulgaria.</t>
  </si>
  <si>
    <t>melshishka@gmail.com</t>
  </si>
  <si>
    <t>Programme for career development of young scientists, Bulgarian Academy of Sciences [80-10-214]; National Centre for Polar Studies, Sofia University St. Kliment Ohridski; Bulgarian Academy of Sciences; ANIDIV4</t>
  </si>
  <si>
    <t>Programme for career development of young scientists, Bulgarian Academy of Sciences; National Centre for Polar Studies, Sofia University St. Kliment Ohridski; Bulgarian Academy of Sciences; ANIDIV4</t>
  </si>
  <si>
    <t>This study was funded by the Programme for career development of young scientists, Bulgarian Academy of Sciences, the project No 80-10-214, National Centre for Polar Studies, Sofia University St. Kliment Ohridski and ANIDIV4, Bulgarian Academy of Sciences. The authors are thankful to Prof. Aneta Kostadinova from the Institute of Biodiversity and Ecosystem Research, Bulgarian Academy of Sciences, for the critical reading of the manuscript and helpful suggestions.</t>
  </si>
  <si>
    <t>e102057</t>
  </si>
  <si>
    <t>10.3897/BDJ.11.e102057</t>
  </si>
  <si>
    <t>T0NO6</t>
  </si>
  <si>
    <t>WOS:001075042700001</t>
  </si>
  <si>
    <t>Liu, SJ; Tian, F; Qi, DL; Qi, HF; Wang, Y; Xu, SX; Zhao, K</t>
  </si>
  <si>
    <t>Liu, Sijia; Tian, Fei; Qi, Delin; Qi, Hongfang; Wang, Yang; Xu, Shixiao; Zhao, Kai</t>
  </si>
  <si>
    <t>Physiological, metabolomic, and transcriptomic reveal metabolic pathway alterations in Gymnocypris przewalskii due to cold exposure</t>
  </si>
  <si>
    <t>BMC GENOMICS</t>
  </si>
  <si>
    <t>Cold adaptation; Gymnocypris przewalskii; Transcriptome; Metabolome</t>
  </si>
  <si>
    <t>FATTY-ACID-COMPOSITION; MILKFISH CHANOS-CHANOS; DE-NOVO ANNOTATION; LOW-TEMPERATURE; ENERGY-METABOLISM; QINGHAI LAKE; EPINEPHELUS-COIOIDES; ANTARCTIC FISH; LIVER; ACCLIMATION</t>
  </si>
  <si>
    <t>Teleost fish have evolved various adaptations that allow them to tolerate cold water conditions. However, the underlying mechanism of this adaptation is poorly understood in Tibetan Plateau fish. RNA-seq combined with liquid chromatography-mass spectrometry (LC-MS/MS) metabolomics was used to investigate the physiological responses of a Tibetan Plateau-specific teleost, Gymnocypris przewalskii, under cold conditions. The 8-month G. przewalskii juvenile fish were exposed to cold (4 celcius, cold acclimation, CA) and warm (17 celcius, normal temperature, NT) temperature water for 15 days. Then, the transcript profiles of eight tissues, including the brain, gill, heart, intestine, hepatopancreas, kidney, muscle, and skin, were evaluated by transcriptome sequencing. The metabolites of the intestine, hepatopancreas, and muscle were identified by LC-MS/MS. A total of 5,745 differentially expressed genes (DEGs) were obtained in the CA group. The key DEGs were annotated using Gene Ontology and Kyoto Encyclopedia of Genes and Genomes analysis. The DEGs from the eight tissues were significantly enriched in spliceosome pathways, indicating that activated alternative splicing is a critical biological process that occurs in the tissues to help fish cope with cold stress. Additionally, 82, 97, and 66 differentially expressed metabolites were identified in the intestine, hepatopancreas, and muscle, respectively. Glutathione metabolism was the only overlapping significant pathway between the transcriptome and metabolome analyses in these three tissues, indicating that an activated antioxidative process was triggered during cold stress. In combination with the multitissue transcriptome and metabolome, we established a physiology-gene-metabolite interaction network related to energy metabolism during cold stress and found that gluconeogenesis and long-chain fatty acid metabolism played critical roles in glucose homeostasis and energy supply.</t>
  </si>
  <si>
    <t>[Liu, Sijia; Tian, Fei; Xu, Shixiao; Zhao, Kai] Chinese Acad Sci, Northwest Inst Plateau Biol, Qinghai Prov Key Lab Anim Ecol Genom, Key Lab Adaptat &amp; Evolut Plateau Biota, 23 Xinning Rd, Xining 810008, Qinghai, Peoples R China; [Qi, Delin] Qinghai Univ, State Key Lab Plateau Ecol &amp; Agr, Xining, Qinghai, Peoples R China; [Qi, Hongfang; Wang, Yang] Qinghai Naked Carp Rescue Ctr, Qinghai Prov Key Lab Breeding &amp; Protect Gymnocypri, Xining, Qinghai, Peoples R China</t>
  </si>
  <si>
    <t>Chinese Academy of Sciences; Qinghai University</t>
  </si>
  <si>
    <t>Xu, SX; Zhao, K (corresponding author), Chinese Acad Sci, Northwest Inst Plateau Biol, Qinghai Prov Key Lab Anim Ecol Genom, Key Lab Adaptat &amp; Evolut Plateau Biota, 23 Xinning Rd, Xining 810008, Qinghai, Peoples R China.</t>
  </si>
  <si>
    <t>sxxu@nwipb.cas.cn; zhaokai@nwipb.cas.cn</t>
  </si>
  <si>
    <t>Liu, Sijia/HOC-2459-2023</t>
  </si>
  <si>
    <t>Liu, Sijia/0000-0003-2169-8586</t>
  </si>
  <si>
    <t>We thank the Wuhan Metville Medical Technology Co., LTD for technical supports in metabolites detection.</t>
  </si>
  <si>
    <t>1471-2164</t>
  </si>
  <si>
    <t>BMC Genomics</t>
  </si>
  <si>
    <t>10.1186/s12864-023-09587-9</t>
  </si>
  <si>
    <t>Biotechnology &amp; Applied Microbiology; Genetics &amp; Heredity</t>
  </si>
  <si>
    <t>R8VT1</t>
  </si>
  <si>
    <t>WOS:001067084300002</t>
  </si>
  <si>
    <t>Candia, C; Gallardo-Moya, D; Guerrero, J; Leal, D; Mansilla, A; Martínez-Gómez, F; Matsuhiro, B; Yáñez-S, M</t>
  </si>
  <si>
    <t>Candia, Carolina; Gallardo-Moya, Daniel; Guerrero, Juan; Leal, David; Mansilla, Andres; Martinez-Gomez, Fabian; Matsuhiro, Betty; Yanez-S, Mauricio</t>
  </si>
  <si>
    <t>Characterization of alginate from Antarctic Himantothallus grandifolius (Phaeophyceae) and preparation of polyelectrolyte complexes with chitosan</t>
  </si>
  <si>
    <t>alginate; chitosan; drug release; Himantothallus grandifolius; hydrogels; polyelectrolyte complexes</t>
  </si>
  <si>
    <t>BLOCK FRACTIONS; HYDROGELS; DERIVATIVES; DELIVERY; POLYSACCHARIDES; NANOPARTICLES; COPOLYMERS</t>
  </si>
  <si>
    <t>Hydrogels are three-dimensional polymeric materials with applications in various areas such as biomedicine, tissue engineering, pollutant capture systems, and so forth. However, its application is limited due to the reproducibility of its properties. Factors such as the composition of the constituents, the type of union between the polymer chains, and the crosslinking time play a crucial role in ensuring its reproducibility. In this study, the objective is to prepare a matrix with well-defined properties that ensure controlled release processes. Treatment of Himantothallus grandifolius with Na2CO3 aqueous solution afforded in 18.9% yield alkaline extract. Hydrogels were prepared by ionic complexation of alginate from H. grandifolius, and polyguluronate enriched alginate from Desmarestia ligulata with chitosan stabilized by immersion in 0.1 M CaCl2 solution; better swelling ratio in water was found for hydrogels with low molecular weight chitosan (MW 125,000 g/mol) than those with medium molecular weight chitosan (MW450,000-500,000 g/mol). Liberation of the model drug metformin hydrochloride from alginates: chitosan complexes (3:1) at pH 1.5 was especially low for hydrogel from H. grandifolius during the first 2 h; 70% of metformin was released at pH 6.5 after 24 h. This polyelectrolyte complex constitutes a good material for potential application in biomedicine considering its cationic and anionic characteristics.</t>
  </si>
  <si>
    <t>[Candia, Carolina; Guerrero, Juan; Leal, David; Martinez-Gomez, Fabian; Matsuhiro, Betty] Univ Santiago Chile, Fac Quim &amp; Biol, Santiago, Chile; [Gallardo-Moya, Daniel] Univ Santiago Chile, Fac Ingn, Dept Ingn Quim &amp; Bioproc, Santiago, Chile; [Mansilla, Andres] Univ Magallanes, Lab Macroalgas Antart &amp; Subantart, Inst Ecol &amp; Biodivers, Punta Arenas, Chile; [Yanez-S, Mauricio] Univ Catolica Temuco, Fac Recursos Nat, Dept Cs Biol &amp; Quim, Campus San Juan Pablo 2, Temuco, Chile</t>
  </si>
  <si>
    <t>Universidad de Santiago de Chile; Universidad de Santiago de Chile; Universidad de Magallanes; Universidad Catolica de Temuco</t>
  </si>
  <si>
    <t>Leal, D; Martínez-Gómez, F (corresponding author), Univ Santiago Chile, Fac Quim &amp; Biol, Santiago, Chile.</t>
  </si>
  <si>
    <t>david.lealr@usach.cl</t>
  </si>
  <si>
    <t>Martinez, Fabian/0000-0001-5802-9816</t>
  </si>
  <si>
    <t>Direccion de Investigaciones Cientificas y Tecnologicas [021641MY]; Universidad de Santiago de Chile; Fondo Nacional de Desarrollo Cientifico y Tecnologico [1110875, 1180433]; FONDEQUIP [EQM150106]; FONDEQUIP Chile [EQM150106]</t>
  </si>
  <si>
    <t>Direccion de Investigaciones Cientificas y Tecnologicas; Universidad de Santiago de Chile; Fondo Nacional de Desarrollo Cientifico y Tecnologico(Comision Nacional de Investigacion Cientifica y Tecnologica (CONICYT)CONICYT FONDECYT); FONDEQUIP; FONDEQUIP Chile</t>
  </si>
  <si>
    <t>Direccion de Investigaciones Cientificas y Tecnologicas, Grant/Award Number: 021641MY; Universidad de Santiago de Chile; Fondo Nacional de Desarrollo Cientifico y Tecnologico, Grant/Award Numbers: 1180433, 1110875; FONDEQUIP, Grant/Award Number: EQM150106This research was supported by Direccion de Investiga-ciones Cientificas y Tecnologicas (Grant 021641MY) of &amp; nbsp;Universidad de Santiago de Chile, the financial support by Fondo Nacional de Desarrollo Cientifico y Tecnologico 1110875, and 1180433, FONDEQUIP EQM150106 Chile is gratefully acknowledged (Andres Mansilla).</t>
  </si>
  <si>
    <t>DEC 10</t>
  </si>
  <si>
    <t>10.1002/app.54688</t>
  </si>
  <si>
    <t>W1FE8</t>
  </si>
  <si>
    <t>WOS:001067519500001</t>
  </si>
  <si>
    <t>Azumi, S; Thiebot, JB; Takahashi, A; Okado, J; Nagatani, N; Niizuma, Y; Moteki, M; Watanuki, Y</t>
  </si>
  <si>
    <t>Azumi, Sarara; Thiebot, Jean-Baptiste; Takahashi, Akinori; Okado, Jumpei; Nagatani, Nao; Niizuma, Yasuaki; Moteki, Masato; Watanuki, Yutaka</t>
  </si>
  <si>
    <t>Stomach contents and stable isotope analysis reveal Antarctic prey in short-tailed shearwaters sampled at sea</t>
  </si>
  <si>
    <t>JOURNAL OF ORNITHOLOGY</t>
  </si>
  <si>
    <t>Ardenna tenuirostris; Euphausia superba; Myctophid fish; Stomach contents; Stable isotope; Southern Ocean; Marine food webs; Diet; Trophic ecology</t>
  </si>
  <si>
    <t>PUFFINUS-TENUIROSTRIS; DIGESTION; ECOLOGY</t>
  </si>
  <si>
    <t>Short-tailed shearwaters Ardenna tenuirostris are seasonally abundant consumers in the Southern Ocean, but their diet in this region is debated. Among birds found on vessels at high latitudes (n = 11 live birds and 4 carcasses), at least six had recently ingested Antarctic krill Euphausia superba. Accumulated fresh remains with no flesh attached were also found in the gizzard of two birds. Liver isotopic values suggested that STSHs fed primarily on krill in southerly habitats. Clarifying whether this abundant predator commonly feeds on Antarctic krill is important to better understand and manage the Southern Ocean food webs.</t>
  </si>
  <si>
    <t>[Azumi, Sarara; Thiebot, Jean-Baptiste; Okado, Jumpei; Nagatani, Nao; Watanuki, Yutaka] Hokkaido Univ, Grad Sch Fisheries Sci, Minato Cho 3-1-1, Hakodate, Hokkaido 0418611, Japan; [Thiebot, Jean-Baptiste; Takahashi, Akinori; Moteki, Masato] Natl Inst Polar Res, 10-3 Midori Cho, Tachikawa, Tokyo 1908518, Japan; [Okado, Jumpei] Japan Fisheries Res &amp; Educ Agcy, Salmon Res Dept, Fisheries Resources Inst, Sapporo, Hokkaido 0620922, Japan; [Nagatani, Nao; Niizuma, Yasuaki] Meijo Univ, Fac Agr, 1-501 Shiogamaguchi,Tempaku Ku, Nagoya 4688502, Japan; [Moteki, Masato] Tokyo Univ Marine Sci &amp; Technol, Dept Ocean Sci, 4-5-7 Konan, Minato, Tokyo 1088477, Japan</t>
  </si>
  <si>
    <t>Hokkaido University; Research Organization of Information &amp; Systems (ROIS); National Institute of Polar Research (NIPR) - Japan; Japan Fisheries Research &amp; Education Agency (FRA); Meijo University; Tokyo University of Marine Science &amp; Technology</t>
  </si>
  <si>
    <t>Thiebot, JB (corresponding author), Hokkaido Univ, Grad Sch Fisheries Sci, Minato Cho 3-1-1, Hakodate, Hokkaido 0418611, Japan.;Thiebot, JB (corresponding author), Natl Inst Polar Res, 10-3 Midori Cho, Tachikawa, Tokyo 1908518, Japan.</t>
  </si>
  <si>
    <t>jbthiebot@fish.hokudai.ac.jp</t>
  </si>
  <si>
    <t>Thiebot, Jean-Baptiste/0000-0002-4028-1228</t>
  </si>
  <si>
    <t>60th Japanese Antarctic Research Expedition; French Polar Institute Paul-Emile Victor; JSPS [17H05983]</t>
  </si>
  <si>
    <t>60th Japanese Antarctic Research Expedition; French Polar Institute Paul-Emile Victor; JSPS(Ministry of Education, Culture, Sports, Science and Technology, Japan (MEXT)Japan Society for the Promotion of Science)</t>
  </si>
  <si>
    <t>We would like to thank Bungo Nishizawa for identifying shearwater and krill species, and Rikuto Sugioka and Hanae Doiguchi for determining the developmental stage of Antarctic krill. The study was financially supported by the 60th Japanese Antarctic Research Expedition, the French Polar Institute Paul-Emile Victor (IPEV Program 1091, resp. Yan Ropert-Coudert), and JSPS Grant-in-Aid for Scientific Research on Innovative Areas A01-3 (17H05983) to MM.</t>
  </si>
  <si>
    <t>2193-7192</t>
  </si>
  <si>
    <t>2193-7206</t>
  </si>
  <si>
    <t>J ORNITHOL</t>
  </si>
  <si>
    <t>J. Ornithol.</t>
  </si>
  <si>
    <t>10.1007/s10336-023-02109-0</t>
  </si>
  <si>
    <t>GC4E2</t>
  </si>
  <si>
    <t>WOS:001068032800001</t>
  </si>
  <si>
    <t>Galli, G; Morigi, C; Melis, R; Di Roberto, A; Tesi, T; Torricella, F; Langone, L; Giordano, P; Colizza, E; Capotondi, L; Gallerani, A; Gariboldi, K</t>
  </si>
  <si>
    <t>Galli, Giacomo; Morigi, Caterina; Melis, Romana; Di Roberto, Alessio; Tesi, Tommaso; Torricella, Fiorenza; Langone, Leonardo; Giordano, Patrizia; Colizza, Ester; Capotondi, Lucilla; Gallerani, Andrea; Gariboldi, Karen</t>
  </si>
  <si>
    <t>Paleoenvironmental changes related to the variations of the sea-ice coverduring the Late Holocene in an Antarctic fjord (Edisto Inlet, Ross Sea)inferred by foraminiferal association</t>
  </si>
  <si>
    <t>KING GEORGE ISLAND; BENTHIC FORAMINIFERA; TEMPORAL VARIABILITY; VICTORIA LAND; WEDDELL SEA; BAFFIN-BAY; ECOLOGY; CLIMATE; DEEP; PENINSULA</t>
  </si>
  <si>
    <t>TR17-08, a marine sedimentary core (14.6 m), was collected during 2017 from the Edisto Inlet (Ross Sea, Antarctica), a small fjord near Cape Hallett. The core is characterized by expanded laminated sedimentary sequences making it suitable for studying submillennial processes during the Early Holocene. By studying different well-known foraminifera species (Globocassidulina biora, G. subglobosa, Trifarina angulosa, Nonionella iridea, Epistominella exigua, Stainforthia feylingi, Miliammina arenacea, Paratrochammina bartrami and Portatrochammina antarctica), we were able to identify five different foraminiferal assemblages over the last similar to 2000 years BP. Comparison with diatom assemblages and other geochemical proxies retrieved from nearby sediment cores in the Edisto Inlet (BAY05-20 and HLF17-1) made it possible to distinguish three different phases characterized by different environmental settings: (1) a seasonal phase (from 2012 to 1486 years BP) characterized by the dominance of calcareous species, indicating a seasonal opening of the inlet by more frequent events of melting of the sea-ice cover during the austral summer and, in general, a higher-productivity, more open and energetic environment; (2) a transitional phase (from 1486 to 696 years BP) during which the fjord experienced less extensive sea-ice melting, enhanced oxygen-poor conditions and carbonate dissolution conditions, indicated by the shifts from calcareous-dominated association to agglutinated-dominated association probably due to a freshwater input from the retreat of three local glaciers at the start of this period; and (3) a cooler phase (from 696 years BP to present) during which the sedimentation rate decreased and few to no foraminiferal specimens were present, indicating ephemeral openings or a more prolonged cover of the sea ice during the austral summer, affecting the nutrient supply and the sedimentation regime.</t>
  </si>
  <si>
    <t>[Galli, Giacomo; Gariboldi, Karen] Univ Ca Foscari Venezia, Dipartimento Sci Ambientali Informat &amp; Stat, Via Torino 155, I-30172 Venice, Italy; [Galli, Giacomo; Morigi, Caterina] Univ Pisa, Dipartimento Sci Terra, Via Santa Maria 53, I-56126 Pisa, Italy; [Melis, Romana; Colizza, Ester] Univ Trieste, Dipartimento Matemat &amp; Geosci, Via E Weiss 2, I-34127 Trieste, Italy; [Di Roberto, Alessio] Ist Nazl Geofis &amp; Vulcanol INGV, Sez Pisa, Via C,Battisti 53, I-56125 Pisa, Italy; [Tesi, Tommaso; Langone, Leonardo; Giordano, Patrizia] ISP CNR, Ist Sci Polari, Via P Gobetti 101, I-40129 Bologna, Italy; [Torricella, Fiorenza] Ist Nazl Oceanog &amp; Geofis Sperimentale OGS, Borgo Grotta Gigante 42-C, I-34010 Trieste, Italy; [Capotondi, Lucilla; Gallerani, Andrea] ISMAR CNR, Ist Sci Marine, Via P Gobetti 101, I-40129 Bologna, Italy</t>
  </si>
  <si>
    <t>Universita Ca Foscari Venezia; University of Pisa; University of Trieste; Consiglio Nazionale delle Ricerche (CNR); Istituto di Scienze Polari (ISP-CNR); Istituto Nazionale di Oceanografia e di Geofisica Sperimentale; Consiglio Nazionale delle Ricerche (CNR); Istituto di Scienze Marine (ISMAR-CNR)</t>
  </si>
  <si>
    <t>Galli, G (corresponding author), Univ Ca Foscari Venezia, Dipartimento Sci Ambientali Informat &amp; Stat, Via Torino 155, I-30172 Venice, Italy.;Galli, G (corresponding author), Univ Pisa, Dipartimento Sci Terra, Via Santa Maria 53, I-56126 Pisa, Italy.</t>
  </si>
  <si>
    <t>giacomo.galli@unive.it</t>
  </si>
  <si>
    <t>Morigi, Caterina/B-3316-2012; Capotondi, Lucilla/C-8874-2015</t>
  </si>
  <si>
    <t>Morigi, Caterina/0000-0003-1340-9932; Galli, Giacomo/0009-0008-2199-379X; Gariboldi, Karen/0000-0002-7978-7496; Capotondi, Lucilla/0000-0003-3282-7910; Torricella, Fiorenza/0000-0002-4286-1699</t>
  </si>
  <si>
    <t>Ministero dell'Universit e della Ricerca</t>
  </si>
  <si>
    <t>We thank the Sorting Centre of MNA - Trieste (Italy) for providing sediment core samples.</t>
  </si>
  <si>
    <t>SEP 13</t>
  </si>
  <si>
    <t>10.5194/jm-42-95-2023</t>
  </si>
  <si>
    <t>HT5V7</t>
  </si>
  <si>
    <t>WOS:001161781200001</t>
  </si>
  <si>
    <t>Purich, A; Doddridge, EW</t>
  </si>
  <si>
    <t>Purich, Ariaan; Doddridge, Edward W.</t>
  </si>
  <si>
    <t>Record low Antarctic sea ice coverage indicates a new sea ice state</t>
  </si>
  <si>
    <t>SURFACE TEMPERATURE RESPONSE; SOUTHERN-OCEAN; OZONE DEPLETION; DRIVEN; TRENDS; SALINITY; IMPACTS</t>
  </si>
  <si>
    <t>In February 2023, Antarctic sea ice set a record minimum; there have now been three record-breaking low sea ice summers in seven years. Following the summer minimum, circumpolar Antarctic sea ice coverage remained exceptionally low during the autumn and winter advance, leading to the largest negative areal extent anomalies observed over the satellite era. Here, we show the confluence of Southern Ocean subsurface warming and record minima and suggest that ocean warming has played a role in pushing Antarctic sea ice into a new low-extent state. In addition, this new state exhibits different seasonal persistence characteristics, suggesting that the underlying processes controlling Antarctic sea ice coverage may have altered. Record-low sea ice coverage around Antarctica in 2022 and 2023 co-occurred with substantial subsurface ocean warming, which could be indicative of a change in the mechanisms that govern Antarctic sea ice, suggests an analysis of sea ice extent and ocean temperatures since 1979.</t>
  </si>
  <si>
    <t>[Purich, Ariaan] Monash Univ, Sch Earth Atmosphere &amp; Environm, Clayton, Australia; [Purich, Ariaan] Monash Univ, ARC Special Res Initiat Securing Antarct Environm, Clayton, Australia; [Doddridge, Edward W.] Univ Tasmania, Inst Marine &amp; Antarctic Studies, Australian Antarctic Program Partnership, Hobart, Tas, Australia</t>
  </si>
  <si>
    <t>Monash University; Monash University; University of Tasmania</t>
  </si>
  <si>
    <t>Purich, A (corresponding author), Monash Univ, Sch Earth Atmosphere &amp; Environm, Clayton, Australia.;Purich, A (corresponding author), Monash Univ, ARC Special Res Initiat Securing Antarct Environm, Clayton, Australia.</t>
  </si>
  <si>
    <t>ariaan.purich@monash.edu</t>
  </si>
  <si>
    <t>Purich, Ariaan/0000-0003-2248-5937; Doddridge, Edward/0000-0002-6097-5729</t>
  </si>
  <si>
    <t>Australian Research Council [DP230102994]; Australian Government; Australian Research Council Special Research Initiative for Securing Antarctica's Environmental Future [SR200100005]; Australian Government as part of the Antarctic Science Collaboration Initiative program [ASCI000002]</t>
  </si>
  <si>
    <t>Australian Research Council(Australian Research Council); Australian Government(Australian Government); Australian Research Council Special Research Initiative for Securing Antarctica's Environmental Future(Australian Research Council); Australian Government as part of the Antarctic Science Collaboration Initiative program(Australian Government)</t>
  </si>
  <si>
    <t>A.P. and E.W.D. are recipients of an Australian Research Council Discovery Project (DP230102994) funded by the Australian Government. This work was supported by the Australian Research Council Special Research Initiative for Securing Antarctica's Environmental Future (SR200100005). This project received grant funding from the Australian Government as part of the Antarctic Science Collaboration Initiative program (ASCI000002). We thank Julie Arblaster for insightful discussions and Vaughn Grey for assistance with the change point detection. We also thank Zach Labe for his Antarctic sea ice visualisations shared on Twitter (@ZLabe) that inspired Fig. 2. We thank four anonymous reviewers for insightful comments.</t>
  </si>
  <si>
    <t>10.1038/s43247-023-00961-9</t>
  </si>
  <si>
    <t>R6FT6</t>
  </si>
  <si>
    <t>WOS:001065299900002</t>
  </si>
  <si>
    <t>Gutiérrez-Rodríguez, A; Latasa, M; Safi, K; Pinkerton, MH; Nodder, SD</t>
  </si>
  <si>
    <t>Gutierrez-Rodriguez, Andres; Latasa, Mikel; Safi, Karl; Pinkerton, Matthew H.; Nodder, Scott D.</t>
  </si>
  <si>
    <t>Decoupled growth and grazing rates of diatoms and green algae drive increased phytoplankton productivity on HNLC sub-Antarctic plateaux</t>
  </si>
  <si>
    <t>NEW-ZEALAND; SOUTHERN-OCEAN; IRON FERTILIZATION; PIGMENT; BLOOM; IRRADIANCE; WATERS; SIZE; CHLOROPHYLL; SILICATE</t>
  </si>
  <si>
    <t>The combination of iron limitation and microzooplankton grazing controls phytoplankton productivity and taxonomic composition in high-nutrient low-chlorophyll (HNLC) regions. While increased productivity and diatom contribution triggered by iron enrichment support this view, direct measurements of underpinning group-specific growth and grazing rates are scarce for the Southern Ocean. To assess these rates, we conducted dilution experiments coupled to high-performance liquid chromatography and flow-cytometry in sub-Antarctic waters on and off Campbell Plateau, southeast of Aotearoa-New Zealand. Off the plateau, growth and grazing were closely balanced for all groups despite a two-fold difference between slow- and fast-growing groups. On Campbell Plateau, where HNLC conditions were alleviated, the balance was disrupted, mainly by the preferential growth of diatoms and green algae, which was stimulated beyond grazing. Our results expand the recognized ability of diatoms to escape grazing control to picoplanktonic green algae that also avoid grazing and contribute significantly to phytoplankton productivity and biomass accumulation.</t>
  </si>
  <si>
    <t>[Gutierrez-Rodriguez, Andres; Pinkerton, Matthew H.; Nodder, Scott D.] Natl Inst Water &amp; Atmospher Res, Wellington, New Zealand; [Gutierrez-Rodriguez, Andres; Latasa, Mikel] CSIC, Inst Espanol Oceanog, Ctr Oceanog Gijon IEO, Gijon, Asturias, Spain; [Safi, Karl] Natl Inst Water &amp; Atmospher Res, Hamilton, New Zealand</t>
  </si>
  <si>
    <t>National Institute of Water &amp; Atmospheric Research (NIWA) - New Zealand; Spanish Institute of Oceanography; Consejo Superior de Investigaciones Cientificas (CSIC); National Institute of Water &amp; Atmospheric Research (NIWA) - New Zealand</t>
  </si>
  <si>
    <t>Gutiérrez-Rodríguez, A (corresponding author), Natl Inst Water &amp; Atmospher Res, Wellington, New Zealand.;Gutiérrez-Rodríguez, A (corresponding author), CSIC, Inst Espanol Oceanog, Ctr Oceanog Gijon IEO, Gijon, Asturias, Spain.</t>
  </si>
  <si>
    <t>andres.gutierrez@ieo.csic.es</t>
  </si>
  <si>
    <t>Latasa, Mikel/D-2202-2011; Gutierrez Rodriguez, Andres/JLM-2332-2023</t>
  </si>
  <si>
    <t>Latasa, Mikel/0000-0002-8202-0923; Gutierrez Rodriguez, Andres/0000-0003-1274-3752; Pinkerton, Matt/0000-0001-7948-720X; Safi, Karl/0000-0002-7785-1909; Nodder, Scott/0000-0002-1963-8907</t>
  </si>
  <si>
    <t>New Zealand Ministry of Business, Innovation and Employment; Unit of Information Resources for Research (URICI)</t>
  </si>
  <si>
    <t>New Zealand Ministry of Business, Innovation and Employment(New Zealand Ministry of Business, Innovation and Employment (MBIE)); Unit of Information Resources for Research (URICI)</t>
  </si>
  <si>
    <t>We acknowledge the crew of RV Tangaroa for their efforts in facilitating the sampling throughout all the voyages included in this work. We thank Priscillia Gourvill (CNRS, Station Biologique de Roscoff) and Francie Ruminat for helping with sample collection, Matt Walkington and Joanne O'Callaghan (both from NIWA) for their assistance with CTD deployments during the voyage, and Linn Hoffman (University of Otago) for lending the FRRf instrument for the voyage. We also would like to thank Pilar Fernandez and Tere Granell (from IEO) for assisting with the HPLC sample analyses. We thank Alexander Hayward for his assistance in the use of CHEMTAX and phytoclass chemotaxonomic methods, and Alejandro Isla for his help with R and statistical analysis. We are thankful to anonymous reviewers for their efforts and comments that helped improve the manuscript. We are grateful to the New Zealand Ministry of Business, Innovation and Employment that funded this research through the Strategic Science Investment Funding to the National Coasts &amp; Oceans Centre. We acknowledge support of the publication fee by the CSIC Open Access Publication Support Initiative through its Unit of Information Resources for Research (URICI).</t>
  </si>
  <si>
    <t>10.1002/lol2.10355</t>
  </si>
  <si>
    <t>X1YA4</t>
  </si>
  <si>
    <t>WOS:001067050400001</t>
  </si>
  <si>
    <t>Zheng, KY; Liang, YT; Paez-Espino, D; Zou, X; Gao, C; Shao, HB; Sung, YY; Mok, WJ; Wong, LL; Zhang, YZ; Tian, JW; Chen, F; Jiao, NZ; Suttle, CA; He, JF; Mcminn, A; Wang, M; Gilbert, JA</t>
  </si>
  <si>
    <t>Zheng, Kaiyang; Liang, Yantao; Paez-Espino, David; Zou, Xiao; Gao, Chen; Shao, Hongbing; Sung, Yeong Yik; Mok, Wen Jye; Wong, Li Lian; Zhang, Yu-Zhong; Tian, Jiwei; Chen, Feng; Jiao, Nianzhi; Suttle, Curtis A.; He, Jianfeng; Mcminn, Andrew; Wang, Min; Gilbert, Jack A.</t>
  </si>
  <si>
    <t>Identification of hidden N4-like viruses and their interactions with hosts</t>
  </si>
  <si>
    <t>MSYSTEMS</t>
  </si>
  <si>
    <t>N4-like viruses; genome; diversity; evolutionary divergence; viral-mediated host metabolic reprogramming</t>
  </si>
  <si>
    <t>COMPLETE GENOME SEQUENCE; VIRAL-INFECTION; RNA-POLYMERASE; READ-THROUGH; BACTERIOPHAGE; PHAGES; N4; MUTATIONS; EVOLUTION; REVEAL</t>
  </si>
  <si>
    <t>The N4-like viruses, which were recently assigned to the novel viral family Schitoviridae in 2021, belong to a podoviral-like viral lineage and possess conserved genomic characteristics and a unique replication mechanism. Despite their significance, our understanding of N4-like viruses is primarily based on viral isolates. To address this knowledge gap, this study has established a comprehensive N4-like viral data sets comprising 342 high-quality N4-like viruses/proviruses (144 viral isolates, 158 uncultured viruses, and 40 integrated N4-like proviruses). These viruses were classified into 97 subfamilies (89 of which are newly identified), 148 genera (100 of which are newly identified), and 253 species (177 of which are newly identified). The study reveals that N4-like viruses inhibit the polar region, oligotrophic open oceans, and the human gut, where they infect various bacterial lineages, such as Alpha/Beta/Gamma/Epsilon-proteobacteria in the Proteobacteria phylum. Although N4-like viral endogenization appears to be prevalent in Proteobacteria, it has also been observed in Firmicutes. Additionally, the phylogenetic analysis has identified evolutionary divergence within the hallmark genes of N4-like viruses, indicating a complex origin of the different conserved parts of viral genomes. Moreover, 1,101 putative auxiliary metabolic genes (AMGs) were identified in the N4-like viral pan-proteome, which mainly participate in nucleotide and cofactor/vitamin metabolisms. Of these AMGs, 27 were found to be associated with virulence, suggesting their potential involvement in the spread of bacterial pathogenicity.IMPORTANCE The findings of this study are significant, as N4-like viruses represent a unique viral lineage with a distinct replication mechanism and a conserved core genome. This work has resulted in a comprehensive global map of the entire N4-like viral lineage, including information on their distribution in different biomes, evolutionary divergence, genomic diversity, and the potential for viral-mediated host metabolic reprogramming. As such, this work significantly contributes to our understanding of the ecological function and viral-host interactions of bacteriophages.</t>
  </si>
  <si>
    <t>[Zheng, Kaiyang; Liang, Yantao; Gao, Chen; Shao, Hongbing; Zhang, Yu-Zhong; Mcminn, Andrew; Wang, Min] Ocean Univ China, Coll Marine Life Sci, Frontiers Sci Ctr Deep Ocean Multispheres &amp; Earth, Key Lab Polar Oceanog &amp; Global Ocean Change,Inst E, Qingdao, Peoples R China; [Zheng, Kaiyang; Liang, Yantao; Gao, Chen; Shao, Hongbing; Sung, Yeong Yik; Mok, Wen Jye; Wong, Li Lian; Wang, Min] UMT OUC Joint Ctr Marine Studies, Qingdao, Peoples R China; [Paez-Espino, David] Lawrence Berkeley Natl Lab, DOE Joint Genome Inst, Berkeley, CA USA; [Paez-Espino, David] Mammoth Biosci Inc, South San Francisco, CA USA; [Zou, Xiao] Qingdao Cent Hosp, Qingdao, Peoples R China; [Sung, Yeong Yik; Mok, Wen Jye; Wong, Li Lian] Univ Malaysia Terengganu UMT, Inst Marine Biotechnol, Kuala Terengganu, Malaysia; [Zhang, Yu-Zhong] Shandong Univ, Marine Biotechnol Res Ctr, State Key Lab Microbial Technol, Qingdao, Peoples R China; [Tian, Jiwei] Ocean Univ China, Key Lab Phys Oceanog, Minist Educ, Qingdao, Peoples R China; [Chen, Feng] Univ Maryland, Ctr Environm Sci, Inst Marine &amp; Environm Technol, Baltimore, MD USA; [Jiao, Nianzhi] Xiamen Univ, Inst Marine Microbes &amp; Ecospheres, State Key Lab Marine Environm Sci, Xiamen, Peoples R China; [Suttle, Curtis A.] Univ British Columbia, Inst Oceans &amp; Fisheries, Dept Earth Ocean &amp; Atmospher Sci, Vancouver, BC, Canada; [Suttle, Curtis A.] Univ British Columbia, Inst Oceans &amp; Fisheries, Dept Microbiol &amp; Immunol, Vancouver, BC, Canada; [Suttle, Curtis A.] Univ British Columbia, Inst Oceans &amp; Fisheries, Dept Bot, Vancouver, BC, Canada; [He, Jianfeng] Polar Res Inst China, SOA Key Lab Polar Sci, Shanghai, Peoples R China; [Mcminn, Andrew] Univ Tasmania, Inst Marine &amp; Antarctic Studies, Taroona, Tas, Australia; [Wang, Min] Qingdao Univ, Affiliated Hosp, Qingdao, Peoples R China</t>
  </si>
  <si>
    <t>Ocean University of China; United States Department of Energy (DOE); Lawrence Berkeley National Laboratory; Universiti Malaysia Terengganu; Shandong University; Ocean University of China; University System of Maryland; University of Maryland Baltimore; University of Maryland Center for Environmental Science; Institute of Marine &amp; Environmental Technology; Xiamen University; University of British Columbia; University of British Columbia; University of British Columbia; Polar Research Institute of China; University of Tasmania; Qingdao University</t>
  </si>
  <si>
    <t>Liang, YT; Mcminn, A; Wang, M (corresponding author), Ocean Univ China, Coll Marine Life Sci, Frontiers Sci Ctr Deep Ocean Multispheres &amp; Earth, Key Lab Polar Oceanog &amp; Global Ocean Change,Inst E, Qingdao, Peoples R China.;Liang, YT; Wang, M (corresponding author), UMT OUC Joint Ctr Marine Studies, Qingdao, Peoples R China.;He, JF (corresponding author), Polar Res Inst China, SOA Key Lab Polar Sci, Shanghai, Peoples R China.</t>
  </si>
  <si>
    <t>liangyantao@ouc.edu.cn; hejianfeng@pric.org.cn; andrew.mcminn@utas.edu.au; mingwang@ouc.edu.cn</t>
  </si>
  <si>
    <t>wong, li/ABF-6896-2021; Wang, Min/AFR-9645-2022; Mok, Wen Jye/AAF-9229-2019</t>
  </si>
  <si>
    <t>wong, li/0000-0003-0649-2010; Wang, Min/0000-0002-2357-589X; Mok, Wen Jye/0000-0002-7629-8312; liang, yan tao/0000-0002-2477-8197</t>
  </si>
  <si>
    <t>K.Z., Y.L., and M.W. provided the concept for this work; D.P.-E. curated the data; K.Z. and Y.L. performed the formal analysis; X.Z., C.G., and H.S. provided the background investigation; K.Z. designed the method and approaches; Y.Y.S., W.J.M., L.L.W., and</t>
  </si>
  <si>
    <t>This work was partly supported by the Laoshan Laboratory (No. LSKJ202203201), the National Key Research and Development Program of China (No. 2018YFC1406704, 2022YFC2807500), the Natural Science Foundation of China (No. 41976117, 42120104006, 42176111, and 42188102), the Fundamental Research Funds for the Central Universities (No. 202172002, 201812002, 202072001, and Andrew McMinn), the Marine S &amp; T Fund of Shandong Province (No. 2018SDKJ0406-6), the Key R &amp; D Project in Shandong University (No. 2019GHY112079), and the MEL Visiting Fellowship Program (No. MELRS1511).r K.Z., Y.L., and M.W. provided the concept for this work; D.P.-E. curated the data; K.Z. and Y.L. performed the formal analysis; X.Z., C.G., and H.S. provided the background investigation; K.Z. designed the method and approaches; Y.Y.S., W.J.M., L.L.W., and Y.-Z.Z. administrated this project; D.P.-E. provided the data resource; K.Z., J.T., and F.C. provided the advice on software; K.Z., N.J., C.A.S., and J.H. performed the result visualization; A.M. validated this work; K.Z. wrote the original manuscript; Y.L. and A.M. reviewed the manuscript; Y.L., A.M., and M.W. supervised this project and provided funding.</t>
  </si>
  <si>
    <t>2379-5077</t>
  </si>
  <si>
    <t>mSystems</t>
  </si>
  <si>
    <t>e0019723</t>
  </si>
  <si>
    <t>10.1128/msystems.00197-23</t>
  </si>
  <si>
    <t>R7UR1</t>
  </si>
  <si>
    <t>WOS:001066374200001</t>
  </si>
  <si>
    <t>Nigenda-Morales, SF; Lin, MX; Nuñez-Valencia, PG; Kyriazis, CC; Beichman, AC; Robinson, JA; Ragsdale, AP; Urbán, RJ; Archer, FI; Viloria-Gómora, L; Pérez-Alvarez, MJ; Poulin, E; Lohmueller, KE; Moreno-Estrada, A; Wayne, RK</t>
  </si>
  <si>
    <t>Nigenda-Morales, Sergio F.; Lin, Meixi; Nunez-Valencia, Paulina G.; Kyriazis, Christopher C.; Beichman, Annabel C.; Robinson, Jacqueline A.; Ragsdale, Aaron P.; Urban, R. Jorge; Archer, Frederick I.; Viloria-Gomora, Lorena; Perez-Alvarez, Maria Jose; Poulin, Elie; Lohmueller, Kirk E.; Moreno-Estrada, Andres; Wayne, Robert K.</t>
  </si>
  <si>
    <t>The genomic footprint of whaling and isolation in fin whale populations</t>
  </si>
  <si>
    <t>PER-GENERATION RULE; BALAENOPTERA-PHYSALUS; BALEEN WHALES; R PACKAGE; CONSERVATION; EXTINCTION; MODEL; INFERENCE; DESCENT; SIZE</t>
  </si>
  <si>
    <t>Twentieth century industrial whaling pushed several species to the brink of extinction, with fin whales being the most impacted. However, a small, resident population in the Gulf of California was not targeted by whaling. Here, we analyzed 50 whole-genomes from the Eastern North Pacific (ENP) and Gulf of California (GOC) fin whale populations to investigate their demographic history and the genomic effects of natural and human-induced bottlenecks. We show that the two populations diverged similar to 16,000 years ago, after which the ENP population expanded and then suffered a 99% reduction in effective size during the whaling period. In contrast, the GOC population remained small and isolated, receiving less than one migrant per generation. However, this low level of migration has been crucial for maintaining its viability. Our study exposes the severity of whaling, emphasizes the importance of migration, and demonstrates the use of genome-based analyses and simulations to inform conservation strategies.</t>
  </si>
  <si>
    <t>[Nigenda-Morales, Sergio F.; Nunez-Valencia, Paulina G.; Ragsdale, Aaron P.; Moreno-Estrada, Andres] Ctr Res &amp; Adv Studies Cinvestav, Adv Genom Unit, Natl Lab Genom Biodivers Langebio, Guanajuato 36824, Mexico; [Lin, Meixi; Kyriazis, Christopher C.; Lohmueller, Kirk E.; Wayne, Robert K.] Univ Calif Los Angeles, Dept Ecol &amp; Evolutionary Biol, Los Angeles, CA 90095 USA; [Nunez-Valencia, Paulina G.] Univ Nacl Autonoma Mexico, Ctr Ciencias Genomicas, Cuernavaca, Morelos, Mexico; [Beichman, Annabel C.] Univ Washington, Dept Genome Sci, Seattle, WA 98195 USA; [Robinson, Jacqueline A.] Univ Calif San Francisco, Inst Human Genet, San Francisco, CA 94143 USA; [Urban, R. Jorge; Viloria-Gomora, Lorena] Univ Autonoma Baja California Sur UABCS, Dept Ciencias Marinas &amp; Costeras, La Paz, Baja Calif Sur, Mexico; [Archer, Frederick I.] Southwest Fisheries Sci Ctr, Marine Mammal &amp; Turtle Div, La Jolla, CA 92037 USA; [Perez-Alvarez, Maria Jose] Univ Mayor, Escuela Med Vet, Fac Med &amp; Ciencias Salud, Santiago, Chile; [Perez-Alvarez, Maria Jose; Poulin, Elie] Univ Chile, Millennium Inst Biodivers Antarctic &amp; Subantarct E, Santiago, Chile; [Lohmueller, Kirk E.] Univ Calif Los Angeles, Interdept Program Bioinformat, Los Angeles, CA 90095 USA; [Lohmueller, Kirk E.] Univ Calif Los Angeles, David Geffen Sch Med, Dept Human Genet, Los Angeles, CA 90095 USA; [Nigenda-Morales, Sergio F.] Calif State Univ San Marcos, Dept Biol Sci, San Marcos, CA 92096 USA; [Lin, Meixi] Carnegie Inst Sci, Dept Plant Biol, Stanford, CA 94305 USA; [Ragsdale, Aaron P.] Univ Wisconsin, Dept Integrat Biol, Madison, WI 53706 USA</t>
  </si>
  <si>
    <t>University of California System; University of California Los Angeles; Universidad Nacional Autonoma de Mexico; University of Washington; University of Washington Seattle; University of California System; University of California San Francisco; Universidad Mayor; Universidad de Chile; University of California System; University of California Los Angeles; University of California System; University of California Los Angeles; University of California Los Angeles Medical Center; David Geffen School of Medicine at UCLA; California State University System; California State University San Marcos; Carnegie Institution for Science; University of Wisconsin System; University of Wisconsin Madison</t>
  </si>
  <si>
    <t>Nigenda-Morales, SF; Moreno-Estrada, A (corresponding author), Ctr Res &amp; Adv Studies Cinvestav, Adv Genom Unit, Natl Lab Genom Biodivers Langebio, Guanajuato 36824, Mexico.;Lin, MX; Lohmueller, KE (corresponding author), Univ Calif Los Angeles, Dept Ecol &amp; Evolutionary Biol, Los Angeles, CA 90095 USA.;Lohmueller, KE (corresponding author), Univ Calif Los Angeles, Interdept Program Bioinformat, Los Angeles, CA 90095 USA.;Lohmueller, KE (corresponding author), Univ Calif Los Angeles, David Geffen Sch Med, Dept Human Genet, Los Angeles, CA 90095 USA.;Nigenda-Morales, SF (corresponding author), Calif State Univ San Marcos, Dept Biol Sci, San Marcos, CA 92096 USA.;Lin, MX (corresponding author), Carnegie Inst Sci, Dept Plant Biol, Stanford, CA 94305 USA.</t>
  </si>
  <si>
    <t>snigenda@csusm.edu; meixilin@ucla.edu; klohmueller@g.ucla.edu; andres.moreno@cinvestav.mx</t>
  </si>
  <si>
    <t>Poulin, Elie/C-2654-2012; Robinson, Jacqueline/H-8383-2019; Moreno-Estrada, Andres/R-3950-2017</t>
  </si>
  <si>
    <t>Poulin, Elie/0000-0001-7736-0969; Robinson, Jacqueline/0000-0002-5556-815X; Nunez-Valencia, Paulina G./0000-0002-9742-5376; Moreno-Estrada, Andres/0000-0001-8329-8292; Urban R., Jorge/0000-0003-1423-8573; Beichman, Annabel/0000-0002-6991-587X; Nigenda-Morales, Sergio/0000-0002-2301-6975</t>
  </si>
  <si>
    <t>Mexican National Council for Science and Technology (CONACYT); National Science Foundation (DEB Small Grant); UCMEXUS-CONACYT; CONACYT Postdoctoral Fellowship; Mexican Secretariat of Agriculture and Rural Development Postdoctoral Fellowship; University of California, Los Angeles Department of Ecology and Evolutionary Biology (EEB) Summer Research Fellowship [FONCICYT/50/2016]; NIH [1556705]; Biological Mechanisms of Healthy Aging Training Program [2006]; ANID [724094]; ANID Millennium Science Initiative Program; [R35GM119856]; [NIH T32AG066574]; [11170182]; [ICN2021_002]</t>
  </si>
  <si>
    <t>Mexican National Council for Science and Technology (CONACYT)(Consejo Nacional de Ciencia y Tecnologia (CONACyT)); National Science Foundation (DEB Small Grant); UCMEXUS-CONACYT(Consejo Nacional de Ciencia y Tecnologia (CONACyT)); CONACYT Postdoctoral Fellowship; Mexican Secretariat of Agriculture and Rural Development Postdoctoral Fellowship; University of California, Los Angeles Department of Ecology and Evolutionary Biology (EEB) Summer Research Fellowship; NIH(United States Department of Health &amp; Human ServicesNational Institutes of Health (NIH) - USA); Biological Mechanisms of Healthy Aging Training Program; ANID; ANID Millennium Science Initiative Program; ; ; ;</t>
  </si>
  <si>
    <t>We dedicate this work to Robert K. Wayne, a pioneer in the field of conservation genetics and conservation biology. We would like to thank the members of the research program of marine mammals from Universidad Autonoma de Baja California Sur for their help collecting the samples in the Gulf of California. Sergio Flores-Ramirez for his initial support in the Gulf of California project. Cei Abreu-Goodger for his support and for providing laboratory space during the initial analysis of the data, Phil Morin for reviewing an early draft of the manuscript. Unpublished genome assemblies and sequencing data for the Rice's whale and fin whale are used with permission from the DNA Zoo Consortium (dnazoo.org). For the fin whale DNAzoo assemblies, the sample for the assembly was collected by The Marine Mammal Center under the Marine Mammal Health and Stranding Program (MMHSPR) Permit No. 18786-04 issued by the National Marine Fisheries Service (NMFS) in accordance with the Marine Mammal Protection Act (MMPA) and Endangered Species Act (ESA). The work at DNA Zoo was performed under Marine Mammal Health and Stranding Response Program (MMHSRP) Permit No. 18786-03. This work used computational and storage services associated with the Hoffman2 Shared Cluster provided by UCLA Institute for Digital Research and Education's Research Technology Group. This work was supported by the Mexican National Council for Science and Technology (CONACYT) grant FONCICYT/50/2016, National Science Foundation (DEB Small Grant #1556705), UCMEXUS-CONACYT collaborative grant 2006. SNM was supported by CONACYT Postdoctoral Fellowship 724094 and the Mexican Secretariat of Agriculture and Rural Development Postdoctoral Fellowship. M.L. was supported by the University of California, Los Angeles Department of Ecology and Evolutionary Biology (EEB) Summer Research Fellowship. K.E.L. and C.K. were supported by NIH grant R35GM119856 to K.E.L. A.C.B. was supported by the Biological Mechanisms of Healthy Aging Training Program NIH T32AG066574. M.J.P.-A. was supported by ANID under Grant Program FONDECYT Iniciacion 11170182. E.P. and M.J.P.-A. were supported by ANID Millennium Science Initiative Program ICN2021_002.</t>
  </si>
  <si>
    <t>SEP 12</t>
  </si>
  <si>
    <t>10.1038/s41467-023-40052-z</t>
  </si>
  <si>
    <t>S0NG2</t>
  </si>
  <si>
    <t>WOS:001068217000028</t>
  </si>
  <si>
    <t>Zhang, MM; Yan, JP; Lin, Q; Park, K; Zhao, SH; Xu, SQ; Wang, SS</t>
  </si>
  <si>
    <t>Zhang, Miming; Yan, Jinpei; Lin, Qi; Park, Keyhong; Zhao, Shuhui; Xu, Suqing; Wang, Shanshan</t>
  </si>
  <si>
    <t>Low contributions of dimethyl sulfide (DMS) chemistry to atmospheric aerosols over the high Arctic Ocean</t>
  </si>
  <si>
    <t>Arctic Ocean; MSA; DMS; Aerosols</t>
  </si>
  <si>
    <t>SEA; PARTICLES; EMISSIONS; ACID; PHYTOPLANKTON; STATION; SUMMER; MARINE; NUMBER; RATIO</t>
  </si>
  <si>
    <t>The Arctic Ocean is continuously warming, resulting in sea ice retreat, which significantly impacts the marine biogenic sulfur cycle. The formation of aerosols from DMS oxidation and their climatic effects in polar regions are of great concern. However, the impact of DMS chemistry on atmospheric aerosols in the high Arctic Ocean (AO) is still unclear due to the limitation of field observations and datasets. Gaseous methanesulfonic acid (MSA) and aerosol chemical species (MSA, SO42- and DMA, etc.) were determined simultaneously with a high time resolution (1 h) in the AO and Pacific Ocean (PO) to reveal the DMS chemistry in these regions. The particulate MSA concentration indicated significant spatial variation with a decreasing tendency from the low latitude oceans to high AO. Extremely low particulate MSA concentrations were observed in the high AO, with an average of only 7.42 +/- 6.6 ng.m(-3). In contrast, highest particulate MSA concentrations, with an average of 168.6 +/- 167.6 ng.m(-3) were observed in the mid-latitude regions (45 degrees-60 degrees N) in July. Sea salt aerosols were the most dominant source in the high Arctic Ocean, accounting for 88.78% of the total suspended particle mass, which was much larger than the values in the other regions. Low DMS chemistry was determined based on the low DMS emissions in the high latitude (HL, 75 degrees-85 degrees N) region. These results highlight the contribution of DMS chemistry to atmospheric aerosols and extend the knowledge of how biogenic aerosols impact the regional atmosphere in the high AO.</t>
  </si>
  <si>
    <t>[Zhang, Miming; Yan, Jinpei; Lin, Qi; Zhao, Shuhui; Xu, Suqing; Wang, Shanshan] MNR, Key Lab Global Change &amp; Marine Atmospher Chem, Xiamen 361005, Peoples R China; [Zhang, Miming; Yan, Jinpei; Lin, Qi; Zhao, Shuhui; Xu, Suqing; Wang, Shanshan] Minist Nat Resources, Inst Oceanog 3, Xiamen 361005, Peoples R China; [Park, Keyhong] Korea Polar Res Inst, 26 Songdomirae Ro, Incheon 21990, South Korea; [Zhao, Shuhui] Taishan Univ, Sch Tourism, Tai An 271000, Shandong, Peoples R China; [Yan, Jinpei] Third Inst Oceanog, MNR, 178 Daxue Rd, Xiamen 361005, Peoples R China</t>
  </si>
  <si>
    <t>Third Institute of Oceanography, Ministry of Natural Resources; Ministry of Natural Resources of the People's Republic of China; Korea Polar Research Institute (KOPRI); Taishan University; Third Institute of Oceanography, Ministry of Natural Resources</t>
  </si>
  <si>
    <t>Yan, JP (corresponding author), Third Inst Oceanog, MNR, 178 Daxue Rd, Xiamen 361005, Peoples R China.</t>
  </si>
  <si>
    <t>zhangmiming@tio.org.cn; jpyan@tio.org.cn</t>
  </si>
  <si>
    <t>Zhang, Miming/0000-0001-5848-3672</t>
  </si>
  <si>
    <t>National Natural Science Foundation of China [42376038, 41941014]; Scientific Research Foundation of Third Institute of Oceanography, MNR [2019024]; Natural Science Foundation of Fujian Province, China [2019J01120]; Chinese Projects for Investigations and Assessments of the Arctic and Antarctic (CHINARE 2017-2020)</t>
  </si>
  <si>
    <t>National Natural Science Foundation of China(National Natural Science Foundation of China (NSFC)); Scientific Research Foundation of Third Institute of Oceanography, MNR; Natural Science Foundation of Fujian Province, China(Natural Science Foundation of Fujian Province); Chinese Projects for Investigations and Assessments of the Arctic and Antarctic (CHINARE 2017-2020)</t>
  </si>
  <si>
    <t>This study is Financially Supported by the National Natural Science Foundation of China (No. 42376038, 41941014) , Scientific Research Foundation of Third Institute of Oceanography, MNR. (No. 2019024) , the Natural Science Foundation of Fujian Province, China (No. 2019J01120) , the Chinese Projects for Investigations and Assessments of the Arctic and Antarctic (CHINARE 2017-2020) . The authors gratefully acknowledge Thermo Fisher Scientific Co. Ltd. China for the on board gas and aerosol monitoring system technical assistance and data analysis. The data are available online (https://figshare.com /account/items/22494523/edit; 10.6084/m9.figshare.22494523) .</t>
  </si>
  <si>
    <t>10.1016/j.atmosenv.2023.120073</t>
  </si>
  <si>
    <t>T8UC0</t>
  </si>
  <si>
    <t>WOS:001080670900001</t>
  </si>
  <si>
    <t>Lyu, Z; Goosse, H; Dalaiden, Q; Crosta, X; Etourneau, J</t>
  </si>
  <si>
    <t>Lyu, Zhiqiang; Goosse, Hugues; Dalaiden, Quentin; Crosta, Xavier; Etourneau, Johan</t>
  </si>
  <si>
    <t>Widespread cooling over West Antarctica and adjacent seas over the past millennium</t>
  </si>
  <si>
    <t>West Antarctica; Past millennium; Centennial-scale temperature changes; Volcanic forcing</t>
  </si>
  <si>
    <t>SURFACE-TEMPERATURE VARIABILITY; ATMOSPHERE-OCEAN DATA; HOLOCENE CLIMATE; SNOW ACCUMULATION; DATA ASSIMILATION; ICE CORE; BRANSFIELD STRAIT; PENINSULA; MODEL; RECONSTRUCTIONS</t>
  </si>
  <si>
    <t>Instrumental observations have highlighted strong interconnections within the Antarctic climate system between atmosphere, ocean and sea ice over the past few decades. Our goal in this study is to leverage these links by combining marine and terrestrial records with climate modeling results, using data assimilation, to reconstruct past climate changes in West Antarctica and the surrounding seas. Through comparing two data assimilation experiments that use the same terrestrial proxy records with annual and decadal temporal resolutions, we confirm that the covariance relationship between several key climate variables (surface air temperature (SAT), sea ice, and atmospheric circulation), used in the data assimilation is time scale dependent. Our experiments show that a data assimilation step of 10 years appears to be a good compromise. Additionally, we clarify the contributions of continental and marine records to the reconstructions through two separate data assimilation experiments: one using the continental proxies only and another using both continental and marine records. Our results suggest that the latter is more useful, providing a stronger and more direct constraint on the evolution of the ocean-atmosphere coupled system, and is more reliable, as suggested by the validation against independent sea ice-related marine records. Based on our reconstruction for multiple variables covering the past two millennia, we confirmed a widespread cooling trend occurred over West Antarctica and surrounding seas over the period 900-1800 CE. This reconciles the inconsistency between some existing reconstructions and climate model results, in particular over the Antarctic Peninsula. This cooling could be explained by a direct thermodynamic response to external forcing, with a dominant contribution of the volcanic forcing over the period. Our results thus highlight that West Antarctica and surrounding seas are sensitive to external forcings at this time scale and that the temperature evolution there is coherent with global changes at the centennial scale over the past millennium.</t>
  </si>
  <si>
    <t>[Lyu, Zhiqiang; Goosse, Hugues; Dalaiden, Quentin] UCLouvain, Earth &amp; Life Inst, Louvain la Neuve, Belgium; [Lyu, Zhiqiang] Univ Albany, Dept Atmospher &amp; Environm Sci, Albany, NY 12226 USA; [Crosta, Xavier; Etourneau, Johan] Univ Bordeaux, CNRS, UMR 5805, EPOC, Pessac, France; [Etourneau, Johan] PSL Res Univ, Ecole Prat Hautes Etud, F-75014 Paris, France</t>
  </si>
  <si>
    <t>Universite Catholique Louvain; State University of New York (SUNY) System; State University of New York (SUNY) Albany; Universite de Bordeaux; Centre National de la Recherche Scientifique (CNRS); CNRS - National Institute for Earth Sciences &amp; Astronomy (INSU); Universite PSL; Ecole Pratique des Hautes Etudes (EPHE)</t>
  </si>
  <si>
    <t>Lyu, Z (corresponding author), UCLouvain, Earth &amp; Life Inst, Louvain la Neuve, Belgium.</t>
  </si>
  <si>
    <t>zhiqiang.lyu@student.uclouvain.be</t>
  </si>
  <si>
    <t>Lyu, Zhiqiang/0000-0002-6850-7807</t>
  </si>
  <si>
    <t>China Scholarship Council (CSC) - Universite catholique de Louvain Co -Funding; Belgian Research Action through Interdisciplinary Networks (BRAIN-be) from Belgian Science Policy Office; Fond de la Recherche Scientifique de Belgique (F.R.S. -FNRS); [BR/165/A2/Mass2Ant]; [2.5020.11]</t>
  </si>
  <si>
    <t>China Scholarship Council (CSC) - Universite catholique de Louvain Co -Funding; Belgian Research Action through Interdisciplinary Networks (BRAIN-be) from Belgian Science Policy Office; Fond de la Recherche Scientifique de Belgique (F.R.S. -FNRS)(Fonds de la Recherche Scientifique - FNRS); ;</t>
  </si>
  <si>
    <t>The resulting surface temperature reconstructions will be available when the manuscript is accepted. We thank Samantha Stevenson for her expertise on the outputs of iCESM1. HG is research director within the F. R.S.-FNRS (Belgium) . Zhiqiang Lyu is supported by China Scholarship Council (CSC) - Universite catholique de Louvain Co -Funding. QD is a Research Fellow within the F.R.S.-FNRS (Belgium) . This work was partly supported by the Belgian Research Action through Interdisciplinary Networks (BRAIN-be) from Belgian Science Policy Office in the frame- work of the project East Antarctic surface mass balance in the Anthropocene: observations and multiscale modelling (Mass2Ant)  (Contrat no BR/165/A2/Mass2Ant) . Computational resources have been provided by the supercomputing facilities of the Universitecatholique de Louvain (CISM/UCL) and the Consortium des Equipements de Calcul Intensif en Federation Wallonie Bruxelles (CECI) funded by the Fond de la Recherche Scientifique de Belgique (F.R.S. -FNRS) under convention 2.5020.11.</t>
  </si>
  <si>
    <t>10.1016/j.gloplacha.2023.104237</t>
  </si>
  <si>
    <t>T8KS7</t>
  </si>
  <si>
    <t>WOS:001080422900001</t>
  </si>
  <si>
    <t>Zhang, A; Cao, Z; Zhao, LY; Zhang, Q; Fu, LP; Li, J; Liu, T</t>
  </si>
  <si>
    <t>Zhang, Ao; Cao, Zhe; Zhao, Luying; Zhang, Qian; Fu, Liping; Li, Jiang; Liu, Tao</t>
  </si>
  <si>
    <t>Characterization of bifunctional alginate lyase Aly644 and antimicrobial activity of enzymatic hydrolysates</t>
  </si>
  <si>
    <t>APPLIED MICROBIOLOGY AND BIOTECHNOLOGY</t>
  </si>
  <si>
    <t>Alginate lyase; Enzymatic properties; Alginate oligosaccharide; Plant pathogen; Antimicrobial</t>
  </si>
  <si>
    <t>POLYSACCHARIDE LYASE; PURIFICATION; CLONING</t>
  </si>
  <si>
    <t>An alginate lyase gene aly644 encoding a member of polysaccharide lyase family 6 was obtained from a metagenome of Antarctic macroalgae-associated microbes. The gene was expressed heterologously in Escherichia coli, and the recombinant protein was purified using a Ni-NTA His Tag Kit. With sodium alginate as the substrate, recombinant Aly644 exhibited an optimum reaction temperature of 50 degrees C and an optimum reaction pH of 7.0. The V-max and K-m values of Aly644 toward sodium alginate were 112.36 mg/mL center dot min and 16.75 mg/mL, respectively. Substrate specificity analysis showed that Aly644 was a bifunctional alginate lyase that hydrolyzed both polyguluronic acid and polymannuronic acid. The hydrolysis products of Aly644 with sodium alginate as the substrate were detected by thin-layer chromatography, and were mainly di- and trisaccharides. The oligosaccharides produced by degradation of sodium alginate by Aly644 inhibited the mycelial growth of the plant pathogens Phytophthora capsici and Fulvia fulva; the 50% maximal effective concentration (EC50) values were 297.45 and 452.89 mg/L, and the 90% maximal effective concentration (EC90) values were 1341.45 and 2693.83 mg/L, respectively. This highlights that Aly644 is a potential candidate enzyme for the industrial production of alginate oligosaccharides with low degree of polymerization. Enzyme-hydrolyzed alginate oligosaccharides could support the development of green agriculture as natural antimicrobial agents.</t>
  </si>
  <si>
    <t>[Zhang, Ao; Liu, Tao] Qingdao Univ Sci &amp; Technol, Coll Chem Engn, Dept Pharmaceut Engn, Qingdao 266042, Peoples R China; [Cao, Zhe; Zhao, Luying; Zhang, Qian; Fu, Liping; Li, Jiang] Minist Nat Resources, Inst Oceanog 1, Key Lab Ecol Environm Sci &amp; Technol, Qingdao 266061, Peoples R China</t>
  </si>
  <si>
    <t>Qingdao University of Science &amp; Technology; Ministry of Natural Resources of the People's Republic of China; First Institute of Oceanography, Ministry of Natural Resources</t>
  </si>
  <si>
    <t>Liu, T (corresponding author), Qingdao Univ Sci &amp; Technol, Coll Chem Engn, Dept Pharmaceut Engn, Qingdao 266042, Peoples R China.;Li, J (corresponding author), Minist Nat Resources, Inst Oceanog 1, Key Lab Ecol Environm Sci &amp; Technol, Qingdao 266061, Peoples R China.</t>
  </si>
  <si>
    <t>lijiang@fio.org.cn; taoyanghe@hotmail.com</t>
  </si>
  <si>
    <t>fu, liping/HGV-1950-2022</t>
  </si>
  <si>
    <t>Impact and Response of Antarctic Seas to Climate Change [IRFSOCC2023-2025]</t>
  </si>
  <si>
    <t>This work was supported by Impact and Response of Antarctic Seas to Climate Change (IRFSOCC2023-2025). We thank Liwen Bianji (Edanz) (http://www.liwenbianji.cn/) for editing the language of a draft of this manuscript.</t>
  </si>
  <si>
    <t>0175-7598</t>
  </si>
  <si>
    <t>1432-0614</t>
  </si>
  <si>
    <t>APPL MICROBIOL BIOT</t>
  </si>
  <si>
    <t>Appl. Microbiol. Biotechnol.</t>
  </si>
  <si>
    <t>10.1007/s00253-023-12745-4</t>
  </si>
  <si>
    <t>U3KB0</t>
  </si>
  <si>
    <t>WOS:001066997600001</t>
  </si>
  <si>
    <t>Premaor, E; Ferreira, EP; Guerstein, GR; Souza, PA</t>
  </si>
  <si>
    <t>Premaor, Eduardo; Ferreira, Elizabete P.; Guerstein, G. Raquel; Souza, Paulo A.</t>
  </si>
  <si>
    <t>Eocene paleoceanographic and paleoclimatic events recognized by assemblages of dinoflagellate cysts in the Southwest Atlantic Ocean</t>
  </si>
  <si>
    <t>Palynology; Paleogene; Microplankton; Apectodinium homomorphum Enneadocysta; dictyostila; Antarctic species</t>
  </si>
  <si>
    <t>THERMAL MAXIMUM; PELOTAS BASIN; DRAKE PASSAGE; ENVIRONMENTAL-CHANGES; APECTODINIUM ACME; NEOGENE SECTION; EARLIEST EOCENE; CLIMATE-CHANGE; SEA-LEVEL; PALEOCENE</t>
  </si>
  <si>
    <t>Variations in the relative frequencies between cosmopolitan dinoflagellate cysts and Antarctic assemblage species indicate temperature changes and variations of ocean currents during the Paleogene. This study is based on the analysis of 23 samples from two stratigraphic intervals from the Well BP-01 (Imbe ' Formation), drilled by in the Pelotas Basin offshore. We identified 66 dinoflagellate cyst taxa, 47 of them belong to the Order Gonyaulacales and 19 to the Order Peridiniales. The relative abundance data highlight two different dinoflagellate ecogroups represented by Apectodinium and Enneadocysta in the intervals A and B, respectively. The level with the highest percentages of Apectodinium recorded in the Calcareous Nannofossil Zone N-410 (Ypresian), suggest that the Apectodinium maximum represents the Early Eocene Maximum Thermal Event (EMT-2). Enneadocysta Acmes registered near the Bartonian/Priabonian boundary, can be correlated with a drop in sea surface temperature that occurred after the Mid-Eocene Climatic Optimum. Dinoflagellate occurrences suggest deposition in open sea conditions during the transgressive phase. The P/G ratio does not reach significant values in the analyzed intervals, indicating low dissolved nutrient concentrations.</t>
  </si>
  <si>
    <t>[Premaor, Eduardo] Univ Fed Rio Grande do Sul, Dept Paleontol &amp; Estratig, Lab Palinol Marleni Marques Toigo, Programa Posgrad Geociencias,Inst Geociencias, Av Bento Goncalves 9500 Campus Vale, BR-91540000 Porto Alegre, RS, Brazil; [Ferreira, Elizabete P.] Petrobras Cenpes, Av Horacio Macedo 950,Predio 32, BR-21941915 Rio De Janeiro, RJ, Brazil; [Guerstein, G. Raquel] Univ Nacl Sur, Dept Geol, Inst Geol Sur, CONICET, Av Alem 1253, RA-8000 Bahia Blanca, BA, Argentina</t>
  </si>
  <si>
    <t>Universidade Federal do Rio Grande do Sul; Consejo Nacional de Investigaciones Cientificas y Tecnicas (CONICET); National University of the South</t>
  </si>
  <si>
    <t>Premaor, E (corresponding author), Univ Fed Rio Grande do Sul, Dept Paleontol &amp; Estratig, Lab Palinol Marleni Marques Toigo, Programa Posgrad Geociencias,Inst Geociencias, Av Bento Goncalves 9500 Campus Vale, BR-91540000 Porto Alegre, RS, Brazil.</t>
  </si>
  <si>
    <t>eduardopremaor@gmail.com; elizabete@petrobras.com.br; raquel.guerstein@uns.edu.ar; paulo.alves.souza@ufrgs.br</t>
  </si>
  <si>
    <t>10.1016/j.jsames.2023.104587</t>
  </si>
  <si>
    <t>T3YJ6</t>
  </si>
  <si>
    <t>WOS:001077372900001</t>
  </si>
  <si>
    <t>Al-Hashimi, XM; Davidson, J; Schrader, DL; Bullock, ES</t>
  </si>
  <si>
    <t>Mouti Al-Hashimi, Xeynab; Davidson, Jemma; Schrader, Devin L.; Bullock, Emma S.</t>
  </si>
  <si>
    <t>Fine-grained chondrule rims in Mighei-like carbonaceous chondrites: Evidence for a nebular origin and modification by impacts and recurrent solar radiation heating</t>
  </si>
  <si>
    <t>AQUEOUS ALTERATION; PARENT BODY; THERMAL METAMORPHISM; SHOCK METAMORPHISM; ORGANIC-MATTER; CM CHONDRITES; TAGISH LAKE; BODIES; MATRIX; DISTRIBUTIONS</t>
  </si>
  <si>
    <t>The Mighei-like carbonaceous (CM) chondrites, the most abundant carbonaceous chondrite group by number, further our understanding of processes that occurred in their formation region in the protoplanetary disk and in their parent body/bodies and provide analogs for understanding samples returned from carbonaceous asteroids. Chondrules in the CMs are commonly encircled by fine-grained rims (FGRs) whose origins are debated. We present the abundances, sizes, and petrographic observations of FGRs in six CMs that experienced varying intensities of parent body processing, including aqueous and thermal alteration. The samples studied here, in approximate order of increasing thermal alteration experienced, are Allan Hills 83100, Murchison, Meteorite Hills 01072, Elephant Moraine 96029, Yamato-793321, and Pecora Escarpment 91008. Based on observations of these CM chondrites, we recommend a new average apparent (2-D) chondrule diameter of 170 lm, which is smaller than previous estimates and overlaps with that of the Ornans-like carbonaceous (CO) chondrites. Thus, we suggest that chondrule diameters are not diagnostic for distinguishing between CM and CO chondrites. We also argue that chondrule foliation noted in ALH 83100, MET 01072, and Murchison resulted from multiple lowintensity impacts; that FGRs in CMs formed in the protoplanetary disk and were subsequently altered by both aqueous and thermal secondary alteration processes in their parent asteroid; and that the heat experienced by some CM chondrites may have originated from solar radiation of their source body/bodies during close solar passage as evidenced by the presence of evolved desiccation cracks in FGRs that formed by recurrent wetting and desiccation cycles.</t>
  </si>
  <si>
    <t>[Mouti Al-Hashimi, Xeynab; Davidson, Jemma; Schrader, Devin L.] Arizona State Univ, Buseck Ctr Meteorite Studies, Sch Earth &amp; Space Explorat, Tempe, AZ USA; [Bullock, Emma S.] Carnegie Inst Sci, Earth &amp; Planets Lab, Washington, DC USA; [Davidson, Jemma] Arizona State Univ, Buseck Ctr Meteorite Studies, Sch Earth &amp; Space Explorat, 781East Terrace Rd,POB 871404, Tempe, AZ 85287 USA</t>
  </si>
  <si>
    <t>Arizona State University; Arizona State University-Tempe; Carnegie Institution for Science; Arizona State University; Arizona State University-Tempe</t>
  </si>
  <si>
    <t>Davidson, J (corresponding author), Arizona State Univ, Buseck Ctr Meteorite Studies, Sch Earth &amp; Space Explorat, 781East Terrace Rd,POB 871404, Tempe, AZ 85287 USA.</t>
  </si>
  <si>
    <t>jdavidson@asu.edu</t>
  </si>
  <si>
    <t>Schrader, Devin L/H-6293-2012; Bullock, Emma/A-3870-2016; Davidson, Jemma/G-5760-2018</t>
  </si>
  <si>
    <t>Mouti Al-Hashimi, Xeynab/0000-0003-1696-7884; Schrader, Devin/0000-0001-5282-232X; Bullock, Emma/0000-0002-5678-3695; Davidson, Jemma/0000-0002-3725-2960</t>
  </si>
  <si>
    <t>NSF; NASA; Buseck Center for Meteorite Studies at Arizona State University; Arizona NASA Space Grant program; [NNCI-ECCS-1542160]</t>
  </si>
  <si>
    <t>NSF(National Science Foundation (NSF)); NASA(National Aeronautics &amp; Space Administration (NASA)); Buseck Center for Meteorite Studies at Arizona State University; Arizona NASA Space Grant program;</t>
  </si>
  <si>
    <t>This work was improved by constructive reviews from Dr. Romy Hanna and Dr. Michelle Thompson, and the stewardship of AE Dr. Josep Trigo-Rodriguez, for which the authors are grateful. X.M.A.-H. would like to thank J.D. and D.L.S. for their mentorship in addition to M. Vesey and S. A. Mouti Al-Hashimi. For supplying the samples that were necessary for this work, the authors would like to thank the Smithsonian Institution, NASA/NSF, and the National Institute of Polar Research (NiPR).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thank Axel Wittmann and Ken Domanik for assistance with EPMA at ASU and UA, respectively. We acknowledge the use of facilities within the Eyring Materials Center at ASU supported in part by NNCI-ECCS-1542160. This work was funded in part by the Buseck Center for Meteorite Studies at Arizona State University and the Arizona NASA Space Grant program. J.D. and D.L.S. thank Dr. Ed Scott for invaluable discussions over the years, and for his unerring generosity and enthusiasm. We dedicate this work in his memory.</t>
  </si>
  <si>
    <t>10.1111/maps.14076</t>
  </si>
  <si>
    <t>NF0O0</t>
  </si>
  <si>
    <t>WOS:001065804200001</t>
  </si>
  <si>
    <t>Giovannini, I; Manfrin, C; Greco, S; Vincenzi, J; Altiero, T; Guidetti, R; Giulianini, P; Rebecchi, L</t>
  </si>
  <si>
    <t>Giovannini, Ilaria; Manfrin, Chiara; Greco, Samuele; Vincenzi, Joel; Altiero, Tiziana; Guidetti, Roberto; Giulianini, Piero; Rebecchi, Lorena</t>
  </si>
  <si>
    <t>Increasing temperature-driven changes in life history traits and gene expression of an Antarctic tardigrade species</t>
  </si>
  <si>
    <t>FRONTIERS IN PHYSIOLOGY</t>
  </si>
  <si>
    <t>global warming; thermal stress; life cycle; fitness; transcriptome; DEGs (differentially expressed genes); TDPs (tardigrade disordered proteins); Antarctica</t>
  </si>
  <si>
    <t>NADH-UBIQUINONE OXIDOREDUCTASE; RNA-SEQ DATA; COMPLEX-I; PROTEIN; CYCLE; EUTARDIGRADA; EVOLUTION; PATHWAYS; WATER</t>
  </si>
  <si>
    <t>The Antarctic region has been experiencing some of the planet's strongest climatic changes, including an expected increase of the land temperature. The potential effects of this warming trend will lead ecosystems to a risk of losing biodiversity. Antarctic mosses and lichens host different microbial groups, micro-arthropods and meiofaunal organisms (e.g., tardigrades, rotifers). The eutardigrade Acutuncus antarcticus is considered a model animal to study the effect of increasing temperature due to global warming on Antarctic terrestrial communities. In this study, life history traits and fitness of this species are analyzed by rearing specimens at two different and increasing temperatures (5 &amp; DEG;C vs. 15 &amp; DEG;C). Moreover, the first transcriptome analysis on A. antarcticus is performed, exposing adult animals to a gradual increase of temperature (5 &amp; DEG;C, 10 &amp; DEG;C, 15 &amp; DEG;C, and 20 &amp; DEG;C) to find differentially expressed genes under short- (1 day) and long-term (15 days) heat stress. Acutuncus antarcticus specimens reared at 5 &amp; DEG;C live longer (maximum life span: 686 days), reach sexual maturity later, lay more eggs (which hatch in longer time and in lower percentage) compared with animals reared at 15 &amp; DEG;C. The fitness decreases in animals belonging to the second generation at both rearing temperatures. The short-term heat exposure leads to significant changes at transcriptomic level, with 67 differentially expressed genes. Of these, 23 upregulated genes suggest alterations of mitochondrial activity and oxido-reductive processes, and two intrinsically disordered protein genes confirm their role to cope with heat stress. The long-term exposure induces alterations limited to 14 genes, and only one annotated gene is upregulated in response to both heat stresses. The decline in transcriptomic response after a long-term exposure indicates that the changes observed in the short-term are likely due to an acclimation response. Therefore, A. antarcticus could be able to cope with increasing temperature over time, including the future conditions imposed by global climate change.</t>
  </si>
  <si>
    <t>[Giovannini, Ilaria; Vincenzi, Joel; Guidetti, Roberto; Rebecchi, Lorena] Univ Modena &amp; Reggio Emilia, Dept Life Sci, Modena, Italy; [Giovannini, Ilaria; Altiero, Tiziana; Guidetti, Roberto; Rebecchi, Lorena] Natl Biodivers Future Ctr, NBFC, Palermo, Italy; [Manfrin, Chiara; Greco, Samuele; Giulianini, Piero] Univ Trieste, Dept Life Sci, Trieste, Italy; [Altiero, Tiziana] Univ Modena &amp; Reggio Emilia, Dept Educ &amp; Humanities, Reggio Emilia, Italy</t>
  </si>
  <si>
    <t>Universita di Modena e Reggio Emilia; University of Trieste; Universita di Modena e Reggio Emilia</t>
  </si>
  <si>
    <t>Giovannini, I (corresponding author), Univ Modena &amp; Reggio Emilia, Dept Life Sci, Modena, Italy.;Giovannini, I (corresponding author), Natl Biodivers Future Ctr, NBFC, Palermo, Italy.</t>
  </si>
  <si>
    <t>ilaria.giovannini@unimore.it</t>
  </si>
  <si>
    <t>Rebecchi, Lorena/E-1653-2015</t>
  </si>
  <si>
    <t>Rebecchi, Lorena/0000-0001-5610-806X; Vincenzi, Joel/0009-0009-7924-4975</t>
  </si>
  <si>
    <t>The authors declare financial support was received for the research, authorship, and/or publication of this article. This research was funded by the European Union's Horizon 2020 Research and Innovation Programme, under Marie Sklodowska-Curie Grant agreeme [734434]; European Union; PNRA-MIUR [PdR 2013/AZ1.1]; Ministero dell'Istruzione dell'Universit e della Ricerca (Italy); Fondi di Ateneo per la Ricerca 2022 of the Department of Education and Humanities, University of Modena and Reggio Emilia (Italy)</t>
  </si>
  <si>
    <t>The authors declare financial support was received for the research, authorship, and/or publication of this article. This research was funded by the European Union's Horizon 2020 Research and Innovation Programme, under Marie Sklodowska-Curie Grant agreeme; European Union(European Union (EU)); PNRA-MIUR; Ministero dell'Istruzione dell'Universit e della Ricerca (Italy)(Ministry of Education, Universities and Research (MIUR)); Fondi di Ateneo per la Ricerca 2022 of the Department of Education and Humanities, University of Modena and Reggio Emilia (Italy)</t>
  </si>
  <si>
    <t>The authors declare financial support was received for the research, authorship, and/or publication of this article. This research was funded by the European Union's Horizon 2020 Research and Innovation Programme, under Marie Sklodowska-Curie Grant agreement No. 734434 by PNRA-MIUR [Programma Nazionale Ricerche in Antartide; Ministero dell'Istruzione dell'Universita e della Ricerca (Italy); project PdR 2013/AZ1.1]. The publication of this article was funded by Fondi di Ateneo per la Ricerca 2022 of the Department of Education and Humanities, University of Modena and Reggio Emilia (Italy).</t>
  </si>
  <si>
    <t>1664-042X</t>
  </si>
  <si>
    <t>FRONT PHYSIOL</t>
  </si>
  <si>
    <t>Front. Physiol.</t>
  </si>
  <si>
    <t>10.3389/fphys.2023.1258932</t>
  </si>
  <si>
    <t>Physiology</t>
  </si>
  <si>
    <t>S5UT8</t>
  </si>
  <si>
    <t>WOS:001071822000001</t>
  </si>
  <si>
    <t>Chu, MF; Bao, R; Strasser, M; Ikehara, K; Everest, J; Maeda, L; Hochmuth, K; Xu, L; McNichol, A; Bellanova, P; Rasbury, T; Kölling, M; Riedinger, N; Johnson, J; Luo, M; März, C; Straub, S; Jitsuno, K; Brunet, M; Cai, ZR; Cattaneo, A; Hsiung, K; Ishizawa, T; Itaki, T; Kanamatsu, T; Keep, M; Kioka, A; McHugh, C; Micallef, A; Pandey, D; Proust, JN; Satoguchi, Y; Sawyer, D; Seibert, C; Silver, M; Virtasalo, J; Wang, YH; Wu, TW; Zellers, S</t>
  </si>
  <si>
    <t>Chu, Mengfan; Bao, Rui; Strasser, Michael; Ikehara, Ken; Everest, Jez; Maeda, Lena; Hochmuth, Katharina; Xu, Li; McNichol, Ann; Bellanova, Piero; Rasbury, Troy; Koelling, Martin; Riedinger, Natascha; Johnson, Joel; Luo, Min; Maerz, Christian; Straub, Susanne; Jitsuno, Kana; Brunet, Morgane; Cai, Zhirong; Cattaneo, Antonio; Hsiung, Kanhsi; Ishizawa, Takashi; Itaki, Takuya; Kanamatsu, Toshiya; Keep, Myra; Kioka, Arata; McHugh, Cecilia; Micallef, Aaron; Pandey, Dhananjai; Proust, Jean Noel; Satoguchi, Yasufumi; Sawyer, Derek; Seibert, Chloe; Silver, Maxwell; Virtasalo, Joonas; Wang, Yonghong; Wu, Ting-Wei; Zellers, Sarah</t>
  </si>
  <si>
    <t>Earthquake-enhanced dissolved carbon cycles in ultra-deep ocean sediments</t>
  </si>
  <si>
    <t>TOHOKU-OKI EARTHQUAKE; ANAEROBIC OXIDATION; INORGANIC CARBON; ORGANIC-CARBON; METHANE; TRENCH; TSUNAMI</t>
  </si>
  <si>
    <t>Hadal trenches are unique geological and ecological systems located along subduction zones. Earthquake-triggered turbidites act as efficient transport pathways of organic carbon (OC), yet remineralization and transformation of OC in these systems are not comprehensively understood. Here we measure concentrations and stable- and radiocarbon isotope signatures of dissolved organic and inorganic carbon (DOC, DIC) in the subsurface sediment interstitial water along the Japan Trench axis collected during the IODP Expedition 386. We find accumulation and aging of DOC and DIC in the subsurface sediments, which we interpret as enhanced production of labile dissolved carbon owing to earthquake-triggered turbidites, which supports intensive microbial methanogenesis in the trench sediments. The residual dissolved carbon accumulates in deep subsurface sediments and may continue to fuel the deep biosphere. Tectonic events can therefore enhance carbon accumulation and stimulate carbon transformation in plate convergent trench systems, which may accelerate carbon export into the subduction zones. Earthquakes enhance dissolved carbon production and fuel the microbial activities in hadal trench subsurface sediments, and ultimately strengthen carbon accumulation and transformation in the subduction zones.</t>
  </si>
  <si>
    <t>[Chu, Mengfan; Bao, Rui] Ocean Univ China, Frontiers Sci Ctr Deep Ocean Multispheres &amp; Earth, Qingdao 266100, Peoples R China; [Chu, Mengfan; Bao, Rui] Ocean Univ China, Key Lab Marine Chem Theory &amp; Technol, Minist Educ, Qingdao 266100, Peoples R China; [Strasser, Michael; Itaki, Takuya] Univ Innsbruck, Inst Geol, Innsbruck, Austria; [Ikehara, Ken] Geol Survey Japan, Natl Inst Adv Ind Sci &amp; Technol AIST, Inst Geol &amp; Geoinformat, Ibaraki 3058567, Japan; [Everest, Jez] British Geol Survey, Lyell Ctr, Edinburgh EH14 4AP, Midlothian, Scotland; [Maeda, Lena] Japan Agcy Marine Earth Sci &amp; Technol, Ctr Deep Earth Explorat, Yokosuka, Kanagawa 2360001, Japan; [Hochmuth, Katharina] Univ Leicester, Sch Geog Geol &amp; Environm, Leicester, Leics, England; [Hochmuth, Katharina] Univ Tasmania, Inst Marine &amp; Antarctic Studies, Australian Ctr Excellence Antarctic Sci, 20 Castray Esplanade,Churchill Ave, Battery Point, Tas 7004, Australia; [Xu, Li] Woods Hole Oceanog Inst, NOSAMS Lab, Woods Hole, MA 02543 USA; [McNichol, Ann] Woods Hole Oceanog Inst, Dept Geol &amp; Geophys, Woods Hole, MA 02543 USA; [Bellanova, Piero] Rhein Westfal TH Aachen, Inst Neotecton &amp; Nat Hazards, D-52056 Aachen, Germany; [Bellanova, Piero] Rhein Westfal TH Aachen, Inst Geol &amp; Geochem Petr &amp; Coal, D-52056 Aachen, Germany; [Rasbury, Troy] SUNY Stony Brook, Dept Geosci, New York, NY 11794 USA; [Koelling, Martin; Wu, Ting-Wei] Univ Bremen, MARUM Ctr Marine Environm Sci, D-28359 Bremen, Germany; [Riedinger, Natascha] Oklahoma State Univ, Boone Pickens Sch Geol, Stillwater, OK 74078 USA; [Johnson, Joel] Univ New Hampshire, Dept Earth Sci, Durham, NH 03824 USA; [Luo, Min] Shanghai Ocean Univ, Coll Marine Sci, Shanghai Engn Res Ctr Hadal Sci &amp; Technol, Shanghai, Peoples R China; [Maerz, Christian] Univ Leeds, Sch Earth &amp; Environm, Leeds LS2 9JT, W Yorkshire, England; [Maerz, Christian] Univ Bonn, Inst Geosci, Nussallee 8, D-53115 Bonn, Germany; [Straub, Susanne] Lamont Doherty Earth Observ, Geochem Div, New York, NY 10964 USA; [Jitsuno, Kana] Waseda Univ, Dept Life Sci &amp; Med Biosci, Tokyo 1620041, Japan; [Brunet, Morgane; Proust, Jean Noel] Univ Rennes, CNRS, UMR 6118, Geosci Rennes, F-35000 Rennes, France; [Cai, Zhirong] Kyoto Univ, Dept Geol &amp; Mineral, Div Earth &amp; Planetary Sci, Grad Sch Sci, Kyoto 6068502, Japan; [Cattaneo, Antonio] Univ Brest, CNRS, UMR 6538, Geoocean,Ifremer, F-29280 Plouzane, France; [Hsiung, Kanhsi] JAMSTEC, Res Inst Marine Geodynam, Marine Geol &amp; Geophys Res Grp, Subduct Dynam Res Ctr, Yokohama, Kanagawa 2370061, Japan; [Ishizawa, Takashi] Tohoku Univ, Int Res Inst Disaster Sci, Sendai, Miyagi 9800845, Japan; [Kanamatsu, Toshiya] Japan Agcy Marine Earth Sci &amp; Technol JAMSTEC, Res Inst Marine Geodynam IMG, Yokosuka, Kanagawa 2370061, Japan; [Keep, Myra] Univ Western Australia, Dept Sch Earth Sci, Perth, WA, Australia; [Kioka, Arata] Kyushu Univ, Dept Earth Resources Engn, Fukuoka 8190395, Japan; [McHugh, Cecilia] City Univ New York, Sch Earth &amp; Environm Sci, Queens Coll, New York, NY 11367 USA; [Micallef, Aaron] GEOMAR Helmholtz Ctr Ocean Res Kiel, D-24148 Kiel, Germany; [Pandey, Dhananjai] Govt India, Minist Earth Sci, Natl Ctr Polar &amp; Ocean Res, Panaji 403804, Goa, India; [Satoguchi, Yasufumi] Lake Biwa Museum, Shiga 5250001, Japan; [Sawyer, Derek] Ohio State Univ, Sch Earth Sci, Columbus, OH 43210 USA; [Seibert, Chloe] Lamont Doherty Earth Observ, Marine Geol &amp; Geophys Div, Palisades, NY 10964 USA; [Silver, Maxwell] Colorado Sch Mines Hydrol Sci &amp; Engn, Golden, CO 80227 USA; [Virtasalo, Joonas] Geol Survey Finland GTK, Espoo 02151, Finland; [Wang, Yonghong] Ocean Univ China, Dept Marine Geosci, Qingdao 266100, Peoples R China; [Wu, Ting-Wei] Norwegian Geotechn Inst, Oslo, Norway; [Zellers, Sarah] Univ Cent Missouri, Dept Phys Sci, Warrensburg, MO 64093 USA</t>
  </si>
  <si>
    <t>Ocean University of China; Ocean University of China; University of Innsbruck; National Institute of Advanced Industrial Science &amp; Technology (AIST); UK Research &amp; Innovation (UKRI); Natural Environment Research Council (NERC); NERC British Geological Survey; Japan Agency for Marine-Earth Science &amp; Technology (JAMSTEC); University of Leicester; University of Tasmania; Woods Hole Oceanographic Institution; Woods Hole Oceanographic Institution; RWTH Aachen University; RWTH Aachen University; State University of New York (SUNY) System; State University of New York (SUNY) Stony Brook; University of Bremen; Oklahoma State University System; Oklahoma State University - Stillwater; University System Of New Hampshire; University of New Hampshire; Shanghai Ocean University; University of Leeds; University of Bonn; Columbia University; Waseda University; Centre National de la Recherche Scientifique (CNRS); CNRS - National Institute for Earth Sciences &amp; Astronomy (INSU); Universite de Rennes; Kyoto University; Universite de Bretagne Occidentale; Ifremer; Centre National de la Recherche Scientifique (CNRS); CNRS - National Institute for Earth Sciences &amp; Astronomy (INSU); Japan Agency for Marine-Earth Science &amp; Technology (JAMSTEC); Tohoku University; Japan Agency for Marine-Earth Science &amp; Technology (JAMSTEC); University of Western Australia; Kyushu University; City University of New York (CUNY) System; Queens College NY (CUNY); Helmholtz Association; GEOMAR Helmholtz Center for Ocean Research Kiel; Ministry of Earth Sciences (MoES) - India; National Centre for Polar and Ocean Research (NCPOR); University System of Ohio; Ohio State University; Columbia University; Geological Survey of Finland (GTK); Ocean University of China; Norwegian Geotechnical Institute, NGI; University Central Missouri</t>
  </si>
  <si>
    <t>Bao, R (corresponding author), Ocean Univ China, Frontiers Sci Ctr Deep Ocean Multispheres &amp; Earth, Qingdao 266100, Peoples R China.;Bao, R (corresponding author), Ocean Univ China, Key Lab Marine Chem Theory &amp; Technol, Minist Educ, Qingdao 266100, Peoples R China.</t>
  </si>
  <si>
    <t>baorui@ouc.edu.cn</t>
  </si>
  <si>
    <t>Johnson, Joel/AAA-1053-2020; Cattaneo, Antonio/A-7344-2010; PROUST, Jean Noel/A-4512-2010; Strasser, Michael/A-2424-2009</t>
  </si>
  <si>
    <t>Johnson, Joel/0000-0002-9172-8587; Hochmuth, Katharina/0000-0003-2789-2179; Koelling, Martin/0000-0003-2720-2211; Virtasalo, Joonas/0000-0002-9712-3642; Riedinger, Natascha/0000-0001-6766-0749; Bellanova, Piero/0000-0001-5204-8602; Everest, Jeremy/0000-0002-3455-7494; Kioka, Arata/0000-0002-0922-1112; Cattaneo, Antonio/0000-0001-5247-9138; Rasbury, Troy/0000-0003-0591-4461; Keep, Myra/0000-0002-2421-9213; PROUST, Jean Noel/0000-0003-4701-0372; Chu, Mengfan/0000-0001-7369-518X; Straub, Susanne M/0000-0001-6429-9791; Kanamatsu, Toshiya/0000-0002-7108-4534; Strasser, Michael/0000-0003-3991-2405</t>
  </si>
  <si>
    <t>European Consortium for Ocean Research Drilling (ECORD); National Natural Science Foundation of China [92058207, 42076037, 42242601]; Fundamental Research Funds for the Central Universities [202042010]; National Key Programs for Fundamental Research and Development [2016YFA0600904]; Taishan Young Scholars [tsqn202103030]; Shandong Natural Science Foundation [ZR2021JQ12]; U.S. Science Support Program; IODP; Japan Agency for Marine-Earth Science and Technology (JAMSTEC)</t>
  </si>
  <si>
    <t>European Consortium for Ocean Research Drilling (ECORD); National Natural Science Foundation of China(National Natural Science Foundation of China (NSFC)); Fundamental Research Funds for the Central Universities(Fundamental Research Funds for the Central Universities); National Key Programs for Fundamental Research and Development; Taishan Young Scholars; Shandong Natural Science Foundation(Natural Science Foundation of Shandong Province); U.S. Science Support Program; IODP; Japan Agency for Marine-Earth Science and Technology (JAMSTEC)</t>
  </si>
  <si>
    <t>This research used samples and data provided by the International Ocean Discovery Program (IODP) that are under moratorium until 30 November 2023. After the moratorium period, further data will be accessible online and more samples will be made available on request (www.iodp.org/access-data-and-samples).We thank staffs for assisting with sample preparation and measurement, and Nan Wang for comments on the figures. Expedition 386: Japan Trench Paleoseismology was jointly funded by the European Consortium for Ocean Research Drilling (ECORD), the U.S. Science Support Program, and the IODP, with contributions and logistical support from the Japan Agency for Marine-Earth Science and Technology (JAMSTEC). Any opinions, findings, conclusions, or recommendations expressed in this publication are those of the author(s) and do not necessarily reflect the views of the funders. This research is funded by National Natural Science Foundation of China (92058207, 42076037 and 42242601, R.B.), Fundamental Research Funds for the Central Universities (202042010, R.B.), the National Key Programs for Fundamental Research and Development (2016YFA0600904, R.B.), Taishan Young Scholars (tsqn202103030, R.B.), and Shandong Natural Science Foundation (ZR2021JQ12, R.B.).</t>
  </si>
  <si>
    <t>SEP 11</t>
  </si>
  <si>
    <t>10.1038/s41467-023-41116-w</t>
  </si>
  <si>
    <t>HE7T1</t>
  </si>
  <si>
    <t>Green Submitted, Green Published, gold, Green Accepted</t>
  </si>
  <si>
    <t>WOS:001157889300007</t>
  </si>
  <si>
    <t>Son, Y; Min, J; Shin, Y; Park, W</t>
  </si>
  <si>
    <t>Son, Yongjun; Min, Jihyeon; Shin, Yoonjae; Park, Woojun</t>
  </si>
  <si>
    <t>Morphological and physiological adaptations of psychrophilic Pseudarthrobacter psychrotolerans YJ56 under temperature stress</t>
  </si>
  <si>
    <t>ESCHERICHIA-COLI; GROWTH; IDENTIFICATION; SYSTEM; BIOSYNTHESIS; INSIGHTS; NITROGEN; ECOLOGY; GENES; RIMJ</t>
  </si>
  <si>
    <t>Both culture-independent and culture-dependent analyses using Nanopore-based 16S rRNA sequencing showed that short-term exposure of Antarctic soils to low temperature increased biomass with lower bacterial diversity and maintained high numbers of the phylum Proteobacteria, Firmicute, and Actinobacteria including Pseudarthrobacter species. The psychrophilic Pseudarthrobacter psychrotolerans YJ56 had superior growth at 13 degrees C, but could not grow at 30 degrees C, compared to other bacteria isolated from the same Antarctic soil. Unlike a single rod-shaped cell at 13 degrees C, strain YJ56 at 25 degrees C was morphologically shifted into a filamentous bacterium with several branches. Comparative genomics of strain YJ56 with other genera in the phylum Actinobacteria indicate remarkable copy numbers of rimJ genes that are possibly involved in dual functions, acetylation of ribosomal proteins, and stabilization of ribosomes by direct binding. Our proteomic data suggested that Actinobacteria cells experienced physiological stresses at 25 degrees C, showing the upregulation of chaperone proteins, GroEL and catalase, KatE. Level of proteins involved in the assembly of 50S ribosomal proteins and L29 in 50S ribosomal proteins increased at 13 degrees C, which suggested distinct roles of many ribosomal proteins under different conditions. Taken together, our data highlights the cellular filamentation and protein homeostasis of a psychrophilic YJ56 strain in coping with high-temperature stress.</t>
  </si>
  <si>
    <t>[Son, Yongjun; Min, Jihyeon; Shin, Yoonjae; Park, Woojun] Korea Univ, Dept Environm Sci &amp; Ecol Engn, Lab Mol Environm Microbiol, Seoul 02841, South Korea</t>
  </si>
  <si>
    <t>Korea University</t>
  </si>
  <si>
    <t>Park, W (corresponding author), Korea Univ, Dept Environm Sci &amp; Ecol Engn, Lab Mol Environm Microbiol, Seoul 02841, South Korea.</t>
  </si>
  <si>
    <t>wpark@korea.ac.kr</t>
  </si>
  <si>
    <t>National Research Foundation of Korea (NRF) Grant [NRF-2020M3A9H5104237]</t>
  </si>
  <si>
    <t>National Research Foundation of Korea (NRF) Grant(National Research Foundation of Korea)</t>
  </si>
  <si>
    <t>This work was supported by the National Research Foundation of Korea (NRF) Grant (NRF-2020M3A9H5104237).</t>
  </si>
  <si>
    <t>10.1038/s41598-023-42179-x</t>
  </si>
  <si>
    <t>CE2B9</t>
  </si>
  <si>
    <t>WOS:001123496500065</t>
  </si>
  <si>
    <t>Latour, P; Strzepek, RF; Wuttig, K; Merwe, PV; Bach, LT; Eggins, S; Boyd, PW; Ellwood, MJ; Pinfold, TL; Bowie, AR</t>
  </si>
  <si>
    <t>Latour, Pauline; Strzepek, Robert F.; Wuttig, Kathrin; Merwe, Pier van der; Bach, Lennart T.; Eggins, Sam; Boyd, Philip W.; Ellwood, Michael J.; Pinfold, Terry L.; Bowie, Andrew R.</t>
  </si>
  <si>
    <t>Seasonality of phytoplankton growth limitation by iron and manganese in subantarctic waters</t>
  </si>
  <si>
    <t>Iron; Manganese; Co-limitation; Phytoplankton; Subantarctic zone; Radioisotopes; Flow cytometry</t>
  </si>
  <si>
    <t>POLAR FRONTAL ZONES; SOUTHERN-OCEAN PHYTOPLANKTON; COMMUNITY STRUCTURE; MIXED-LAYER; LIGHT; AUSTRALIA; POPULATIONS; DEFICIENCY; SILICATE; SECTOR</t>
  </si>
  <si>
    <t>Phytoplankton indirectly influence climate through their role in the ocean biological carbon pump. In the Southern Ocean, the subantarctic zone represents an important carbon sink, yet variables limiting phytoplankton growth are not fully constrained. Using three shipboard bioassay experiments on three separate voyages, we evaluated the seasonality of iron (Fe) and manganese (Mn) co-limitation of subantarctic phytoplankton growth south of Tasmania, Australia. We observed a strong seasonal variation in a phytoplankton Fe limitation signal, with a summer experiment showing the greatest response to Fe additions. An autumn experiment suggested that other factors co-limited phytoplankton growth, likely low silicic acid concentrations. The phytoplankton responses to Mn additions were subtle and readily masked by the responses to Fe. Using flow cytometry, we observed that Mn may influence the growth of some small phytoplankton taxa in late summer/autumn, when they represent an important part of the phytoplankton community. In addition, Mn induced changes in the bulk photophysiology signal of the spring community. These results suggest that the importance of Mn may vary seasonally, and that its control on phytoplankton growth may be associated with specific taxa.</t>
  </si>
  <si>
    <t>[Latour, Pauline; Merwe, Pier van der; Bach, Lennart T.; Boyd, Philip W.; Bowie, Andrew R.] Univ Tasmania, Inst Marine &amp; Antarctic Studies, Hobart, Tas, Australia; [Latour, Pauline; Strzepek, Robert F.; Wuttig, Kathrin; Boyd, Philip W.; Bowie, Andrew R.] Univ Tasmania, Antarctic Climate &amp; Ecosyst Cooperat Res Ctr, Hobart, Tas, Australia; [Latour, Pauline] Univ Tasmania, ARC Australian Ctr Excellence Antarctic Sci ACEAS, Hobart, Tas, Australia; [Strzepek, Robert F.; Boyd, Philip W.; Bowie, Andrew R.] Univ Tasmania, Inst Marine &amp; Antarctic Studies, Australian Antarctic Program Partnership AAPP, Hobart, Tas, Australia; [Eggins, Sam; Ellwood, Michael J.] Australian Natl Univ, Res Sch Earth Sci, Canberra, ACT, Australia; [Ellwood, Michael J.] Australian Natl Univ, ARC Australian Ctr Excellence Antarctic Sci ACEAS, Res Sch Earth Sci, Canberra, Australia; [Pinfold, Terry L.] Univ Tasmania, Coll Hlth &amp; Med, Sch Med, Hobart, Tasmania, Australia</t>
  </si>
  <si>
    <t>University of Tasmania; Antarctic Climate &amp; Ecosystems Cooperative Research Centre (ACE CRC); University of Tasmania; University of Tasmania; University of Tasmania; Australian National University; Australian National University; University of Tasmania</t>
  </si>
  <si>
    <t>Latour, P (corresponding author), Univ Tasmania, Inst Marine &amp; Antarctic Studies, Hobart, Tas, Australia.;Latour, P (corresponding author), Univ Tasmania, Antarctic Climate &amp; Ecosyst Cooperat Res Ctr, Hobart, Tas, Australia.;Latour, P (corresponding author), Univ Tasmania, ARC Australian Ctr Excellence Antarctic Sci ACEAS, Hobart, Tas, Australia.</t>
  </si>
  <si>
    <t>Boyd, Philip W/J-7624-2014</t>
  </si>
  <si>
    <t>Bach, Lennart/0000-0003-0202-3671; Ellwood, Michael/0000-0003-4288-8530</t>
  </si>
  <si>
    <t>Antarctic Climate &amp; Ecosystems Cooperative Centre (ACE CRC); Australian Antarctic Program Partnership (AAPP) [ASCI000002]; Australian Research Council Special Research Initiative, Australian Centre for Excellence in Antarctic Science (ACEAS) [SR200100008]; Australian Research Council through Future Fellowship [FT200100846]</t>
  </si>
  <si>
    <t>Antarctic Climate &amp; Ecosystems Cooperative Centre (ACE CRC); Australian Antarctic Program Partnership (AAPP); Australian Research Council Special Research Initiative, Australian Centre for Excellence in Antarctic Science (ACEAS)(Australian Research Council); Australian Research Council through Future Fellowship(Australian Research Council)</t>
  </si>
  <si>
    <t>This work was funded through the Antarctic Climate &amp; Ecosystems Cooperative Centre (ACE CRC) and by the Australian Antarctic Program Partnership (AAPP; ASCI000002) . PL was supported by the Australian Research Council Special Research Initiative, Australian Centre for Excellence in Antarctic Science (ACEAS; Project Number SR200100008) . LTB acknowledges funding from the Australian Research Council through Future Fellowship (FT200100846) .</t>
  </si>
  <si>
    <t>10.1525/elementa.2023.00022</t>
  </si>
  <si>
    <t>U2ZJ6</t>
  </si>
  <si>
    <t>WOS:001083531700001</t>
  </si>
  <si>
    <t>Abe, K; Matsukura, R; Yamamoto, N; Amakasu, K; Nagata, R; Murase, H</t>
  </si>
  <si>
    <t>Abe, Koki; Matsukura, Ryuichi; Yamamoto, Natsuki; Amakasu, Kazuo; Nagata, Reiko; Murase, Hiroto</t>
  </si>
  <si>
    <t>Biomass of Antarctic krill (Euphausia superba) in the eastern Indian sector of the Southern Ocean (80-150°E) in the 2018-19 austral summer</t>
  </si>
  <si>
    <t>Acoustic; Distribution; Euphausiacea; Euphausiid; Zooplankton</t>
  </si>
  <si>
    <t>ROSS SEA; ABUNDANCE; WHALES</t>
  </si>
  <si>
    <t>Biomass of Antarctic krill (Euphausia superba) in the eastern Indian sector of the Southern Ocean (80-150 degrees E, corresponding to the longitudinal range of CCAMLR Division 58.4.1) in the austral summer of 2018-19 was estimated using data from a calibrated echosounder and biological sampling. This study was carried out as a part of the multidisciplinary ecosystem survey (KY1804) by Japanese research vessel Kaiyo-maru. The krill biomass was estimated using an up-to-date standard method of CCAMLR, the swarm-based method. Biomass of krill in the area had not been estimated since 1996 (BROKE survey). KY1804 covered a total of 4680 km of the surveyed distance in the surveyed area of 0.909 million km2. Krill were mainly distributed between the Southern Antarctic Circumpolar Current Front and the Antarctic Slope Front. The krill biomass during KY1804 was estimated as 4.325 million tonnes (CV = 17.0%), comparable with the 1996 BROKE estimate (4.83 million tonnes, CV = 17.0%); however, direct comparison is difficult because of differences in (1) biomass estimation methods; (2) timing of the surveys (KY1804 commenced about 40 days earlier in the year than BROKE); and (3) areal coverage, primarily because of different positions of the sea ice edge, especially in the western part of the area. There was no noticeable difference of krill biomass between day and night. This study provides a 2018-19 biomass estimate for Antarctic krill in the eastern Indian sector of the Southern Ocean, which is a basis for studies of this species as well as the Southern Ocean ecosystem.</t>
  </si>
  <si>
    <t>[Abe, Koki; Matsukura, Ryuichi] Japan Fisheries Res &amp; Educ Agcy, Fisheries Resources Inst, 2-12-4 Fukuura,Kanazawa, Yokohama, Kanagawa 2368648, Japan; [Yamamoto, Natsuki; Amakasu, Kazuo; Nagata, Reiko; Murase, Hiroto] Tokyo Univ Marine Sci &amp; Technol, 4-5-7 Konan,Minato Ku, Tokyo 1088477, Japan</t>
  </si>
  <si>
    <t>Japan Fisheries Research &amp; Education Agency (FRA); Tokyo University of Marine Science &amp; Technology</t>
  </si>
  <si>
    <t>Murase, H (corresponding author), Tokyo Univ Marine Sci &amp; Technol, 4-5-7 Konan,Minato Ku, Tokyo 1088477, Japan.</t>
  </si>
  <si>
    <t>hmuras0@kaiyodai.ac.jp</t>
  </si>
  <si>
    <t>The authors thank the officers, crew, and researchers onboard RV Kaiyo-Maru for their assistance with the KY1804 survey. The survey was supported by the Institute of Cetacean Research, the Japan Fisheries Research and Education Agency and the Fisheries Agency of Japan. Members of Working Groups on Acoustics, Survey and Analysis Methods and Ecosystem Monitoring and Management of CCAMLR provided constructive comments during the course of the planning and analysis. Dr. Martin Cox (Australian Antarctic Division) kindly provided technical advice on EchoviewR and the associated coding for R. A previous version of this manuscript (Abe et al., 2022) has been withdrawn at the request of the authors and editor because the acceptance process was not properly executed by the editor and publisher (i.e., without peer review) rather than any problem with the content.</t>
  </si>
  <si>
    <t>10.1016/j.pocean.2023.103107</t>
  </si>
  <si>
    <t>T8KH3</t>
  </si>
  <si>
    <t>WOS:001080411100001</t>
  </si>
  <si>
    <t>Regadío, A; Blanco, JJ; Tejedor, JIG; Ayuso, S; Vrublevskyy, I; Sánchez-Prieto, S</t>
  </si>
  <si>
    <t>Regadio, Alberto; Blanco, Juan Jose; Tejedor, J. Ignacio Garcia; Ayuso, Sindulfo; Vrublevskyy, Ivan; Sanchez-Prieto, Sebastian</t>
  </si>
  <si>
    <t>Trajectory determination at Muon Impact Tracer and Observer (MITO) using artificial neural networks</t>
  </si>
  <si>
    <t>Digital pulse processing; Instrumentation; Muon detector; Scintillator; Neural network; Cosmic rays; Space weather</t>
  </si>
  <si>
    <t>PULSE-SHAPE ANALYSIS; IDENTIFICATION; FPGA</t>
  </si>
  <si>
    <t>We propose a method for the determination of the impact point of muons in each of the two detection planes of the Muon Impact Tracer and Observer (MITO) telescope, which is part of the ORCA (Antarctic Cosmic Ray Observatory). The method uses the relative pulse height obtained by the four photomultipliers associated to the scintillator with the Adaptable and Reconfigurable Acquisition Con-cept for Nuclear Electronics (ARACNE) data adquisition module. These pulses are processed with an Artificial Neural Network (ANN) previously trained with the GEANT4 model of the detector. With the impact point in both MITO planes, we estimate the angle of inci-dence of these particles with in order to evaluate the isotropy of the incident particles. To validate the method, real data from recorded by MITO in Livingston Island, Antarctica have been used to evaluate the feasibility of this method and its application to space weather. (c) 2023 COSPAR. Published by Elsevier B.V. This is an open access article under the CC BY-NC-ND license (http://creativecommons.org/licenses/ by-nc-nd/4.0/).</t>
  </si>
  <si>
    <t>[Regadio, Alberto; Blanco, Juan Jose; Tejedor, J. Ignacio Garcia; Ayuso, Sindulfo; Vrublevskyy, Ivan; Sanchez-Prieto, Sebastian] Univ Alcala, Space Res Grp, Alcala De Henares, Spain</t>
  </si>
  <si>
    <t>Regadío, A (corresponding author), Univ Alcala, Space Res Grp, Alcala De Henares, Spain.</t>
  </si>
  <si>
    <t>alberto.regadio@uah.es; juanjo.blanco@uah.es; ignacio.garcia@uah.es; sindulfo.ayuso@edu.uah.es; ivan.vrublevskyy@edu.uah.es; sebastian.sanchez@uah.es</t>
  </si>
  <si>
    <t>G. Tejedor, J. Ignacio/AAB-5573-2019; Blanco-Avalos, Juan Jose/E-3627-2014</t>
  </si>
  <si>
    <t>G. Tejedor, J. Ignacio/0000-0003-1397-5950; Blanco-Avalos, Juan Jose/0000-0002-8666-0696</t>
  </si>
  <si>
    <t>Ministerio de Economa y Competitividad [PID2019-107806 GB-I00]; European Regional Development Fund; FEDER</t>
  </si>
  <si>
    <t>Ministerio de Economa y Competitividad(Spanish Government); European Regional Development Fund(European Union (EU)); FEDER(European Union (EU)Spanish Government)</t>
  </si>
  <si>
    <t>Thanks to project PID2019-107806 GB-I00 funded by Ministerio de Economia y Competitividad and by the European Regional Development Fund, FEDER.</t>
  </si>
  <si>
    <t>10.1016/j.asr.2023.07.046</t>
  </si>
  <si>
    <t>T6JG6</t>
  </si>
  <si>
    <t>WOS:001079023800001</t>
  </si>
  <si>
    <t>Zhao, LY; Fu, LP; Gu, XQ; Zhang, Q; Li, J</t>
  </si>
  <si>
    <t>Zhao, Luying; Fu, Liping; Gu, Xiaoqian; Zhang, Qian; Li, Jiang</t>
  </si>
  <si>
    <t>Degradation of seaweed waste by the extracellular multifunctional Amy19 enzyme and the stimulatory effects of enzymatic hydrolysates on cucumber seed germination</t>
  </si>
  <si>
    <t>Multifunctional alpha-amylase Amy19; Enzymatic hydrolysates; Cucumber seed; Germination; Extracellular secretion</t>
  </si>
  <si>
    <t>PLANT-GROWTH REGULATORS; KAPPA-CARRAGEENAN; LAMBDA-CARRAGEENAN; MOLECULAR-WEIGHT; ACID-HYDROLYSIS; FUNCTIONAL FOOD; ULVA-LACTUCA; MACROALGAE; EXTRACTS; METABOLITES</t>
  </si>
  <si>
    <t>In the present study, recombinant Escherichia coli that secretes the multifunctional alpha-amylase Amy19 was constructed and the induction conditions were optimized. The optimal induction condition obtained by orthogonal experiment was addition of 1.5% glycine for 24 h at 10 celcius. The extracellular secreted multifunctional Amy19 showed the ability to degrade seaweed (Gracilaria verrucosa) waste directly. The reducing sugar concentration increased gradually with degradation time, reaching a maximum (1.047 +/- 0.0058 mg mL-1) at 60 h. HPLC showed that the higher degree of polymerization of oligosaccharides decreased gradually, while the content of galactose and 3,6-anhydro-L-galactose gradually increased with time. In the cucumber seed germination experiments, root lengths and seed germination percentages after treatment with enzymatic hydrolysates of seaweed at 5% and 10% concentrations were much greater than after treatment with water or water extracts of seaweed. This may be due to the presence of polysaccharides and oligosaccharide in EHS. In addition, seeds treated with enzymatic hydrolysates of seaweed at lower concentrations showed higher germination indexes and germination energy levels, which were associated with lower mean germination times. Thus, the use of the lower concentrations of enzymatic hydrolysates of seaweed may result in more rapid germination of seeds. This study provides important information for the efficient preparation of recombinant enzyme extracellular secretion and the agricultural applications of seaweed waste.</t>
  </si>
  <si>
    <t>[Zhao, Luying; Fu, Liping; Zhang, Qian; Li, Jiang] First Inst Oceanog, Marine Bioresource &amp; Environm Res Ctr, Minist Nat Resources, Qingdao 266061, Peoples R China; [Zhao, Luying; Fu, Liping; Zhang, Qian; Li, Jiang] First Inst Oceanog, Key Lab Ecol Environm Sci &amp; Technol, Minist Nat Resources, Qingdao 266061, Peoples R China; [Gu, Xiaoqian] Chinese Acad Sci, Inst Oceanol, CAS Key Lab Expt Marine Biol, 7 Nanhai Rd, Qingdao 266071, Peoples R China</t>
  </si>
  <si>
    <t>First Institute of Oceanography, Ministry of Natural Resources; Ministry of Natural Resources of the People's Republic of China; Ministry of Natural Resources of the People's Republic of China; First Institute of Oceanography, Ministry of Natural Resources; Chinese Academy of Sciences; Institute of Oceanology, CAS</t>
  </si>
  <si>
    <t>Li, J (corresponding author), First Inst Oceanog, Marine Bioresource &amp; Environm Res Ctr, Minist Nat Resources, Qingdao 266061, Peoples R China.;Li, J (corresponding author), First Inst Oceanog, Key Lab Ecol Environm Sci &amp; Technol, Minist Nat Resources, Qingdao 266061, Peoples R China.</t>
  </si>
  <si>
    <t>lijiang@fio.org.cn</t>
  </si>
  <si>
    <t>This research was supported by Impact and Response of Antarctic Seas to Climate Change (RFSOCC2020-2022), the National Key Research and Development Program of China (2018YFC1406704) and the Key Research and Development Program of Shandong Province, China (2018GHY115013). We thank Liwen Bianji (Edanz) (https://www.liwenbianji.cn) for editing the language of a draft of this manuscript.</t>
  </si>
  <si>
    <t>10.1007/s10811-023-03086-w</t>
  </si>
  <si>
    <t>WOS:001065090800005</t>
  </si>
  <si>
    <t>WOS:001065090800002</t>
  </si>
  <si>
    <t>Basberg, BL; Lintott, B</t>
  </si>
  <si>
    <t>Basberg, Bjorn L.; Lintott, Bryan</t>
  </si>
  <si>
    <t>Perspectives on the economic and political history of the Ross Sea</t>
  </si>
  <si>
    <t>Antarctica; Ross Sea; history; whaling; territorial claims</t>
  </si>
  <si>
    <t>The paper analyses the economic and political history of the Ross Sea, where exploration, science, commercial exploitation, politics and adventure became highly interlinked and interwoven. Expedition accounts and the extensive literature on Antarctic history and politics inform the contextual aspects. The archives of the Norwegian whaling company A/S Rosshavet, established in 1923, and the United States of America and New Zealand archival material from the 1950s are key sources. From the first whaling season onwards, the impact of Antarctic whaling, and later scientific bases, highlights and illustrates the tensions between Antarctic commerce, territorial claims and international politics.</t>
  </si>
  <si>
    <t>[Basberg, Bjorn L.] Norwegian Sch Econ, Dept Econ, Bergen, Norway; [Lintott, Bryan] Univ Cambridge, Scott Polar Res Inst, Cambridge, England; [Lintott, Bryan] UiT The Arctic Univ Norway, Technol &amp; Safety Inst, Tromso, Norway</t>
  </si>
  <si>
    <t>Norwegian School of Economics (NHH); University of Cambridge; UiT The Arctic University of Tromso</t>
  </si>
  <si>
    <t>Basberg, BL (corresponding author), Norwegian Sch Econ, Dept Econ, Bergen, Norway.</t>
  </si>
  <si>
    <t>bjorn.basberg@nhh.no</t>
  </si>
  <si>
    <t>We greatly appreciate the input from Robert K. Headland and archival assistance at Vestfoldarkivet (Sandefjord) in the work with the archive of A/S Rosshavet. We also appreciate the questions and comments from participants at seminars and the conference in</t>
  </si>
  <si>
    <t>This paper was gradually conceptualised based on several talks and presentations by Basberg on aspects of the history of the Ross Sea region: first at NTNU, Trondheim, May 2019; then at the Antarctic Seminar, the Norwegian Polar Institute, October 2020 and, finally, at an online event hosted by South Georgia Heritage Trust and UK Antarctic Heritage Trust, March 2021. The actual paper was developed jointly by Basberg and Lintott and presented at the 8th IMHA International Congress of Maritime History, Porto, June 2022.r We greatly appreciate the input from Robert K. Headland and archival assistance at Vestfoldarkivet (Sandefjord) in the work with the archive of A/S Rosshavet. We also appreciate the questions and comments from participants at seminars and the conference in Porto.</t>
  </si>
  <si>
    <t>10.1080/2154896X.2023.2251224</t>
  </si>
  <si>
    <t>WOS:001093372200001</t>
  </si>
  <si>
    <t>Riaz, J; Orben, RA; Jones, KA; Shapiro, M; Winter, A; Brickle, P; Baylis, AMM</t>
  </si>
  <si>
    <t>Riaz, Javed; Orben, Rachael A.; Jones, Kayleigh A.; Shapiro, Megan; Winter, Andreas; Brickle, Paul; Baylis, Alastair M. M.</t>
  </si>
  <si>
    <t>Spatial overlap between South American fur seal foraging effort and commercial trawl fisheries in the Falkland Islands</t>
  </si>
  <si>
    <t>GLOBAL ECOLOGY AND CONSERVATION</t>
  </si>
  <si>
    <t>Foraging behaviour; Seal-fishery interaction; Spatial overlap; Fisheries; South American fur seal</t>
  </si>
  <si>
    <t>SQUID LOLIGO-GAHI; MARINE PREDATOR; DIVING BEHAVIOR; HABITAT USE; ONTOGENIC MIGRATIONS; OPTIMAL ALLOCATION; GREY SEALS; TIME; BYCATCH; DIET</t>
  </si>
  <si>
    <t>Interactions between seals and commercial fisheries can pose a significant threat to the conservation status of seal populations. In the Falkland Islands, home to over 50 % of the global South American fur seal (SAFS) population, there has been a dramatic (similar to 900 %) increase in the number of SAFS-fishery interactions in recent years. However, significant knowledge gaps regarding SAFS spatiotemporal foraging behaviour and habitat use hinders our capacity to assess the ecological mechanisms underpinning these interactions. In this study, we investigate the spatial overlap between SAFS foraging effort and commercial squid and finfish trawl fisheries in the Falkland Island Exclusive Economic Zone (EEZ). By spatially integrating two years of SAFS horizontal and vertical movement data with contemporaneous trawl-by-trawl information from the Falkland Islands fishing fleet, we examine whether SAFS concentrate their foraging effort in areas associated with greater squid and finfish catch quantities. Our findings reveal a marked spatial overlap between SAFS foraging effort and commercial trawling activity within the Falkland Islands EEZ, particularly in areas associated with Patagonian longfin squid (Doryteuthis gahi) and common hake (Merluccius hubbsi). Across the various metrics of foraging effort (summarised dive activity) examined, we found SAFS performed a greater number of dives, travelled greater vertical distances and performed deeper dives in intensively fished areas. These results suggest SAFS forage in the same habitats targeted by commercial squid and finfish fisheries, where they compete for demersal resources by performing a high frequency of deep dives. The implications of our findings are discussed within the broader context of local prey-field dynamics and fisheriesmanagement. This study represents one of the most comprehensive investigations of SAFS movement ecology and advances our understanding of seal-fishery interactions in the Falkland Islands EEZ - a topic of increasing management concern. Importantly, this work can support conservation efforts for this globally significant SAFS population and contribute to long-term marine management objectives of the Falkland Islands fishery.</t>
  </si>
  <si>
    <t>[Riaz, Javed; Shapiro, Megan; Brickle, Paul; Baylis, Alastair M. M.] South Atlantic Environm Res Inst, Stanley FIQQ 1ZZ, Falkland Island; [Orben, Rachael A.] Oregon State Univ, Marine Mammal Inst, Dept Fisheries Wildlife &amp; Conservat Sci, Hatfield Marine Sci Ctr, Newport, OR 97365 USA; [Jones, Kayleigh A.] British Antarctic Survey, Madingley Rd, Cambridge CB3 0ET, England; [Jones, Kayleigh A.] Univ Exeter, Coll Life &amp; Environm Sci, Penryn Campus, Penryn TR10 9FE, Cornwall, England; [Winter, Andreas] Falkland Islands Govt, Fisheries Dept, Bypass Rd, Stanley FIQQ 1ZZ, Falkland Island; [Brickle, Paul] Univ Aberdeen, Sch Biol Sci Zool, Aberdeen AB24 2TZ, Scotland</t>
  </si>
  <si>
    <t>Oregon State University; UK Research &amp; Innovation (UKRI); Natural Environment Research Council (NERC); NERC British Antarctic Survey; University of Exeter; University of Aberdeen</t>
  </si>
  <si>
    <t>Riaz, J (corresponding author), South Atlantic Environm Res Inst, Stanley FIQQ 1ZZ, Falkland Island.</t>
  </si>
  <si>
    <t>jriaz@saeri.ac.fk</t>
  </si>
  <si>
    <t>Orben, Rachael A./0000-0002-0802-407X; Riaz, Javed/0000-0002-2729-6433</t>
  </si>
  <si>
    <t>Darwin Plus scheme [DPLUS168]; Winnifred Violet Scott Fund; Falkland Islands Government Environmental Studies Budget; FIFCA</t>
  </si>
  <si>
    <t>Darwin Plus scheme; Winnifred Violet Scott Fund; Falkland Islands Government Environmental Studies Budget; FIFCA</t>
  </si>
  <si>
    <t>This manuscript and research forms part of the South Atlantic Environmental Research Institute's Seal Bycatch project, funded under the Darwin Plus scheme (DPLUS168). The project is a partnership with the Falkland Islands Government Fisheries Department (FIFD) and the Falkland Islands Fishing Companies Association (FIFCA). We thank the FIFD for providing all fisheries data used in this study. The fieldwork conducted at Bird Island was generously supported by the Winnifred Violet Scott Fund, FIFCA and the Falkland Islands Government Environmental Studies Budget. Tagging of SAFS was under research permit R19/2018 and R19/2019 issued by the Falkland Islands Government. We are grateful to the crew of the FPV Protegat for transportation to Bird Island in 2018 and Leiv Poncet who sailed the field team to Bird Island in 2019.</t>
  </si>
  <si>
    <t>2351-9894</t>
  </si>
  <si>
    <t>GLOB ECOL CONSERV</t>
  </si>
  <si>
    <t>Glob. Ecol. Conserv.</t>
  </si>
  <si>
    <t>e02615</t>
  </si>
  <si>
    <t>10.1016/j.gecco.2023.e02615</t>
  </si>
  <si>
    <t>T8PV6</t>
  </si>
  <si>
    <t>WOS:001080558600001</t>
  </si>
  <si>
    <t>Kim, SJ; Youn, UJ; Kang, PL; Kim, TK; Kim, I; Han, SJ; Lee, DW; Yim, JH</t>
  </si>
  <si>
    <t>Kim, Sung Jin; Youn, Ui Joung; Kang, Pilsung; Kim, Tai Kyoung; Kim, Il-Chan; Han, Se Jong; Lee, Dong-Woo; Yim, Joung Han</t>
  </si>
  <si>
    <t>A novel exopolysaccharide (p-CY01) from the Antarctic bacterium Pseudoalteromonas sp. strain CY01 cryopreserves human red blood cells</t>
  </si>
  <si>
    <t>BIOMATERIALS SCIENCE</t>
  </si>
  <si>
    <t>HYDROXYETHYL STARCH; IN-VITRO; SEA-ICE; TREHALOSE; RECOVERY; TRANSFUSION; MECHANISMS; GLYCEROL; STORAGE; FROZEN</t>
  </si>
  <si>
    <t>Cryopreservation of human red blood cells (RBCs) is vital for regenerative medicine and organ transplantation, but current cryoprotectants (CPAs) like glycerol and hydroxyethyl starch (HES) have limitations. Glycerol requires post-thaw washing due to cell membrane penetration, while HES causes high viscosity. To address these issues, we explored exopolysaccharides (EPS) from Antarctic Pseudoalteromonas sp. strain CY01 as a non-penetrating CPA for RBC cryopreservation. The EPS, p-CY01, consisted mainly of repeating (1-4) glucose and (1-6) galactose linkages with a molecular mass of 1.1 x 10(7) Da. Through mild acid hydrolysis, we obtained low molecular weight p-CY01 (p-CY01 LM) with a molecular weight of 2.7 x 10(5) Da, offering reduced viscosity, improved solubility, and cryoprotective properties. Notably, combining low concentrations of penetrating CPAs (&gt;1% glycerol and dimethyl sulfoxide) with 2.5% (w/v) p-CY01 LM demonstrated significant cryoprotective effects. These findings highlight the potential of p-CY01 LM as a highly effective CPA for human RBC cryopreservation, replacing HES and glycerol and enabling the long-term storage of biological materials.</t>
  </si>
  <si>
    <t>[Kim, Sung Jin; Youn, Ui Joung; Kang, Pilsung; Kim, Tai Kyoung; Kim, Il-Chan; Han, Se Jong; Yim, Joung Han] Korea Polar Res Inst, Div Polar Life Sci, Incheon 21990, South Korea; [Kim, Sung Jin; Lee, Dong-Woo] Yonsei Univ, Grad Program Biomat Sci &amp; Engn, Seoul 03722, South Korea; [Lee, Dong-Woo] Yonsei Univ, Dept Biotechnol, Seoul 03722, South Korea</t>
  </si>
  <si>
    <t>Korea Polar Research Institute (KOPRI); Yonsei University; Yonsei University</t>
  </si>
  <si>
    <t>Yim, JH (corresponding author), Korea Polar Res Inst, Div Polar Life Sci, Incheon 21990, South Korea.;Lee, DW (corresponding author), Yonsei Univ, Grad Program Biomat Sci &amp; Engn, Seoul 03722, South Korea.;Lee, DW (corresponding author), Yonsei Univ, Dept Biotechnol, Seoul 03722, South Korea.</t>
  </si>
  <si>
    <t>leehicam@yonsei.ac.kr; jhyim@kopri.re.kr</t>
  </si>
  <si>
    <t>Kim, Il-Chan/0000-0002-5776-7582; Kim, Tai Kyoung/0000-0001-9045-3457; Youn, Ui Joung/0000-0001-9338-7934; Lee, Dong-Woo/0000-0002-2272-8321; KIM, SUNG JIN/0009-0001-1189-8747; HAN, Se Jong/0000-0001-9576-2179</t>
  </si>
  <si>
    <t>Korea Polar Research Institute (KOPRI) - Ministry of Oceans and Fisheries [PE23150]; Graduate Program in Bio Industrial Engineering of Yonsei University</t>
  </si>
  <si>
    <t>Korea Polar Research Institute (KOPRI) - Ministry of Oceans and Fisheries; Graduate Program in Bio Industrial Engineering of Yonsei University</t>
  </si>
  <si>
    <t>This research was supported by the Korea Polar Research Institute (KOPRI) grant funded by the Ministry of Oceans and Fisheries (PE23150). This work was supported by the Graduate Program in Bio Industrial Engineering of Yonsei University.</t>
  </si>
  <si>
    <t>ROYAL SOC CHEMISTRY</t>
  </si>
  <si>
    <t>THOMAS GRAHAM HOUSE, SCIENCE PARK, MILTON RD, CAMBRIDGE CB4 0WF, CAMBS, ENGLAND</t>
  </si>
  <si>
    <t>2047-4830</t>
  </si>
  <si>
    <t>2047-4849</t>
  </si>
  <si>
    <t>BIOMATER SCI-UK</t>
  </si>
  <si>
    <t>Biomater. Sci.</t>
  </si>
  <si>
    <t>10.1039/d3bm00917c</t>
  </si>
  <si>
    <t>Materials Science, Biomaterials</t>
  </si>
  <si>
    <t>U5BX5</t>
  </si>
  <si>
    <t>WOS:001068540200001</t>
  </si>
  <si>
    <t>Le Lay, C; Hamm, JN; Williams, TJ; Shi, M; Cavicchioli, R; Holmes, EC</t>
  </si>
  <si>
    <t>Le Lay, Callum; Hamm, Joshua N.; Williams, Timothy J.; Shi, Mang; Cavicchioli, Ricardo; Holmes, Edward C.</t>
  </si>
  <si>
    <t>Viral community composition of hypersaline lakes</t>
  </si>
  <si>
    <t>VIRUS EVOLUTION</t>
  </si>
  <si>
    <t>archaea; hypersaline; RNA virus; bacteriophage; detection; RNA-dependent RNA polymerase</t>
  </si>
  <si>
    <t>ALIGNMENT; VIRUSES; DOMAIN; POPULATIONS; EVOLUTION; DATABASE; GENOMES</t>
  </si>
  <si>
    <t>Despite their widespread distribution and remarkable antiquity no RNA viruses definitively associated with the domain Archaea have been identified. In contrast, 17 families of DNA viruses are known to infect archaea. In an attempt to uncover more of the elusive archaeal virosphere, we investigated the metatranscriptomes of hypersaline lakes that are a rich source of archaea. We sequenced RNA extracted from water filter samples of Lake Tyrrell (Victoria, Australia) and cultures seeded from four lakes in Antarctica. To identify highly divergent viruses in these data, we employed a variety of search tools, including Hidden Markov models (HMMs) and position-specific scoring matrices (PSSMs). From this, we identified 12 highly divergent, RNA virus-like candidate sequences from the virus phyla Artverviricota, Duplornaviricota, Kitrinoviricota, Negarnaviricota, and Pisuviricota, including those with similarity to the RNA-dependent RNA polymerase (RdRp). An additional analysis with an artificial intelligence (AI)-based approach that utilises both sequence and structural information identified seven putative and highly divergent RdRp sequences of uncertain phylogenetic position. A sequence matching the Pisuviricota from Deep Lake in Antarctica had the strongest RNA virus signal. Analyses of the dinucleotide representation of the virus-like candidates in comparison to that of potential host species were in some cases compatible with an association to archaeal or bacterial hosts. Notably, however, the use of archaeal CRISPR spacers as a BLAST database failed to detect any RNA viruses. We also described DNA viruses from the families Pleolipoviridae, Sphaerolipoviridae, Halspiviridae, and the class Caudoviricetes. Although we were unable to provide definitive evidence the existence of an RNA virus of archaea in these hypersaline lakes, this study lays the foundations for further investigations of highly divergent RNA viruses in natural environments.</t>
  </si>
  <si>
    <t>[Le Lay, Callum; Holmes, Edward C.] Univ Sydney, Sydney Inst Infect Dis, Sch Med Sci, Sydney, NSW 2006, Australia; [Hamm, Joshua N.] Royal Netherlands Inst Sea Res, Dept Marine Microbiol &amp; Biogeochem, POB 59, NL-1790 AB Den Burg, Netherlands; [Williams, Timothy J.; Cavicchioli, Ricardo] Univ New South Wales, Sch Biotechnol &amp; Biomol Sci, Sydney, NSW 2052, Australia; [Shi, Mang] Sun Yat Sen Univ, Sch Med, State Key Lab Biocontrol, Shenzhen Campus, Shenzhen, Peoples R China</t>
  </si>
  <si>
    <t>University of Sydney; Utrecht University; Royal Netherlands Institute for Sea Research (NIOZ); University of New South Wales Sydney; Sun Yat Sen University</t>
  </si>
  <si>
    <t>Holmes, EC (corresponding author), Univ Sydney, Sydney Inst Infect Dis, Sch Med Sci, Sydney, NSW 2006, Australia.</t>
  </si>
  <si>
    <t>edward.holmes@sydney.edu.au</t>
  </si>
  <si>
    <t>Holmes, Edward C/Y-2789-2019; Hamm, Joshua Norman/KDM-6673-2024; Shi, Mang/D-5118-2013</t>
  </si>
  <si>
    <t>Holmes, Edward C/0000-0001-9596-3552; Hamm, Joshua Norman/0000-0001-7395-6562; Shi, Mang/0000-0002-6154-4437; Williams, Timothy/0000-0002-2738-3019</t>
  </si>
  <si>
    <t>Australian Research Council Australian Laureate Fellowship [FL170100022]; Australian Research Council [DP150100244]; Australian Antarctic Science Program Project [4031]</t>
  </si>
  <si>
    <t>Australian Research Council Australian Laureate Fellowship(Australian Research Council); Australian Research Council(Australian Research Council); Australian Antarctic Science Program Project</t>
  </si>
  <si>
    <t>This work was supported by an Australian Research Council Australian Laureate Fellowship to ECH (FL170100022). Antarctic lake sampling was performed under an Australian Research Council Grant (DP150100244) and Australian Antarctic Science Program Project (4031).</t>
  </si>
  <si>
    <t>2057-1577</t>
  </si>
  <si>
    <t>VIRUS EVOL</t>
  </si>
  <si>
    <t>Virus Evol.</t>
  </si>
  <si>
    <t>SEP 9</t>
  </si>
  <si>
    <t>vead057</t>
  </si>
  <si>
    <t>10.1093/ve/vead057</t>
  </si>
  <si>
    <t>R0LT4</t>
  </si>
  <si>
    <t>WOS:001061349700001</t>
  </si>
  <si>
    <t>Thomas, MC; Waugh, G; Vanwonterghem, I; Webster, NS; Rinke, C; Fisher, R; Luter, HM; Negr, AP</t>
  </si>
  <si>
    <t>Thomas, Marie C.; Waugh, Gretel; Vanwonterghem, Inka; Webster, Nicole S.; Rinke, Christian; Fisher, Rebecca; Luter, Heidi M.; Negr, Andrew P.</t>
  </si>
  <si>
    <t>Protecting the invisible: Establishing guideline values for copper toxicity to marine microbiomes</t>
  </si>
  <si>
    <t>Tropical marine microbiome; Copper toxicity; Propidium monoazide; 16S; TITAN; Hazard concentration</t>
  </si>
  <si>
    <t>PROPIDIUM MONOAZIDE; FUNCTIONAL REDUNDANCY; COMMUNITY RESPONSES; MODEL EVALUATION; HEAVY-METAL; CYANOBACTERIA; PCR; ENUMERATION; VALIDATION; CELLS</t>
  </si>
  <si>
    <t>Understanding the rapid responses of marine microbiomes to environmental disturbances is paramount for supporting early assessments of harm to high-value ecosystems, such as coral reefs. Yet, management guidelines aimed at protecting aquatic life from environmental pollution remain exclusively defined for organisms at higher trophic levels. In this study, 16S rRNA gene amplicon sequencing was applied in conjunction with propidium monoazide for cell-viability assessment as a sensitive tool to determine taxon- and community-level changes in a seawater microbial community under copper (Cu) exposure. Bayesian model averaging was used to establish concentration-response relationships to evaluate the effects of copper on microbial composition, diversity, and richness for the purpose of estimating microbiome Hazard Concentration (mHCx) values. Predicted mHC5 values at which a 5 % change in microbial composition, diversity, and richness occurred were 1.05, 0.72, and 0.38 mu g Cu L- 1 , respectively. Threshold indicator taxa analysis was applied across the copper concentrations to identify taxon-specific change points for decreasing taxa. These change points were then used to generate a Prokaryotic Sensitivity Distribution (PSD), from which mHCxdec values were derived for copper, suitable for the protection of 99, 95, 90, and 80 % of the marine microbiome. The mHC5dec guideline value of 0.61 mu g Cu L- 1 , protective of 95 % of the marine microbial community, was lower than the equivalent Australian water quality guideline value based on eukaryotic organisms at higher trophic levels. This suggests that marine microbial communities might be more vulnerable, highlighting potential insufficiencies in their protection against copper pollution. The mHCx values proposed here provide approaches to quantitatively assess the effects of contaminants on microbial communities towards the inclusion of prokaryotes in future water quality guidelines.</t>
  </si>
  <si>
    <t>[Thomas, Marie C.; Waugh, Gretel; Vanwonterghem, Inka; Webster, Nicole S.; Rinke, Christian] Univ Queensland, Australian Ctr Ecogenom, Sch Chem &amp; Mol Biosci, Brisbane, Qld 4072, Australia; [Thomas, Marie C.; Waugh, Gretel; Webster, Nicole S.; Luter, Heidi M.; Negr, Andrew P.] Australian Inst Marine Sci, Townsville, Qld 4810, Australia; [Thomas, Marie C.; Waugh, Gretel; Luter, Heidi M.; Negr, Andrew P.] James Cook Univ, Div Res &amp; Innovat, AIMSJCU, Townsville, Qld 4811, Australia; [Webster, Nicole S.] Australian Antarctic Div, Hobart, Tas 7050, Australia; [Fisher, Rebecca] Australian Inst Marine Sci Crawley, Crawley, WA, Australia</t>
  </si>
  <si>
    <t>University of Queensland; Australian Institute of Marine Science; James Cook University; Australian Antarctic Division</t>
  </si>
  <si>
    <t>Thomas, MC (corresponding author), Univ Queensland, Australian Ctr Ecogenom, Sch Chem &amp; Mol Biosci, Brisbane, Qld 4072, Australia.</t>
  </si>
  <si>
    <t>marie.thomas@uq.net.au</t>
  </si>
  <si>
    <t>Luter, Heidi/N-2139-2013</t>
  </si>
  <si>
    <t>Luter, Heidi/0000-0001-7810-7076</t>
  </si>
  <si>
    <t>10.1016/j.scitotenv.2023.166658</t>
  </si>
  <si>
    <t>HI7P8</t>
  </si>
  <si>
    <t>WOS:001158936600001</t>
  </si>
  <si>
    <t>Monràs-Riera, P; Angulo-Preckler, C; Avila, C</t>
  </si>
  <si>
    <t>Monras-Riera, Pere; Angulo-Preckler, Carlos; Avila, Conxita</t>
  </si>
  <si>
    <t>Quantification and distribution of marine microdebris in the surface waters of Livingston Island (South Shetland Islands, Antarctica)</t>
  </si>
  <si>
    <t>Pollution; Microplastics; Microfibres; Anthropogenic impact; FTIR</t>
  </si>
  <si>
    <t>MICROPLASTICS; ACCUMULATION; SEA; ENVIRONMENT; DEBRIS; WASTE</t>
  </si>
  <si>
    <t>Microdebris are ubiquitous and the Southern Ocean is no exception. Despite the recent increment in Antarctic studies assessing this threat, there is still scarce information available. Here, we quantified the microdebris in surface water, and their distribution within two bays of Livingston Island (South Shetlands, Antarctica). The two studied bays included one with human presence and one pristine, barely visited. Microdebris pollution was found in all samples with a mean concentration of 0.264 +/- 0.185 items/m3. Fibres (82.19 %) were the main item, with polyester (61.67 %) as the main plastic polymer, followed by nylon (29.54 %). No differences in the distribution pattern were observed, with microdebris being homogeneously distributed along the two bays. Our results suggest that nearshore waters of Livingston Island are prone to the accumulation and retention of microdebris. The composition of the microdebris also points to Antarctic local activities as principal contamination contributors.</t>
  </si>
  <si>
    <t>[Monras-Riera, Pere; Avila, Conxita] Univ Barcelona, Ecol Environm Sci &amp; Biodivers Res Inst IrBIO, Fac Biol, Dept Evolutionary Biol, Catalonia, Spain; [Angulo-Preckler, Carlos] King Abdullah Univ Sci &amp; Technol, Red Sea Res Ctr, Thuwal, Saudi Arabia; [Monras-Riera, Pere] Univ Barcelona, Dept Biol Evolut Ecol &amp; Ciencies Ambientals, Fac Biol, Avinguda Diagonal 643, Barcelona, Catalonia, Spain</t>
  </si>
  <si>
    <t>University of Barcelona; King Abdullah University of Science &amp; Technology; University of Barcelona</t>
  </si>
  <si>
    <t>Monràs-Riera, P (corresponding author), Univ Barcelona, Dept Biol Evolut Ecol &amp; Ciencies Ambientals, Fac Biol, Avinguda Diagonal 643, Barcelona, Catalonia, Spain.</t>
  </si>
  <si>
    <t>pmonrasiriera@ub.edu; carlos.preckler@kaust.edu.sa; conxita.avila@ub.edu</t>
  </si>
  <si>
    <t>BLUEBIO [CTM2016-78901/ANT]; CHALLENGE [PID2019-107979RB-100]; Spanish Government; SGR (Research Quality Group) funding of the Generalitat de Catalunya [2014SGR336, 2017SGR1120]; PREDOCS-UB Grant (2020) of the University of Barcelona; BLUEBIO [CTM2016-78901/ANT]; CHALLENGE [PID2019-107979RB-100]; Spanish Government; SGR (Research Quality Group) funding of the Generalitat de Catalunya [2014SGR336, 2017SGR1120]; PREDOCS-UB Grant (2020) of the University of Barcelona</t>
  </si>
  <si>
    <t>BLUEBIO; CHALLENGE; Spanish Government(Spanish Government); SGR (Research Quality Group) funding of the Generalitat de Catalunya(Generalitat de Catalunya); PREDOCS-UB Grant (2020) of the University of Barcelona; BLUEBIO; CHALLENGE; Spanish Government(Spanish Government); SGR (Research Quality Group) funding of the Generalitat de Catalunya(Generalitat de Catalunya); PREDOCS-UB Grant (2020) of the University of Barcelona</t>
  </si>
  <si>
    <t>This work was supported by the BLUEBIO (CTM2016-78901/ANT) and CHALLENGE (PID2019-107979RB-100) research grants to C.A. by the Spanish Government and the SGR (Research Quality Group) funding of the Generalitat de Catalunya (2014SGR336; 2017SGR1120). P.M.R acknowledges financial support from PREDOCS-UB Grant (2020) of the University of Barcelona.</t>
  </si>
  <si>
    <t>10.1016/j.marpolbul.2023.115516</t>
  </si>
  <si>
    <t>U0BX7</t>
  </si>
  <si>
    <t>WOS:001081557800001</t>
  </si>
  <si>
    <t>Ren, LL; Zhang, HX; Zhou, J; Wu, YJ; Liu, B; Wang, SP; Liu, X; Hao, X; Zhao, LL</t>
  </si>
  <si>
    <t>Ren, Lili; Zhang, Hongxia; Zhou, Jiao; Wu, Yajing; Liu, Bo; Wang, Shuping; Liu, Xin; Hao, Xin; Zhao, Lilin</t>
  </si>
  <si>
    <t>Unique and generic crossed metabolism in response to four sub-lethal environmental stresses in the oriental fruit fly, Bactrocera dorsalis Hendel</t>
  </si>
  <si>
    <t>ECOTOXICOLOGY AND ENVIRONMENTAL SAFETY</t>
  </si>
  <si>
    <t>Bactrocera dorsalis; Environmental stresses; Metabolomic profile; TCA cycle</t>
  </si>
  <si>
    <t>HEAT-SHOCK; COLD TOLERANCE; ANTARCTIC MIDGE; ACCUMULATION; METABOLOMICS; ACCLIMATION; TEMPERATURE; EXPRESSION; DIAPAUSE; POLYOL</t>
  </si>
  <si>
    <t>Bactrocera dorsalis is a well-known invasive pest that causes considerable ecological and economic losses worldwild. Although it has a wide environmental tolerance, few studies have reported its mechanism of adaptation to multiple sub-lethal environmental stresses. In this study, 38, 41, 39 and 34 metabolites changed significantly in B. dorsalis under four sub-lethal stresses (heat, cold, desiccation and hypoxia), as found by the metabolomic method. Therein, lactic acid and pyruvic acid were induced, whereas metabolites in the tricarboxylic acid (TCA) cycle such as citric acid, &amp; alpha;-ketoglutarate acid, malic acid and fumaric acid were reduced under at least one of the stresses. Enzyme activity and quantitative polymerase chain reaction (qPCR) analyses verified the repression of pyruvic acid proceeding into the TCA cycle. In addition, the levels of several cryoprotectants and membrane fatty acids in B. dorsalis were altered. The findings indicated that B. dorsalis has evolved shared metabolic pathways to adapt to heat, hypoxia and desiccation stresses, such as reducing energy consumption by activating the anaerobic glycolytic metabolism. Cryoprotectants and membrane fatty acids were produced to improve the efficiency of stress resistance. This study revealed the unique and generic crossed physiological mechanism of insects to adapt to various environmental stresses.</t>
  </si>
  <si>
    <t>[Ren, Lili; Liu, Xin; Hao, Xin] Sci &amp; Technol Res Ctr China Customs, Beijing 100026, Peoples R China; [Zhang, Hongxia; Zhou, Jiao; Wu, Yajing; Zhao, Lilin] Chinese Acad Sci, Inst Zool, State Key Lab Integrated Management Pest Insects, Beijing 100101, Peoples R China; [Ren, Lili] Chinese Acad Inspect &amp; Quarantine, Inst Inspect Technol &amp; Equipment, Beijing 100029, Peoples R China; [Zhao, Lilin] Univ Chinese Acad Sci, CAS Ctr Excellence Biot Interact, Beijing 100101, Peoples R China; [Liu, Bo] Binzhou Med Univ, Sch Med Artificial Intelligence, Yantai 264003, Shandong, Peoples R China; [Wang, Shuping] Anim Plant &amp; Food Inspect &amp; Quarantine Technol Ct, Shanghai Customs, Shanghai 200002, Peoples R China; [Zhao, Lilin] Chinese Acad Sci, Inst Zool, Beijing 100101, Peoples R China</t>
  </si>
  <si>
    <t>Chinese Academy of Sciences; Institute of Zoology, CAS; Chinese Academy of Inspection &amp; Quarantine; Chinese Academy of Sciences; University of Chinese Academy of Sciences, CAS; Binzhou Medical University; Chinese Academy of Sciences; Institute of Zoology, CAS</t>
  </si>
  <si>
    <t>Zhao, LL (corresponding author), Chinese Acad Sci, Inst Zool, Beijing 100101, Peoples R China.</t>
  </si>
  <si>
    <t>zhaoll@ioz.ac.cn</t>
  </si>
  <si>
    <t>yajing, wu/GQG-9176-2022; Zhang, Hongxia/AAW-3265-2021</t>
  </si>
  <si>
    <t>Zhang, Hongxia/0000-0002-8358-8617</t>
  </si>
  <si>
    <t>National Key Research and Development Programs of China [2022YFC2601500, 2022YFC2602400]; National Natural Science Foundation of China [32230066]; Strategic Priority Research Program of Chinese Academy of Sciences [XDPB16]</t>
  </si>
  <si>
    <t>National Key Research and Development Programs of China; National Natural Science Foundation of China(National Natural Science Foundation of China (NSFC)); Strategic Priority Research Program of Chinese Academy of Sciences(Chinese Academy of Sciences)</t>
  </si>
  <si>
    <t>This study was funded by National Key Research and Development Programs of China (2022YFC2601500, and 2022YFC2602400) , National Natural Science Foundation of China (Key Program, 32230066) , and Strategic Priority Research Program of Chinese Academy of Sciences (Grant No. XDPB16) .</t>
  </si>
  <si>
    <t>0147-6513</t>
  </si>
  <si>
    <t>1090-2414</t>
  </si>
  <si>
    <t>ECOTOX ENVIRON SAFE</t>
  </si>
  <si>
    <t>Ecotox. Environ. Safe.</t>
  </si>
  <si>
    <t>10.1016/j.ecoenv.2023.115434</t>
  </si>
  <si>
    <t>Environmental Sciences; Toxicology</t>
  </si>
  <si>
    <t>S9GR0</t>
  </si>
  <si>
    <t>WOS:001074182100001</t>
  </si>
  <si>
    <t>Grant, MI; Kyne, PM; James, J; Hu, Y; Mukherji, S; Amepou, Y; Baje, L; Chin, A; Johnson, G; Lee, TG; Mahan, B; Wurster, C; White, WT; Simpfendorfer, CA</t>
  </si>
  <si>
    <t>Grant, Michael I.; Kyne, Peter M.; James, Julie; Hu, Yi; Mukherji, Sushmita; Amepou, Yolarnie; Baje, Leontine; Chin, Andrew; Johnson, Grant; Lee, Tegan; Mahan, Brandon; Wurster, Christopher; White, William T.; Simpfendorfer, Colin A.</t>
  </si>
  <si>
    <t>Elemental analysis of vertebrae discerns diadromous movements of threatened non-marine elasmobranchs</t>
  </si>
  <si>
    <t>habitat use; laser ablation inductively coupled plasma mass spectrometry; life history; microchemical analysis; river sharks; sawfish</t>
  </si>
  <si>
    <t>SHARK CARCHARHINUS-FALCIFORMIS; REPRODUCTIVE-BIOLOGY; OTOLITH CHEMISTRY; AGE; GROWTH; WATER; FISHES; LIMITATIONS; ASSUMPTIONS; HYPOTHESES</t>
  </si>
  <si>
    <t>River sharks (Glyphis spp.) and some sawfishes (Pristidae) inhabit riverine environments, although their long-term habitat use patterns are poorly known. We investigated the diadromous movements of the northern river shark (Glyphis garricki), speartooth shark (Glyphis glyphis), narrow sawfish (Anoxypristis cuspidata), and largetooth sawfish (Pristis pristis) using in situ laser ablation inductively coupled plasma mass spectrometry (LA-ICP-MS) on vertebrae to recover elemental ratios over each individual's lifetime. We also measured elemental ratios for the bull shark (Carcharhinus leucas) and a range of inshore and offshore stenohaline marine species to assist in interpretation of results. Barium (Ba) was found to be an effective indicator of freshwater use, whereas lithium (Li) and strontium (Sr) were effective indicators of marine water use. The relationships between Ba and Li and Ba and Sr were negatively correlated, whereas the relationship between Li and Sr was positively correlated. Both river shark species had elemental signatures indicative of prolonged use of upper-estuarine environments, whereas adults appear to mainly use lower-estuarine environments rather than marine environments. Decreases in Li:Ba and Sr:Ba at the end of the prenatal growth zone of P. pristis samples indicated that parturition likely occurs in fresh water. There was limited evidence of prolonged riverine habitat use for A. cuspidata. The results of this study support elemental-environment relationships observed in teleost otoliths and indicate that in situ LA-ICP-MS elemental characterization is applicable to a wide range of elasmobranch species as a discriminator for use and movement across salinity gradients. A greater understanding of processes that lead to element incorporation in vertebrae, and relative concentrations in vertebrae with respect to the ambient environment, will improve the applicability of elemental analysis to understand movements across the life history of elasmobranchs into the future.</t>
  </si>
  <si>
    <t>[Grant, Michael I.; Chin, Andrew; Simpfendorfer, Colin A.] James Cook Univ, Ctr Sustainable Trop Fisheries &amp; Aquaculture, Townsville, Qld, Australia; [Grant, Michael I.; Chin, Andrew; Simpfendorfer, Colin A.] James Cook Univ, Coll Sci &amp; Engn, Townsville, Qld, Australia; [Grant, Michael I.; Amepou, Yolarnie] Natl Res Inst, Piku Biodivers Network, Port Moresby, Papua N Guinea; [Kyne, Peter M.] Charles Darwin Univ, Res Inst Environm &amp; Livelihoods, Darwin, NT, Australia; [James, Julie; Wurster, Christopher] James Cook Univ, Coll Sci &amp; Engn, ARC Ctr Excellence Australian Biodivers &amp; Heritage, Cairns, Qld, Australia; [Hu, Yi] James Cook Univ, Adv Analyt Ctr, Townsville, Qld, Australia; [Mukherji, Sushmita] Univ Tasmania, Inst Marine &amp; Antarctic Studies, Hobart, Tas, Australia; [Baje, Leontine] Natl Ocean Resource Management Author, Palikir, Pohnpei State, Micronesia; [Johnson, Grant] Northern Terr Dept Ind Tourism &amp; Trade, Fisheries Div, Berrimah, NT, Australia; [Lee, Tegan] Murdoch Univ, Harry Butler Inst, Ctr Sustainable Aquat Ecosyst, Perth, WA, Australia; [Mahan, Brandon] James Cook Univ, IsoTrop Geochem Lab, Townsville, Qld, Australia; [White, William T.] CSIRO Oceans &amp; Atmosphere, Hobart, Tas, Australia; [White, William T.] CSIRO Natl Res Collect Australia, Australian Natl Fish Collect, Hobart, Tas, Australia</t>
  </si>
  <si>
    <t>James Cook University; James Cook University; Charles Darwin University; James Cook University; James Cook University; University of Tasmania; Murdoch University; James Cook University; Commonwealth Scientific &amp; Industrial Research Organisation (CSIRO); Commonwealth Scientific &amp; Industrial Research Organisation (CSIRO)</t>
  </si>
  <si>
    <t>Grant, MI (corresponding author), James Cook Univ, Ctr Sustainable Trop Fisheries &amp; Aquaculture, Townsville, Qld, Australia.;Grant, MI (corresponding author), James Cook Univ, Coll Sci &amp; Engn, Townsville, Qld, Australia.</t>
  </si>
  <si>
    <t>michael.grant4@jcu.edu.au</t>
  </si>
  <si>
    <t>White, William T/B-9748-2009; Simpfendorfer, Colin A/G-9681-2011</t>
  </si>
  <si>
    <t>Grant, Michael/0000-0002-6127-8968; Kyne, Peter/0000-0003-4494-2625; Mahan, Brandon/0000-0002-5371-0730</t>
  </si>
  <si>
    <t>James Cook University; Save Our Seas Foundation [388]</t>
  </si>
  <si>
    <t>James Cook University; Save Our Seas Foundation</t>
  </si>
  <si>
    <t>James Cook University; Save Our Seas Foundation, Grant/Award Number: 388</t>
  </si>
  <si>
    <t>10.1111/jfb.15537</t>
  </si>
  <si>
    <t>EJ7N9</t>
  </si>
  <si>
    <t>WOS:001064013600001</t>
  </si>
  <si>
    <t>Hobday, AJ; Burrows, MT; Filbee-Dexter, K; Holbrook, NJ; Sen Gupta, A; Smale, DA; Smith, KE; Thomsen, MS; Wernberg, T</t>
  </si>
  <si>
    <t>Hobday, Alistair J.; Burrows, Michael T.; Filbee-Dexter, Karen; Holbrook, Neil J.; Sen Gupta, Alex; Smale, Dan A.; Smith, Kathryn E.; Thomsen, Mads S.; Wernberg, Thomas</t>
  </si>
  <si>
    <t>With the arrival of El Niño, prepare for stronger marine heatwaves</t>
  </si>
  <si>
    <t>Climate change; Ocean sciences; Fisheries; Scientific community</t>
  </si>
  <si>
    <t>Record-high ocean temperatures, combined with a confluence of extreme climate and weather patterns, are pushing the world into uncharted waters. Researchers must help communities to plan how best to reduce the risks.</t>
  </si>
  <si>
    <t>[Hobday, Alistair J.] CSIRO Environm, Sustainable Marine Futures, Hobart, Australia; [Burrows, Michael T.] Scottish Assoc Marine Sci, Marine Ecol, Oban, Scotland; [Filbee-Dexter, Karen] Univ Western Australia, UWA Oceans Inst, Crawley, Australia; [Filbee-Dexter, Karen; Wernberg, Thomas] Univ Western Australia, Sch Biol Sci, Crawley, Australia; [Filbee-Dexter, Karen; Wernberg, Thomas] Inst Marine Res, Flodevigen Res Stn, His, Norway; [Holbrook, Neil J.] Univ Tasmania, Ocean &amp; Climate Dynam, Inst Marine &amp; Antarctic Studies, Hobart, Tas, Australia; [Holbrook, Neil J.] Univ Tasmania, ARC Ctr Excellence Climate Extremes, Hobart, Tas, Australia; [Sen Gupta, Alex] Univ New South Wales, Climate Change Res Ctr, Ctr Marine Sci &amp; Innovat, Climate Sci, Sydney, Australia; [Sen Gupta, Alex] Univ New South Wales, ARC Ctr Excellence Climate Extremes, Sydney, Australia; [Smale, Dan A.; Smith, Kathryn E.] Marine Biol Assoc UK, Plymouth, England; [Thomsen, Mads S.] Univ Canterbury, Ctr Integrat Ecol, Marine Ecol Res Grp, Christchurch, New Zealand; [Thomsen, Mads S.] Aarhus Univ, Dept Biosci, Roskilde, Denmark; [Wernberg, Thomas] Univ Western Australia, UWA Oceans Inst, Marine Ecol, Crawley, Australia</t>
  </si>
  <si>
    <t>UHI Millennium Institute; University of Western Australia; University of Western Australia; Institute of Marine Research - Norway; University of Tasmania; University of Tasmania; University of New South Wales Sydney; University of New South Wales Sydney; Marine Biological Association United Kingdom; University of Canterbury; Aarhus University; University of Western Australia</t>
  </si>
  <si>
    <t>Hobday, AJ (corresponding author), CSIRO Environm, Sustainable Marine Futures, Hobart, Australia.</t>
  </si>
  <si>
    <t>alistair.hobday@csiro.au</t>
  </si>
  <si>
    <t>Holbrook, Neil/M-7544-2013; Sen Gupta, Alexander/B-7995-2011</t>
  </si>
  <si>
    <t>Holbrook, Neil/0000-0002-3523-6254; Sen Gupta, Alexander/0000-0001-5226-871X; Filbee-Dexter, Karen/0000-0001-8413-6797</t>
  </si>
  <si>
    <t>SEP 7</t>
  </si>
  <si>
    <t>10.1038/d41586-023-02730-2</t>
  </si>
  <si>
    <t>Y1ZM9</t>
  </si>
  <si>
    <t>WOS:001103320300025</t>
  </si>
  <si>
    <t>Hill, EA; Urruty, B; Reese, R; Garbe, J; Gagliardini, O; Durand, G; Gillet-Chaulet, F; Gudmundsson, GH; Winkelmann, R; Chekki, M; Chandler, D; Langebroek, PM</t>
  </si>
  <si>
    <t>Hill, Emily A.; Urruty, Benoit; Reese, Ronja; Garbe, Julius; Gagliardini, Olivier; Durand, Gael; Gillet-Chaulet, Fabien; Gudmundsson, G. Hilmar; Winkelmann, Ricarda; Chekki, Mondher; Chandler, David; Langebroek, Petra M.</t>
  </si>
  <si>
    <t>The stability of present-day Antarctic grounding lines - Part 1: No indication of marine ice sheet instability in the current geometry</t>
  </si>
  <si>
    <t>PINE ISLAND GLACIER; SEA-LEVEL RISE; MODEL INTERCOMPARISON PROJECT; THWAITES GLACIER; WEST ANTARCTICA; TIPPING POINTS; MASS-BALANCE; GREENLAND; DISCHARGE; RETREAT</t>
  </si>
  <si>
    <t>Theoretical and numerical work has shown that under certain circumstances grounding lines of marine-type ice sheets can enter phases of irreversible advance and retreat driven by the marine ice sheet instability (MISI). Instances of such irreversible retreat have been found in several simulations of the Antarctic Ice Sheet. However, it has not been assessed whether the Antarctic grounding lines are already undergoing MISI in their current position. Here, we conduct a systematic numerical stability analysis using three state-of-the-art ice sheet models: ua, Elmer/Ice, and the Parallel Ice Sheet Model (PISM). For the first two models, we construct steady-state initial configurations whereby the simulated grounding lines remain at the observed present-day positions through time. The third model, PISM, uses a spin-up procedure and historical forcing such that its transient state is close to the observed one. To assess the stability of these simulated states, we apply short-term perturbations to submarine melting. Our results show that the grounding lines around Antarctica migrate slightly away from their initial position while the perturbation is applied, and they revert once the perturbation is removed. This indicates that present-day retreat of Antarctic grounding lines is not yet irreversible or self-sustained. However, our accompanying paper (Part 2, ) shows that if the grounding lines retreated further inland, under present-day climate forcing, it may lead to the eventual irreversible collapse of some marine regions of West Antarctica.</t>
  </si>
  <si>
    <t>[Hill, Emily A.; Reese, Ronja; Gudmundsson, G. Hilmar] Northumbria Univ, Dept Geog &amp; Environm Sci, Newcastle Upon Tyne, England; [Urruty, Benoit; Gagliardini, Olivier; Durand, Gael; Gillet-Chaulet, Fabien; Chekki, Mondher] Univ Grenoble Alpes, CNRS, IRD, Grenoble INP,IGE, F-38000 Grenoble, France; [Reese, Ronja; Garbe, Julius] Potsdam Inst Climate Impact Res PIK, Potsdam, Germany; [Reese, Ronja; Garbe, Julius] Leibniz Assoc, Potsdam, Germany; [Garbe, Julius; Winkelmann, Ricarda] Univ Potsdam, Inst Phys &amp; Astron, Potsdam, Germany; [Chandler, David; Langebroek, Petra M.] NORCE Norwegian Res Ctr, Bjerknes Ctr Climate Res, Bergen, Norway</t>
  </si>
  <si>
    <t>Northumbria University; Institut de Recherche pour le Developpement (IRD); Communaute Universite Grenoble Alpes; Universite Grenoble Alpes (UGA); Institut National Polytechnique de Grenoble; Centre National de la Recherche Scientifique (CNRS); Potsdam Institut fur Klimafolgenforschung; University of Potsdam; Bjerknes Centre for Climate Research; Norwegian Research Centre (NORCE)</t>
  </si>
  <si>
    <t>Gagliardini, O (corresponding author), Univ Grenoble Alpes, CNRS, IRD, Grenoble INP,IGE, F-38000 Grenoble, France.</t>
  </si>
  <si>
    <t>olivier.gagliardini@univ-grenoble-alpes.fr</t>
  </si>
  <si>
    <t>Gudmundsson, Gudmundur Hilmar/AAU-5987-2020; Garbe, Julius/AAY-2415-2020</t>
  </si>
  <si>
    <t>Gudmundsson, Gudmundur Hilmar/0000-0003-4236-5369; Garbe, Julius/0000-0003-3140-3307; CHEKKI, Mondher/0000-0003-0676-8910; Reese, Ronja/0000-0001-7625-040X</t>
  </si>
  <si>
    <t>Horizon2020 (TiPACCs) [820575]</t>
  </si>
  <si>
    <t>Horizon2020 (TiPACCs)</t>
  </si>
  <si>
    <t>This research has been supported by Horizon2020 (TiPACCs (grant no. 820575))</t>
  </si>
  <si>
    <t>10.5194/tc-17-3739-2023</t>
  </si>
  <si>
    <t>HT5P8</t>
  </si>
  <si>
    <t>WOS:001161775300001</t>
  </si>
  <si>
    <t>Reese, R; Garbe, J; Hill, EA; Urruty, B; Naughten, KA; Gagliardini, O; Durand, G; Gillet-Chaulet, F; Gudmundsson, GH; Chandler, D; Langebroek, PM; Winkelmann, R</t>
  </si>
  <si>
    <t>Reese, Ronja; Garbe, Julius; Hill, Emily A.; Urruty, Benoit; Naughten, Kaitlin A.; Gagliardini, Olivier; Durand, Gael; Gillet-Chaulet, Fabien; Gudmundsson, G. Hilmar; Chandler, David; Langebroek, Petra M.; Winkelmann, Ricarda</t>
  </si>
  <si>
    <t>The stability of present-day Antarctic grounding lines - Part 2: Onset of irreversible retreat of Amundsen Sea glaciers under current climate on centennial timescales cannot be excluded</t>
  </si>
  <si>
    <t>PINE ISLAND GLACIER; ICE-SHEET RESPONSE; WEST ANTARCTICA; THWAITES GLACIER; MODEL PISM; MELT RATES; SHELF; OCEAN; SENSITIVITY; DISCHARGE</t>
  </si>
  <si>
    <t>Observations of ocean-driven grounding-line retreat in the Amundsen Sea Embayment in Antarctica raise the question of an imminent collapse of the West Antarctic Ice Sheet. Here we analyse the committed evolution of Antarctic grounding lines under the present-day climate. To this aim, we first calibrate a sub-shelf melt parameterization, which is derived from an ocean box model, with observed and modelled melt sensitivities to ocean temperature changes, making it suitable for present-day simulations and future sea level projections. Using the new calibration, we run an ensemble of historical simulations from 1850 to 2015 with a state-of-the-art ice sheet model to create model instances of possible present-day ice sheet configurations. Then, we extend the simulations for another 10 000 years to investigate their evolution under constant present-day climate forcing and bathymetry. We test for reversibility of grounding-line movement in the case that large-scale retreat occurs. In the Amundsen Sea Embayment we find irreversible retreat of the Thwaites Glacier for all our parameter combinations and irreversible retreat of the Pine Island Glacier for some admissible parameter combinations. Importantly, an irreversible collapse in the Amundsen Sea Embayment sector is initiated at the earliest between 300 and 500 years in our simulations and is not inevitable yet - as also shown in our companion paper Part 1,. In other words, the region has not tipped yet. With the assumption of constant present-day climate, the collapse evolves on millennial timescales, with a maximum rate of 0.9 mma-1 sea-level-equivalent ice volume loss. The contribution to sea level by 2300 is limited to 8 cm with a maximum rate of 0.4 mma-1 sea-level-equivalent ice volume loss. Furthermore, when allowing ice shelves to regrow to their present geometry, we find that large-scale grounding-line retreat into marine basins upstream of the Filchner-Ronne Ice Shelf and the western Siple Coast is reversible. Other grounding lines remain close to their current positions in all configurations under present-day climate.</t>
  </si>
  <si>
    <t>[Reese, Ronja; Hill, Emily A.] Northumbria Univ, Dept Geog &amp; Environm Sci, Newcastle, England; [Reese, Ronja; Garbe, Julius] Leibniz Assoc, Potsdam Inst Climate Impact Res PIK, Potsdam, Germany; [Garbe, Julius; Winkelmann, Ricarda] Univ Potsdam, Inst Phys &amp; Astron, Potsdam, Germany; [Urruty, Benoit; Gagliardini, Olivier; Durand, Gael; Gillet-Chaulet, Fabien] Univ Grenoble Alpes, CNRS, IRD, Grenoble INP,IGE, F-38000 Grenoble, France; [Naughten, Kaitlin A.] British Antarctic Survey, Cambridge, England; [Langebroek, Petra M.] Bjerknes Ctr Climate Res, NORCE Norwegian Res Ctr, Bergen, Norway</t>
  </si>
  <si>
    <t>Northumbria University; Potsdam Institut fur Klimafolgenforschung; University of Potsdam; Centre National de la Recherche Scientifique (CNRS); Communaute Universite Grenoble Alpes; Universite Grenoble Alpes (UGA); Institut de Recherche pour le Developpement (IRD); Institut National Polytechnique de Grenoble; UK Research &amp; Innovation (UKRI); Natural Environment Research Council (NERC); NERC British Antarctic Survey; Norwegian Research Centre (NORCE); Bjerknes Centre for Climate Research</t>
  </si>
  <si>
    <t>Reese, R (corresponding author), Northumbria Univ, Dept Geog &amp; Environm Sci, Newcastle, England.;Reese, R (corresponding author), Leibniz Assoc, Potsdam Inst Climate Impact Res PIK, Potsdam, Germany.</t>
  </si>
  <si>
    <t>ronja.reese@northumbria.ac.uk</t>
  </si>
  <si>
    <t>Garbe, Julius/AAY-2415-2020; Gudmundsson, Gudmundur Hilmar/AAU-5987-2020</t>
  </si>
  <si>
    <t>Garbe, Julius/0000-0003-3140-3307; Gudmundsson, Gudmundur Hilmar/0000-0003-4236-5369; Chandler, David/0000-0001-5759-2412; Reese, Ronja/0000-0001-7625-040X</t>
  </si>
  <si>
    <t>Horizon 2020 [820575]; European Union [20-CRYO2020-0052, 80NSSC22K0274]; NASA [OAC-2118285]; NSF; European Regional Development Fund (ERDF); German Federal Ministry of Education and Research, and Land Brandenburg</t>
  </si>
  <si>
    <t>Horizon 2020(Horizon 2020); European Union(European Union (EU)); NASA(National Aeronautics &amp; Space Administration (NASA)); NSF(National Science Foundation (NSF)); European Regional Development Fund (ERDF)(European Union (EU)); German Federal Ministry of Education and Research, and Land Brandenburg</t>
  </si>
  <si>
    <t>This work is part of the TiPACCs project, which receives funding from the European Union's Horizon 2020 research and innovation programme under grant agreement no. 820575. Development of PISM is supported by NASA grants 20-CRYO2020-0052 and 80NSSC22K0274 and NSF grant OAC-2118285. The authors gratefully acknowledge the European Regional Development Fund (ERDF), the German Federal Ministry of Education and Research, and Land Brandenburg for supporting this project by providing resources on the high-performance computer system at the Potsdam Institute for Climate Impact Research.</t>
  </si>
  <si>
    <t>10.5194/tc-17-3761-2023</t>
  </si>
  <si>
    <t>HT7R4</t>
  </si>
  <si>
    <t>WOS:001161828900001</t>
  </si>
  <si>
    <t>Xiao, WX; Hui, FM; Cheng, X; Liang, Q</t>
  </si>
  <si>
    <t>Xiao, Wanxin; Hui, Fengming; Cheng, Xiao; Liang, Qi</t>
  </si>
  <si>
    <t>An automated algorithm to retrieve the location and depth of supraglacial lakes from ICESat-2 ATL03 data</t>
  </si>
  <si>
    <t>ICESat-2; Bathymetry; Photon; Supraglacial lake</t>
  </si>
  <si>
    <t>GREENLAND ICE-SHEET; SEASONAL EVOLUTION; SURFACE MELT; LANDSAT 8; BATHYMETRY; DRAINAGE; CLOUD</t>
  </si>
  <si>
    <t>Supraglacial lakes are widespread on the surface of the Antarctic Ice Sheet and Greenland Ice Sheet due to global warming. Estimating the location and depth of supraglacial lakes is critical for evaluating the impact of surface meltwater on ice dynamics. The accuracy of traditional image-based methods is limited, especially when supraglacial lakes are deep. Recently, Ice, Clouds, and land Elevation Satellite-2 data have been used to develop algorithms to measure the depth of supraglacial lakes. The ICESat-2-based methods are currently either semi automated or sensitive to noise, which makes them less efficient and less accurate in detecting supraglacial lakes. In this study, we develop an automated algorithm for the retrieval of the location and depth of supraglacial lakes using ICESat-2 ATL03 data. We investigated 10 supraglacial lakes as case studies over Antarctica and Greenland (4 lakes on the Amery Ice Shelf, Antarctica and 6 lakes in southwestern Greenland). The results show that our algorithm can detect supraglacial lakes at depths up to 8.25 m. The RMSE for the lake depth retrievals in Antarctica is approximately 0.30 m and that of the lakes in Greenland is approximately 0.32 m. Our algorithm reveals high robustness and accuracy, especially in shallow areas. Additionally, the fully automated algorithm does not require prior knowledge and guarantees efficiency when there is an extensive study area. This result implies that our algorithm has the potential to address large amounts of data and may even be useful to estimate meltwater volumes across the surface of the entire ice sheet.</t>
  </si>
  <si>
    <t>[Xiao, Wanxin; Hui, Fengming; Cheng, Xiao; Liang, Qi] Sun Yat Sen Univ, Sch Geospatial Engn &amp; Sci, Zhuhai 519082, Peoples R China; [Xiao, Wanxin; Hui, Fengming; Cheng, Xiao; Liang, Qi] Southern Marine Sci &amp; Engn Guangdong Lab Zhuhai, Zhuhai 519082, Peoples R China; [Xiao, Wanxin; Hui, Fengming; Cheng, Xiao; Liang, Qi] Sun Yat Sen Univ, Key Lab Comprehens Observat Polar Environm, Minist Educ, Zhuhai 519082, Peoples R China</t>
  </si>
  <si>
    <t>Sun Yat Sen University; Southern Marine Science &amp; Engineering Guangdong Laboratory; Southern Marine Science &amp; Engineering Guangdong Laboratory (Zhuhai); Sun Yat Sen University</t>
  </si>
  <si>
    <t>Hui, FM; Liang, Q (corresponding author), Sun Yat Sen Univ, Sch Geospatial Engn &amp; Sci, Zhuhai 519082, Peoples R China.;Hui, FM; Liang, Q (corresponding author), Southern Marine Sci &amp; Engn Guangdong Lab Zhuhai, Zhuhai 519082, Peoples R China.</t>
  </si>
  <si>
    <t>huifm@mail.sysu.edu.cn; liangq57@mail.sysu.edu.cn</t>
  </si>
  <si>
    <t>National Natural Science Foun-dation of China [41830536, 41925027]; Innovation Group Project of Southern Marine Science and Engineering Guangdong Laboratory (Zhuhai) [311022003]</t>
  </si>
  <si>
    <t>National Natural Science Foun-dation of China(National Natural Science Foundation of China (NSFC)); Innovation Group Project of Southern Marine Science and Engineering Guangdong Laboratory (Zhuhai)</t>
  </si>
  <si>
    <t>Acknowledgements This research was supported by the National Natural Science Foun-dation of China (grant no. 41830536, 41925027) , and the Innovation Group Project of Southern Marine Science and Engineering Guangdong Laboratory (Zhuhai) (grant no. 311022003) .</t>
  </si>
  <si>
    <t>10.1016/j.rse.2023.113730</t>
  </si>
  <si>
    <t>Y6YI1</t>
  </si>
  <si>
    <t>WOS:001106693400001</t>
  </si>
  <si>
    <t>Iken, K; Amsler, CD; Gorman, KB; Klein, AG; Galloway, AWE; Amsler, MO; Heiser, S; Whippo, R; Lowe, AT; Schram, JB; Schneider, ZX; McClintock, JB</t>
  </si>
  <si>
    <t>Iken, Katrin; Amsler, Charles D.; Gorman, Kristen B.; Klein, Andrew G.; Galloway, Aaron W. E.; Amsler, Margaret O.; Heiser, Sabrina; Whippo, Ross; Lowe, Alexander T.; Schram, Julie B.; Schneider, Zoe X.; McClintock, James B.</t>
  </si>
  <si>
    <t>Macroalgal input into the coastal food web along a gradient of seasonal sea ice cover along the Western Antarctic Peninsula</t>
  </si>
  <si>
    <t>Invertebrates; Stable isotope; Trophic structure</t>
  </si>
  <si>
    <t>KING-GEORGE ISLAND; STABLE-ISOTOPES; ORGANIC-MATTER; TROPHIC RELATIONSHIPS; MARINE MACROALGAE; CARBON ISOTOPES; FEEDING ECOLOGY; POTTER COVE; DELTA-C-13; COMMUNITIES</t>
  </si>
  <si>
    <t>Coastal food webs that are supported by multiple primary producer sources are considered to be more stable against perturbations. Here, we investigated how declining macroalgal abundance and diversity might influence coastal food web structure along an annual sea ice cover gradient along the Western Antarctic Peninsula (WAP). The most common benthic invertebrate consumers, macroalgae, and surface particulate organic matter were collected at 15 stations along the WAP. Stable carbon and nitrogen isotope values of primary producers changed negligibly in relation to the sea ice cover gradient, while isotope values of most invertebrate feeding groups increased with higher sea ice cover, although at low explanatory power. Food web length became shorter and consumer trophic niche width smaller in regions with higher sea ice cover. Changes in food web structure were mostly associated with shifts in trophic position of lower trophic levels. Food web structure in higher ice-covered regions resembled that of more generalist feeders with a loss of specialist species, concurrent with an increased reliance on a more reworked detrital food source. These results suggest that a number of benthic invertebrates are able to adjust to differences in basal energy sources. Conversely, these food webs dominated by generalist feeders are likely less efficient in energy transfer, which can create less-stable systems with lower adaptive capacity to disturbance. The predicted sea ice loss along the WAP may ultimately lead to a longer food web with higher macroalgal abundance, more specialist species, and wider consumer trophic niches in the currently more ice-covered regions.</t>
  </si>
  <si>
    <t>[Iken, Katrin; Gorman, Kristen B.; Schneider, Zoe X.] Univ Alaska Fairbanks, Coll Fisheries &amp; Ocean Sci, Fairbanks, AK 99775 USA; [Amsler, Charles D.; Amsler, Margaret O.; Heiser, Sabrina; McClintock, James B.] Univ Alabama Birmingham, Dept Biol, Birmingham, AL 35233 USA; [Klein, Andrew G.] Texas A&amp;M Univ, Dept Geog, College Stn, TX 77843 USA; [Galloway, Aaron W. E.; Whippo, Ross; Schram, Julie B.] Univ Oregon, Dept Biol, Charleston, OR 97420 USA; [Lowe, Alexander T.] Smithsonian Inst, Tennenbaum Marine Observ Network, Edgewater, MD 21037 USA; [Heiser, Sabrina] Univ Texas Austin, Marine Sci Inst, Port Aransas, TX 78373 USA; [Schram, Julie B.] Univ Alaska Southeast, Dept Nat Sci, Juneau, AK 99801 USA</t>
  </si>
  <si>
    <t>University of Alaska System; University of Alaska Fairbanks; University of Alabama System; University of Alabama Birmingham; Texas A&amp;M University System; Texas A&amp;M University College Station; University of Oregon; Smithsonian Institution; Smithsonian Environmental Research Center; University of Texas System; University of Texas Austin; University of Alaska System; University of Alaska Southeastern</t>
  </si>
  <si>
    <t>Iken, K (corresponding author), Univ Alaska Fairbanks, Coll Fisheries &amp; Ocean Sci, Fairbanks, AK 99775 USA.</t>
  </si>
  <si>
    <t>kbiken@alaska.edu</t>
  </si>
  <si>
    <t>Whippo, Ross/G-3561-2017</t>
  </si>
  <si>
    <t>Whippo, Ross/0000-0001-5725-2215; Heiser, Sabrina/0000-0003-3307-3233</t>
  </si>
  <si>
    <t>National Science Foundation from the Antarctic Organisms and Ecosystems Program [ANT-1744602, ANT-1744550, ANT-1744584, ANT-1744570]</t>
  </si>
  <si>
    <t>National Science Foundation from the Antarctic Organisms and Ecosystems Program(National Science Foundation (NSF)NSF - Directorate for Geosciences (GEO))</t>
  </si>
  <si>
    <t>We greatly acknowledge the support of the crew of the ARSV 'Laurence M. Gould' (LMG), especially Captain Zsolt Esztergomi, his LMG crew, and the Antarctic Support Contract LMG team. We are grateful to Dr. Franz Mueter, UAF, for statistical advice. We thank 3 anonymous reviewers and the contributing journal editor, Just Cebrian, for their thoughtful and constructive comments. The project was funded by National Science Foundation awards ANT-1744602 (K.I.), ANT-1744550 (C.D.A., J.B.M.), ANT-1744584 (A.G.K), and ANT-1744570 (A.W.E.G.) from the Antarctic Organisms and Ecosystems Program.</t>
  </si>
  <si>
    <t>10.3354/meps14388</t>
  </si>
  <si>
    <t>T7OB5</t>
  </si>
  <si>
    <t>WOS:001079828500001</t>
  </si>
  <si>
    <t>Holgate, CM; Pepler, AS; Rudeva, I; Abram, NJ</t>
  </si>
  <si>
    <t>Holgate, C. M.; Pepler, A. S.; Rudeva, I.; Abram, N. J.</t>
  </si>
  <si>
    <t>Anthropogenic warming reduces the likelihood of drought-breaking extreme rainfall events in southeast Australia</t>
  </si>
  <si>
    <t>Drought; Extreme rainfall; Synoptic; Cyclones; Climate change</t>
  </si>
  <si>
    <t>COOL-SEASON RAINFALL; PRECIPITATION; TRENDS; CMIP5; VARIABILITY; RIVER</t>
  </si>
  <si>
    <t>Future climate change is projected to increase the frequency and severity of droughts in many drought-prone regions of the world. However, coarsely-resolved and sometimes opposing rainfall changes across global climate models, and a lack of understanding of the weather-scale processes that cause droughts to begin and end, create uncertainties around these future changes in many regions. Here, we reveal that the co-occurrence of a deep low-pressure system over southeast Australia with an adjacent high-pressure system in the Tasman Sea is a key dynamic mechanism responsible for extreme and drought-breaking rainfall in southeast Australia. Regional climate models project a decline in the frequency of these events by 9% for every degree of global warming, with an 11.6% per degree decline in associated rainfall, increasing the risk of the region entering and staying in drought in the late 21st century. This critical dynamical context brings confidence to the projected increase in drought frequency and duration in southeast Australia and provides an opportunity to robustly identify future drought changes in parts of the world where similar mechanisms may also play a role in extreme, drought -breaking rainfall.</t>
  </si>
  <si>
    <t>[Holgate, C. M.; Abram, N. J.] Australian Natl Univ, Res Sch Earth Sci, Canberra, Australia; [Holgate, C. M.; Abram, N. J.] Australian Natl Univ, ARC Ctr Excellence Climate Extremes, Canberra, Australia; [Pepler, A. S.; Rudeva, I.] Australian Bur Meteorol, Melbourne, Australia; [Abram, N. J.] Australian Natl Univ, Australian Ctr Excellence Antarctic Sci, Canberra, Australia</t>
  </si>
  <si>
    <t>Australian National University; Australian National University; Bureau of Meteorology - Australia; Australian National University</t>
  </si>
  <si>
    <t>Holgate, CM (corresponding author), Australian Natl Univ, Res Sch Earth Sci, Canberra, Australia.</t>
  </si>
  <si>
    <t>chiara.holgate@anu.edu.au</t>
  </si>
  <si>
    <t>Australian Research Council [CE170100023]; Department of Energy, Environment and Climate Action through the Victorian Water and Climate Initiative; Australian Research Council [CE170100023] Funding Source: Australian Research Council</t>
  </si>
  <si>
    <t>Australian Research Council(Australian Research Council); Department of Energy, Environment and Climate Action through the Victorian Water and Climate Initiative(United States Department of Energy (DOE)); Australian Research Council(Australian Research Council)</t>
  </si>
  <si>
    <t>This work was supported by funding to C.M.H and N.J.A from the Australian Research Council (CE170100023) . A.S.P and N.J.A acknowledge the Climate Systems Hub of the Australian Government's National Environmental Science Program. This work was also supported by the Department of Energy, Environment and Climate Action through the Victorian Water and Climate Initiative. We thank the modelling groups whose data contributed to this paper: the BARPA modelling team at the Bureau of Meteorology, the CCAM modelling team at CSIRO, and the NARCLIM modelling team at UNSW, as well as the Centre of Excellence for Climate Extremes CMS team and National Computational Infrastructure and its staff for computational support. C.M.H thanks A. Ukkola for her assistance in creating Fig. 1. A.S.P. and I.R. thank B. White and T. Cowan for their comments on an earlier version of the manuscript.</t>
  </si>
  <si>
    <t>10.1016/j.wace.2023.100607</t>
  </si>
  <si>
    <t>T0MQ1</t>
  </si>
  <si>
    <t>WOS:001075018200001</t>
  </si>
  <si>
    <t>Perrot, L; Martinent, G; Gaudino, M; Nicolas, M</t>
  </si>
  <si>
    <t>Perrot, Lou; Martinent, Guillaume; Gaudino, Marvin; Nicolas, Michel</t>
  </si>
  <si>
    <t>Psychological adaptation processes (PAP) in extreme environments: Inter and intra-individual differences in PAP dynamics and optimism</t>
  </si>
  <si>
    <t>JOURNAL OF ENVIRONMENTAL PSYCHOLOGY</t>
  </si>
  <si>
    <t>Adaptation profiles; Extreme environments; Person-centred approach; Psychological adaptation processes (PAP); Optimism; Temporal dynamic</t>
  </si>
  <si>
    <t>POLAR; PERFORMANCE; RECOVERY; HEALTH; MOOD</t>
  </si>
  <si>
    <t>Psychological adaptation to isolated, confined and extreme (ICE) environments is a complex and multidimensional theoretical construct that requires an appropriate method to capture inter-individual and intra-individual differences dynamics across time. As such, we adopted a person-centred approach to address several objectives to identify: (a) winterers' profiles and trajectories of the four dimensions in adaptation (social, emotional, physical, and occupational), (b) temporal dynamics of these profiles, (c) consistency of these profiles over the wintering period, and (d) to examine whether adaptation profiles are associated with a theoretical covariate of interest (optimism). To address these objectives, 133 winterers from sub-Antarctic and Antarctic stations participated in this study. Latent class growth analysis and latent profile transition analysis highlighted distinct adaptation profiles and trajectories. Winterers' from distinct adaptation trajectories reported significant different scores of dispositional optimism. These results bring elements of answers to better understand psychological adaptation to extreme environment.</t>
  </si>
  <si>
    <t>[Perrot, Lou; Gaudino, Marvin; Nicolas, Michel] Univ Bourgogne Franche Comte, Lab Psy, DREPI, EA 7458, Dijon, France; [Martinent, Guillaume] Univ Lyon 1, Lab Vulnerabil &amp; Innovat Sport, EA 7428, Interdisciplinary Res Confederat Sport FED 4272, Villeurbanne, France; [Nicolas, Michel] Univ Bourgogne Franche Comte UBFC, Sport Sci Fac, UFR STAPS Dijon, Bur 143,3 Allee Stades Univ,BP 27877, F-21078 Dijon, France</t>
  </si>
  <si>
    <t>Universite de Bourgogne; Universite Claude Bernard Lyon 1; Universite de Bourgogne</t>
  </si>
  <si>
    <t>Nicolas, M (corresponding author), Univ Bourgogne Franche Comte UBFC, Sport Sci Fac, UFR STAPS Dijon, Bur 143,3 Allee Stades Univ,BP 27877, F-21078 Dijon, France.</t>
  </si>
  <si>
    <t>michel.nicolas@u-bourgogne.fr</t>
  </si>
  <si>
    <t>NICOLAS, Michel/AAZ-6390-2021</t>
  </si>
  <si>
    <t>NICOLAS, Michel/0000-0001-7206-671X</t>
  </si>
  <si>
    <t>European Space Agency (ESA); French Polar Institute IPEV (Institut Paul Emile Victor) - Centre Nationale d'Etudes Spatiales (CNES) , France</t>
  </si>
  <si>
    <t>European Space Agency (ESA)(European Space Agency); French Polar Institute IPEV (Institut Paul Emile Victor) - Centre Nationale d'Etudes Spatiales (CNES) , France</t>
  </si>
  <si>
    <t>Funding This study was sponsored by the European Space Agency (ESA) and the French Polar Institute IPEV (Institut Paul Emile Victor) . This work was funded by a research grant from the Centre Nationale d'Etudes Spatiales (CNES) , France.</t>
  </si>
  <si>
    <t>0272-4944</t>
  </si>
  <si>
    <t>1522-9610</t>
  </si>
  <si>
    <t>J ENVIRON PSYCHOL</t>
  </si>
  <si>
    <t>J. Environ. Psychol.</t>
  </si>
  <si>
    <t>10.1016/j.jenvp.2023.102099</t>
  </si>
  <si>
    <t>Environmental Studies; Psychology, Multidisciplinary</t>
  </si>
  <si>
    <t>Environmental Sciences &amp; Ecology; Psychology</t>
  </si>
  <si>
    <t>T1GN5</t>
  </si>
  <si>
    <t>WOS:001075541300001</t>
  </si>
  <si>
    <t>Wei, YZ</t>
  </si>
  <si>
    <t>Wei, Yanzhou</t>
  </si>
  <si>
    <t>Roles of thermal advection in setting the Southern Ocean warming pattern</t>
  </si>
  <si>
    <t>air-sea heat flux; global warming; ROMS; Southern Ocean</t>
  </si>
  <si>
    <t>CLIMATE; SURFACE; DRIVEN; EDDIES; HEAT</t>
  </si>
  <si>
    <t>The Southern Ocean is the major region of global ocean heat gain. Most of the heat gain is concentrated in the region of the Antarctic Circumpolar Current (ACC), but SST within the ACC only exhibits a slight increase. Ocean circulation plays a fundamental role in setting the pattern of temperature response to global warming. In this study, a 1/4 degrees Southern Ocean eddy-permitting model configured based on the Regional Ocean Modeling System is used to study the role of ocean in setting the warming pattern, by examining the response of ocean temperature and heat budget terms to a uniform air-sea heat flux (Qnet) increase. As Qnet increases by a constant value, the SST increases, but with a smaller value within the ACC region. Consequently, more heat flux in the ACC region is induced from the atmosphere to the ocean through thermal adjustment. Heat budget analyses suggest that the surface warming induced by vertical diffusion is largely offset by the cooling effect of heat advection, especially within the ACC region; however, in the subsurface, the effect of vertical diffusion becomes slight, and heat advection dominates the temperature change and induces warming in the ACC region. These results highlight the importance of heat advection in setting the temperature response pattern to air-sea heat flux increase: by transporting more heat from the surface to the deep ocean, the SST increase within the ACC region becomes smaller, and this induces more heat flux from the atmosphere to the ocean and thus makes the ACC region become a major region of heat gain.</t>
  </si>
  <si>
    <t>[Wei, Yanzhou] Southern Marine Sci &amp; Engn Guangdong Lab Zhuhai, Zhuhai, Peoples R China; [Wei, Yanzhou] Minist Nat Resources, Inst Oceanog 2, State Key Lab Satellite Ocean Environm Dynam, Hangzhou, Peoples R China</t>
  </si>
  <si>
    <t>Southern Marine Science &amp; Engineering Guangdong Laboratory; Southern Marine Science &amp; Engineering Guangdong Laboratory (Zhuhai); Ministry of Natural Resources of the People's Republic of China</t>
  </si>
  <si>
    <t>Wei, YZ (corresponding author), Southern Marine Sci &amp; Engn Guangdong Lab Zhuhai, Zhuhai, Peoples R China.</t>
  </si>
  <si>
    <t>weiyanzhou@sio.org.cn</t>
  </si>
  <si>
    <t>wei, yanzhou/0000-0001-7474-8503</t>
  </si>
  <si>
    <t>National Natural Science Foundation of China [41806024]; Scientific Research Fund of Southern Marine Science and Engineering Guangdong Laboratory [313023004]</t>
  </si>
  <si>
    <t>National Natural Science Foundation of China(National Natural Science Foundation of China (NSFC)); Scientific Research Fund of Southern Marine Science and Engineering Guangdong Laboratory</t>
  </si>
  <si>
    <t>National Natural Science Foundation of China, Grant/Award Number: 41806024; Scientific Research Fund of Southern Marine Science and Engineering Guangdong Laboratory, Grant/Award Number: 313023004</t>
  </si>
  <si>
    <t>10.1002/joc.8243</t>
  </si>
  <si>
    <t>GP5D2</t>
  </si>
  <si>
    <t>WOS:001063570700001</t>
  </si>
  <si>
    <t>Casado, M; Hebert, R; Faranda, D; Landais, A</t>
  </si>
  <si>
    <t>Casado, Mathieu; Hebert, Raphael; Faranda, Davide; Landais, Amaelle</t>
  </si>
  <si>
    <t>The quandary of detecting the signature of climate change in Antarctica</t>
  </si>
  <si>
    <t>WATER ISOTOPES; TEMPERATURE RECONSTRUCTIONS; SURFACE-TEMPERATURE; POLAR AMPLIFICATION; STABLE-ISOTOPES; SNOW; VARIABILITY; CIRCULATION; SENSITIVITY; STATION</t>
  </si>
  <si>
    <t>Global warming driven by human activities is expected to be accentuated in polar regions compared with the global average, an effect called polar amplification. Yet, for Antarctica, the amplitude of warming is still poorly constrained due to short weather observations and the large decadal climate variability. Using a compilation of 78 ice core records, we provide a high-resolution reconstruction of temperatures over the past 1,000 years for seven regions of Antarctica and direct evidence of Antarctic polar amplification at regional and continental scales. We also show that the amplitude of both natural and forced variability is not captured by the CMIP5 and six model ensemble members, which could be explained in part by the Southern Annular Mode. This shows that failing to consider the feedback loops causing polar amplification could lead to an underestimation of the magnitude of anthropogenic warming and its consequences in Antarctica. The effect of global warming on Antarctic temperatures is difficult to quantify, due to short weather observations and large internal variability. Here the authors use ice cores to identify polar amplification that results in warming in Antarctica larger than the internal variability.</t>
  </si>
  <si>
    <t>[Casado, Mathieu; Faranda, Davide; Landais, Amaelle] Univ Paris Saclay, CEA CNRS UVSQ, UMR 8212, Lab Sci Climat &amp; Environm ,IPSL, Gif Sur Yvette, France; [Hebert, Raphael] Helmholtz Ctr Polar &amp; Marine Res, Alfred Wegener Inst, Potsdam, Germany; [Faranda, Davide] London Math Lab, London, England; [Faranda, Davide] PSL Res Univ, Ecole Normale Super, LMD, IPSL, Paris, France</t>
  </si>
  <si>
    <t>CEA; Centre National de la Recherche Scientifique (CNRS); Universite Paris Saclay; Universite Paris Cite; CNRS - National Institute for Earth Sciences &amp; Astronomy (INSU); Helmholtz Association; Alfred Wegener Institute, Helmholtz Centre for Polar &amp; Marine Research; Universite PSL; Ecole Normale Superieure (ENS); Ecole des Ponts ParisTech; Universite Paris Cite</t>
  </si>
  <si>
    <t>Casado, M (corresponding author), Univ Paris Saclay, CEA CNRS UVSQ, UMR 8212, Lab Sci Climat &amp; Environm ,IPSL, Gif Sur Yvette, France.</t>
  </si>
  <si>
    <t>mathieu.casado@gmail.com</t>
  </si>
  <si>
    <t>Faranda, Davide/K-5831-2015</t>
  </si>
  <si>
    <t>Faranda, Davide/0000-0001-5001-5698; LANDAIS, Amaelle/0000-0002-5620-5465; Casado, Mathieu/0000-0002-8185-415X; Hebert, Raphael/0000-0002-9869-4658</t>
  </si>
  <si>
    <t>DFG project CLIMAIC; European Research Council (ERC) under the European Union's Horizon 2020 research and innovation programme [716092, 772852]</t>
  </si>
  <si>
    <t>DFG project CLIMAIC(German Research Foundation (DFG)); European Research Council (ERC) under the European Union's Horizon 2020 research and innovation programme(European Research Council (ERC))</t>
  </si>
  <si>
    <t>The investigations leading to these results have received funding from the DFG project CLIMAIC (M.C.). The SPACE ERC and GLACIAL LEGACY ERC projects have received funding from the European Research Council (ERC) under the European Union's Horizon 2020 research and innovation programme (grant agreement no. 716092 and no. 772852 for R.H.). The authors acknowledge fruitful discussions with T. Laepple, J. A. Caccavo, A. Orsi and C. Agosta. This manuscript was realized in the framework of the PAGES working group CVAS.</t>
  </si>
  <si>
    <t>2023 SEP 7</t>
  </si>
  <si>
    <t>10.1038/s41558-023-01791-5</t>
  </si>
  <si>
    <t>Q9NR0</t>
  </si>
  <si>
    <t>WOS:001060716200002</t>
  </si>
  <si>
    <t>Pinho, TML; Chiessi, CM; Campos, MC; Portilho-Ramos, RC; Martinez-Mendez, G; Venancio, IM; Nascimento, RA; Crivellari, S; Albuquerque, ALS; Arz, HW; Tiedemann, R; Bahr, A; Mulitza, S</t>
  </si>
  <si>
    <t>Pinho, Taina M. L.; Chiessi, Cristiano M.; Campos, Marilia C.; Portilho-Ramos, Rodrigo C.; Martinez-Mendez, Gema; Venancio, Igor M.; Nascimento, Rodrigo A.; Crivellari, Stefano; Albuquerque, Ana L. S.; Arz, Helge W.; Tiedemann, Ralf; Bahr, Andre; Mulitza, Stefan</t>
  </si>
  <si>
    <t>Thermodynamic air-sea equilibration controls carbon isotopic composition of the South Atlantic thermocline during the last glacial period</t>
  </si>
  <si>
    <t>Stable carbon isotopes; Thermocline-dwelling foraminifera; South Atlantic Central Water; Thermodynamic isotopic equilibration; Southern Ocean; Heinrich Stadials</t>
  </si>
  <si>
    <t>ANTARCTIC INTERMEDIATE WATER; SUBTROPICAL MODE WATERS; ATMOSPHERIC CO2; PLANKTONIC-FORAMINIFERA; OVERTURNING CIRCULATION; GLOBIGERINA-BULLOIDES; EQUATORIAL CURRENT; OCEAN CIRCULATION; RAPID CHANGES; DEEP-OCEAN</t>
  </si>
  <si>
    <t>Negative stable carbon isotope (813C) excursions in the marine upper water column have been related to the release of aged oceanic CO2 to the atmosphere during millennial-scale events of the last glacial called Heinrich Stadials (HS). Different driving mechanisms have been proposed to explain upper water column 813C variations. In order to fully capture the 813C inventory of the South Atlantic Central Water (SACW) we utilized high temporal-resolution thermocline-dwelling foraminiferal 813C data from three marine sediment cores located at the NW, SW, and SE portions of the South Atlantic. Our data allows a basin-wide assessment of SACW 813C millennial-scale variability. The SE- and NW-South Atlantic thermocline 813C records reveal concurrent negative excursions during most HS, which contrasts with the lack of negative excursions in the SW-South Atlantic thermocline 813C record. Considering the marked similarity between these 813C records and the local predicted dissolved inorganic carbon (813Cpred), we attribute the SACW 813C variability during HS to the local thermodynamic air-sea isotopic equilibration. Such resemblance was also observed on the long-term timescale, which suggests that thermodynamic air-sea isotopic equilibration was the main factor controlling the 813C of SACW as well. However two exceptions were observed. First, in the SW-South Atlantic, a decoupling between 813C and 813Cpred between 50 and 45 ka B.P. that we attributed to an enhanced primary productivity. Second, in the SESouth Atlantic, a decoupling between 813C and 813Cpred between 35 and 20 ka B.P. that we attributed to a northward shift of the Subtropical Front.</t>
  </si>
  <si>
    <t>[Pinho, Taina M. L.; Campos, Marilia C.] Univ Sao Paulo, Inst Geosci, Sao Paulo, Brazil; [Chiessi, Cristiano M.; Crivellari, Stefano] Univ Sao Paulo, Sch Arts Sci &amp; Humanities, Sao Paulo, Brazil; [Campos, Marilia C.] Univ Estadual Campinas, Inst Geosci, Sao Paulo, Brazil; [Portilho-Ramos, Rodrigo C.; Mulitza, Stefan] Univ Bremen, MARUM Ctr Marine Environm Sci, Bremen, Germany; [Martinez-Mendez, Gema] Carl von Ossietzky Univ Oldenburg, Helmholtz Inst Funct Marine Biodivers, Oldenburg, Germany; [Venancio, Igor M.] Fluminense Fed Univ, Grad Program Geochem, Niteroi, Brazil; [Portilho-Ramos, Rodrigo C.; Albuquerque, Ana L. S.] Fluminense Fed Univ, Inst Geosci, Niteroi, Brazil; [Arz, Helge W.] Leibniz Inst Baltic Sea Res Warnemunde IOW, Marine Geol Dept, Rostock, Germany; [Pinho, Taina M. L.; Tiedemann, Ralf] Alfred Wegener Inst Polar &amp; Marine Res, Bremerhaven, Germany; [Bahr, Andre] Heidelberg Univ, Inst Earth Sci, Heidelberg, Germany</t>
  </si>
  <si>
    <t>Universidade de Sao Paulo; Universidade de Sao Paulo; Universidade Estadual de Campinas; University of Bremen; Carl von Ossietzky Universitat Oldenburg; Universidade Federal Fluminense; Universidade Federal Fluminense; Leibniz Institut fur Ostseeforschung Warnemunde; Helmholtz Association; Alfred Wegener Institute, Helmholtz Centre for Polar &amp; Marine Research; Ruprecht Karls University Heidelberg</t>
  </si>
  <si>
    <t>Pinho, TML (corresponding author), Univ Sao Paulo, Inst Geosci, Sao Paulo, Brazil.;Pinho, TML (corresponding author), Alfred Wegener Inst Polar &amp; Marine Res, Bremerhaven, Germany.</t>
  </si>
  <si>
    <t>taina.pinho@awi.de</t>
  </si>
  <si>
    <t>Pinho, Tainã Marcos Lima/AAN-6616-2021</t>
  </si>
  <si>
    <t>Pinho, Tainã Marcos Lima/0000-0001-6371-4498; Venancio, Igor/0000-0003-3118-4247</t>
  </si>
  <si>
    <t>FAPESP [2020/06534-0, 2022/09822-2, 2019/24349-9, 2016/10242-0, 2018/06790-7, 2023/05764-0, 312458/2020-7]; INSPIRES II: INSPIRES 2021-2024; CAPES [818123]; CNPq; Alfred Wegener Institute for Polar and Marine Research; European Union [200.120/2023-281226]; Alexander von Humboldt Foundation; FAPERJ [2019/10642-6, 2018/15123-4]; [88881.512929/2020-01]; [SEI-260003/000677/2023]</t>
  </si>
  <si>
    <t>FAPESP(Fundacao de Amparo a Pesquisa do Estado de Sao Paulo (FAPESP)); INSPIRES II: INSPIRES 2021-2024; CAPES(Coordenacao de Aperfeicoamento de Pessoal de Nivel Superior (CAPES)); CNPq(Conselho Nacional de Desenvolvimento Cientifico e Tecnologico (CNPQ)); Alfred Wegener Institute for Polar and Marine Research; European Union(European Union (EU)); Alexander von Humboldt Foundation(Alexander von Humboldt Foundation); FAPERJ(Fundacao Carlos Chagas Filho de Amparo a Pesquisa do Estado do Rio De Janeiro (FAPERJ)); ;</t>
  </si>
  <si>
    <t>Logistic and technical assistance was provided by the captain and crew of the R/V Meteor. New data shown herein will be archived in Pangaea ( www.pangaea.de) . T.M.L. Pinho acknowledges the financial support from FAPESP (grant 2019/10642-6) and INSPIRES II: INSPIRES 2021-2024. C.M. Chiessi acknowledges the financial support from FAPESP (grants 2018/15123-4 and 2019/24349-9) , CAPES (grant 88881.313535/2019-01) , CNPq (grant 312458/2020-7) ) and the Alfred Wegener Institute for Polar and Marine Research. M.C. Campos acknowledges the financial support from FAPESP (grants 2016/10242-0, 2018/06790-7, 2023/05764-0 and 2023/05764-0) . R.C. Portilho-Ramos acknowledges the financial support from the European Union's Horizon 2020 iAtlantic project (grant 818123) . I.M. Venancio ac-knowledges the scholarship from CAPES (grant 88881.512929/2020-01) , the Alexander von Humboldt Foundation and FAPERJ (SEI-260003/000677/2023) (JCNE grant 200.120/2023-281226) . S. Cri-vellari acknowledges the financial support from FAPESP (grants 2020/06534-0 and 2022/09822-2) . We would like to thank the reviewers for their thoughtful comments and efforts towards improving our manuscript.</t>
  </si>
  <si>
    <t>10.1016/j.gloplacha.2023.104223</t>
  </si>
  <si>
    <t>JA9W9</t>
  </si>
  <si>
    <t>WOS:001170560000001</t>
  </si>
  <si>
    <t>Datta, RT; Herrington, A; Lenaerts, JTM; Schneider, DP; Trusel, L; Yin, ZQ; Dunmire, D</t>
  </si>
  <si>
    <t>Datta, Rajashree Tri; Herrington, Adam; Lenaerts, Jan T. M.; Schneider, David P.; Trusel, Luke; Yin, Ziqi; Dunmire, Devon</t>
  </si>
  <si>
    <t>Evaluating the impact of enhanced horizontal resolution over the Antarcticdomain using a variable-resolution Earth system model</t>
  </si>
  <si>
    <t>SURFACE MASS-BALANCE; ELEMENT DYNAMICAL CORE; B ICE SHELF; CLIMATE MODEL; CAM-SE; PRECIPITATION; 20TH-CENTURY</t>
  </si>
  <si>
    <t>Earth system models are essential tools for understanding the impacts of a warming world, particularly on the contribution of polar ice sheets to sea level change. However, current models lack full coupling of the ice sheets to the ocean and are typically run at a coarse resolution (1 circle grid spacing or coarser). Coarse spatial resolution is particularly a problem over Antarctica, where sub-grid-scale orography is well-known to influence precipitation fields, and glacier models require high-resolution atmospheric inputs. This resolution limitation has been partially addressed by regional climate models (RCMs), which must be forced at their lateral and ocean surface boundaries by (usually coarser) global atmospheric datasets, However, RCMs fail to capture the two-way coupling between the regional domain and the global climate system. Conversely, running high-spatial-resolution models globally is computationally expensive and can produce vast amounts of data.Alternatively, variable-resolution grids can retain the benefits of high resolution over a specified domain without the computational costs of running at a high resolution globally. Here we evaluate a historical simulation of the Community Earth System Model version 2 (CESM2) implementing the spectral element (SE) numerical dynamical core (VR-CESM2) with an enhanced-horizontal-resolution (0.25 circle) grid over the Antarctic Ice Sheet and the surrounding Southern Ocean; the rest of the global domain is on the standard 1 circle grid. We compare it to 1 circle model runs of CESM2 using both the SE dynamical core and the standard finite-volume (FV) dynamical core, both with identical physics and forcing, including prescribed sea surface temperatures (SSTs) and sea ice concentrations from observations. Our evaluation reveals both improvements and degradations in VR-CESM2 performance relative to the 1 circle CESM2. Surface mass balance estimates are slightly higher but within 1 standard deviation of the ensemble mean, except for over the Antarctic Peninsula, which is impacted by better-resolved surface topography. Temperature and wind estimates are improved over both the near surface and aloft, although the overall correction of a cold bias (within the 1 circle CESM2 runs) has resulted in temperatures which are too high over the interior of the ice sheet. The major degradations include the enhancement of surface melt as well as excessive cloud liquid water over the ocean, with resultant impacts on the surface radiation budget. Despite these changes, VR-CESM2 is a valuable tool for the analysis of precipitation and surface mass balance and thus constraining estimates of sea level rise associated with the Antarctic Ice Sheet.</t>
  </si>
  <si>
    <t>[Datta, Rajashree Tri; Lenaerts, Jan T. M.; Yin, Ziqi; Dunmire, Devon] Univ Colorado, Atmospher &amp; Ocean Sci Dept, Boulder, CO 80309 USA; [Herrington, Adam; Schneider, David P.] Natl Ctr Atmospher Res, Climate &amp; Global Dynam Lab, Boulder, CO 80305 USA; [Schneider, David P.] Univ Colorado Boulder, Cooperat Inst Res Environm Sci, Boulder, CO 80309 USA; [Trusel, Luke] Penn State Univ, Dept Geog, University Pk, PA 16802 USA</t>
  </si>
  <si>
    <t>University of Colorado System; University of Colorado Boulder; National Center Atmospheric Research (NCAR) - USA; University of Colorado System; University of Colorado Boulder; Pennsylvania Commonwealth System of Higher Education (PCSHE); Pennsylvania State University; Pennsylvania State University - University Park</t>
  </si>
  <si>
    <t>Datta, RT (corresponding author), Univ Colorado, Atmospher &amp; Ocean Sci Dept, Boulder, CO 80309 USA.</t>
  </si>
  <si>
    <t>tri.datta@gmail.com</t>
  </si>
  <si>
    <t>; Lenaerts, Jan/D-9423-2012</t>
  </si>
  <si>
    <t>Trusel, Luke/0000-0002-7792-6173; Datta, Rajashree Tri/0000-0003-2241-0687; Yin, Ziqi/0009-0004-8942-4711; Lenaerts, Jan/0000-0003-4309-4011; Dunmire, Devon/0000-0001-6299-9137</t>
  </si>
  <si>
    <t>National Science Foundation [1952199]; National Science Foundation (NSF), Office of Polar Programs [S000885]; NASA; National Center for Atmospheric Research; NSF</t>
  </si>
  <si>
    <t>National Science Foundation(National Science Foundation (NSF)); National Science Foundation (NSF), Office of Polar Programs(National Science Foundation (NSF)); NASA(National Aeronautics &amp; Space Administration (NASA)); National Center for Atmospheric Research; NSF(National Science Foundation (NSF))</t>
  </si>
  <si>
    <t>Funding for this work, through Rajashree Tri Datta, Jan T. M. Lenaerts, David P. Schneider, Devon D. Dunmire, and Ziqi Yin, was provided by grant 1952199 from the National Science Foundation (NSF), Office of Polar Programs. Rajashree Tri Datta and Luke Trusel also received funding through NASA grant S000885; David P. Schneider was also supported through the National Center for Atmospheric Research, which is a major facility sponsored by the NSF, under cooperative agreement no. 1852977. The authors thank all the scientists, software engineers, and administrators who contributed to the development of CESM, which is primarily supported by the NSF. Finally, the authors appreciate the efforts of the reviewers and editors, whose constructive comments led to an improved paper.</t>
  </si>
  <si>
    <t>SEP 6</t>
  </si>
  <si>
    <t>10.5194/tc-17-3847-2023</t>
  </si>
  <si>
    <t>HT5V5</t>
  </si>
  <si>
    <t>WOS:001161781000001</t>
  </si>
  <si>
    <t>Bennison, A; Clark, BL; Votier, SC; Quinn, JL; Darby, J; Jessopp, M</t>
  </si>
  <si>
    <t>Bennison, Ashley; Clark, Bethany L.; Votier, Stephen C.; Quinn, John L.; Darby, Jamie; Jessopp, Mark</t>
  </si>
  <si>
    <t>Handedness and individual roll-angle specialism when plunge diving in the northern gannet</t>
  </si>
  <si>
    <t>handednesses; specialisms; lateralization; repeatability; gannet; seabird</t>
  </si>
  <si>
    <t>BEHAVIORAL LATERALIZATION; BRAIN LATERALIZATION; GPS TRACKING; BIRDS; PREY; ADVANTAGES; HUMANS; SEX</t>
  </si>
  <si>
    <t>Many vertebrates show lateralized behaviour, or handedness, where an individual preferentially uses one side of the body more than the other. This is generally thought to be caused by brain lateralization and allows functional specializations such as sight, locomotion, and decision-making among other things. We deployed accelerometers on 51 northern gannets, Morus bassanus, to test for behavioural lateralization during plunge dives. When plunge diving, gannets 'roll' to one side, and standard indices indicated that 51% of individuals were left-sided, 43% right-sided, and 6% 'non-lateralized'. Lateralization indices provide no measure of error and do not account for environmental covariance, so we conducted two repeatability analyses on individuals' dive roll direction and angle. Dive side lateralization was highly repeatable among individuals over time at the population level (R = 0.878, p &lt; 0.001). Furthermore, roll angle was also highly repeatable in individuals (R = 0.751, p &lt; 0.001) even after controlling for lateralized state. Gannets show individual specializations in two different parts of the plunge diving process when attempting to catch prey. This is the first demonstration of lateralization during prey capture in a foraging seabird. It is also one of the few demonstrations of behavioural lateralization in a mixed model approach, providing a structure for further exploring behavioural lateralization.</t>
  </si>
  <si>
    <t>[Bennison, Ashley] British Antarctic Survey, Cambridge CB3 0ET, England; [Clark, Bethany L.] BirdLife Int, Cambridge CB2 3QZ, England; [Votier, Stephen C.] Heriot Watt Univ, Lyell Ctr, Edinburgh EH14 4BA, Midlothian, Scotland; [Quinn, John L.; Darby, Jamie; Jessopp, Mark] Univ Coll Cork, Sch Biol Earth &amp; Environm Sci BEES, Cork T23 N73K, Ireland; [Darby, Jamie; Jessopp, Mark] Univ Coll Cork, Environm Res Inst, Ctr Marine &amp; Renewable Energy, MaREI, Cork T23 N73K, Ireland</t>
  </si>
  <si>
    <t>UK Research &amp; Innovation (UKRI); Natural Environment Research Council (NERC); NERC British Antarctic Survey; BirdLife International; Heriot Watt University; University College Cork; University College Cork</t>
  </si>
  <si>
    <t>Bennison, A (corresponding author), British Antarctic Survey, Cambridge CB3 0ET, England.</t>
  </si>
  <si>
    <t>ashleybennison@gmail.com</t>
  </si>
  <si>
    <t>; Votier, Stephen/G-2348-2014</t>
  </si>
  <si>
    <t>Darby, Jamie/0000-0002-9757-7150; Clark, Bethany Louise/0000-0001-5803-7744; Votier, Stephen/0000-0002-0976-0167</t>
  </si>
  <si>
    <t>Irish Research Council [GOIPG/2016/503]; Natural Environment Research Council GW4+ Doctoral Training Partnership studentship [NE/L002434/1]; Irish Research Council (IRC) [GOIPG/2016/503] Funding Source: Irish Research Council (IRC)</t>
  </si>
  <si>
    <t>Irish Research Council(Irish Research Council for Science, Engineering and Technology); Natural Environment Research Council GW4+ Doctoral Training Partnership studentship; Irish Research Council (IRC)(Irish Research Council for Science, Engineering and Technology)</t>
  </si>
  <si>
    <t>A.B. was funded by Irish Research Council, (grant no. GOIPG/2016/503). B.L.C. was funded by Natural Environment Research Council GW4+ Doctoral Training Partnership studentship (grant no. NE/L002434/1).</t>
  </si>
  <si>
    <t>10.1098/rsbl.2023.0287</t>
  </si>
  <si>
    <t>FH0Z2</t>
  </si>
  <si>
    <t>WOS:001144766700001</t>
  </si>
  <si>
    <t>Ineson, JR; Bowman, VC; Crame, JA; Whittle, RJ; Francis, JE</t>
  </si>
  <si>
    <t>Ineson, Jon R.; Bowman, Vanessa C.; Crame, J. Alistair; Whittle, Rowan J.; Francis, Jane E.</t>
  </si>
  <si>
    <t>Sequence stratigraphy of a wave-dominated, tidally influenced delta in the Danian of Seymour Island, Antarctica: An integrated sedimentological-palaeoecological approach</t>
  </si>
  <si>
    <t>Antarctic Peninsula; James Ross Basin; Sobral Formation; Paleocene; Palynology; Invertebrate macrofauna</t>
  </si>
  <si>
    <t>INCLINED HETEROLITHIC STRATIFICATION; CHORATE DINOFLAGELLATE CYSTS; BACK-ARC BASIN; CRETACEOUS STRATIGRAPHY; MARAMBIO GROUP; NEW-JERSEY; PALEOCENE; DEPOSITS; EVOLUTION; BOUNDARY</t>
  </si>
  <si>
    <t>Lower Paleocene marine siliciclastics of the Sobral Formation (Seymour Island, Antarctica) form an important component of a key southern high latitude reference section for the Maastrichtian-Eocene. The formation comprises a coarsening-upward, regressive succession (270 m thick), shallowing from prodeltaic, mud-rich to sandy nearshore sediments. Sedimentary facies analysis, integrated with macrofaunal and microfloral palaeoecological studies, indicate a wave-dominated, tidally influenced deltaic environment. Four depositional sequences (1-4) record the role of relative sea-level changes in controlling the stepwise progradation of the system. Prodeltaic and distal delta-front deposits (Sequences 1, 2), comprise coarsening-upward parasequences of mudrich heteroliths and bioturbated fine-grained muddy sands displaying draped slump scars. The overlying erosional sequence boundary is marked by incised valleys filled with fluvio-estuarine sediments; succeeding sand-rich facies (Sequences 3, 4) represent the proximal delta front and delta platform. The macro-invertebrate and palynological datasets display contrasting responses to the regressive history of the formation. The macrofaunal record in the distal deltaic sediments reflects the marine influence, though a stratigraphic increase in diversity was controlled both by ecological factors and biotic recovery following the K-Pg event. The associated palynological assemblage also displays a strong marine signal and includes typical outer neritic - oceanic dinoflagellate cyst taxa. A sharp decline in macrofossil diversity and abundance in Sequences 3, 4 is compatible with ecological stress in shallow-water, restricted inshore settings. Though the palynological record at this level is terrestrially dominated, the marine component reflects the cosmopolitan nature of dinoflagellates, displaying the highest diversities in the formation. The regressive Sobral Formation ended a protracted c. 60 Myr history of regional subsidence and marine sedimentation; although amplified by two Danian sea-level falls of probable eustatic origin, the regressive trend heralded mid-Paleocene basin inversion potentially linked to the onset of regional tectonic reorganization that ultimately led to opening of the Scotia Sea.</t>
  </si>
  <si>
    <t>[Ineson, Jon R.] Geol Survey Denmark &amp; Greenland, Oster Voldgade 10, DK-1350 Copenhagen, Denmark; [Bowman, Vanessa C.; Crame, J. Alistair; Whittle, Rowan J.; Francis, Jane E.] British Antarctic Survey, Madingley Rd, Cambridge CB3 OET, England; [Bowman, Vanessa C.] Jesus Coll, Jesus Lane, Cambridge CB5 8BL, England</t>
  </si>
  <si>
    <t>Geological Survey Of Denmark &amp; Greenland; UK Research &amp; Innovation (UKRI); Natural Environment Research Council (NERC); NERC British Antarctic Survey; University of Cambridge</t>
  </si>
  <si>
    <t>Ineson, JR (corresponding author), Geol Survey Denmark &amp; Greenland, Oster Voldgade 10, DK-1350 Copenhagen, Denmark.</t>
  </si>
  <si>
    <t>ji@geus.dk; jacr@bas.ac.uk; roit@bas.ac.uk; janefr@bas.ac.uk</t>
  </si>
  <si>
    <t>Carlsberg Foundation [2009/01/0702]; GEUS (Geological Survey of Denmark); British Antarctic Survey Polar Science for Planet Earth Programme; NERC (UK) [NE/I005803/1, NE/I00582X/1]</t>
  </si>
  <si>
    <t>Carlsberg Foundation(Carlsberg Foundation); GEUS (Geological Survey of Denmark); British Antarctic Survey Polar Science for Planet Earth Programme; NERC (UK)(UK Research &amp; Innovation (UKRI)Natural Environment Research Council (NERC))</t>
  </si>
  <si>
    <t>The professional logistic support of the British Antarctic Survey during the 2009-10 field season is gratefully acknowledged, as is the generous hospitality of the personnel at the Argentinian Marambio base on Seymour Island. We also thank the following: Tom Weston for his patient and highly competent field assistance, Peter Bucktrout (BAS) for photographic support, and Teal Riley (BAS) for discussion of the regional tectonic context. Jette Halskov and Jacob Lind Bendtsen (both GEUS) produced the figures. We thank three anonymous reviewers for their constructive and insightful comments and suggestions. JI's field participation was supported financially by the Carlsberg Foundation (grant 2009/01/0702) , and subsequent participation in the Paleopolar project by GEUS (Geological Survey of Denmark and Greenland) ; publication by this author is by permission of GEUS. The Paleopolar project, funded by NERC (UK) grants NE/I005803/1 and NE/I00582X/1, is a part of the British Antarctic Survey Polar Science for Planet Earth Programme.</t>
  </si>
  <si>
    <t>10.1016/j.palaeo.2023.111789</t>
  </si>
  <si>
    <t>T5SK1</t>
  </si>
  <si>
    <t>WOS:001078583800001</t>
  </si>
  <si>
    <t>Kim, K; Ha, SY; Shin, KH; Kim, JH; Mundy, CJ; Dalman, LA; Kim, BK; Lee, D; Jang, HK; Kim, Y; Park, S; Lee, SH</t>
  </si>
  <si>
    <t>Kim, Kwanwoo; Ha, Sun-Yong; Shin, Kyung-Hoon; Kim, Jee-Hoon; Mundy, C. J.; Dalman, Laura A.; Kim, Bo Kyung; Lee, Dabin; Jang, Hyo Keun; Kim, Yejin; Park, Sanghoon; Lee, Sang Heon</t>
  </si>
  <si>
    <t>Vertical distributions of organic matter components in sea ice near Cambridge Bay, Dease Strait, Canadian Archipelago</t>
  </si>
  <si>
    <t>sea ice; organic matters; Chl-a (chlorophyll a); biopolymeric carbon (BPC); Cambridge Bay</t>
  </si>
  <si>
    <t>MARINE PLANKTONIC DIATOM; CHAETOCEROS-PSEUDOCURVISETUS; BIOCHEMICAL-COMPOSITION; NORTHWEST PASSAGE; CALANUS-GLACIALIS; ALGAE; BIOMASS; PHYTOPLANKTON; MICROALGAE; BLOOMS</t>
  </si>
  <si>
    <t>Ice algae thriving within sea ice play a crucial role in transferring energy to higher trophic levels and influencing biogeochemical processes in polar oceans; however, the distribution of organic matter within the ice interior is not well understood. This study aimed to investigate the vertical distribution of organic matter, including chlorophyll a (Chl-a), particulate organic carbon and nitrogen (POC and PON), carbohydrates (CHO), proteins (PRT), lipids (LIP), and food material (FM), within the sea ice. Samples were collected from the bottom, middle, and top sections of the sea ice column near Cambridge Bay during the spring of 2018. Based on the delta C-13 signature, biochemical composition, and POC contribution of biopolymeric carbon (BPC), the organic substances within the sea ice were predominantly attributed to marine autotrophs. While the highest concentrations of each parameter were observed at the sea ice bottom, notable concentrations were also found in the upper sections. The average sea ice column-integrated Chl-a concentration was 5.05 +/- 2.26 mg m(-2), with the bottom ice section contributing 59% (S.D. = +/- 10%) to the total integration. The column-integrated concentrations of FM, BPC, POC, and PON were 2.05 +/- 0.39, 1.10 +/- 0.20, 1.47 +/- 0.25, and 0.09 +/- 0.03 g m(-2), respectively. Contributions of the bottom ice section to these column-integrated concentrations varied for each parameter, with values of 20 +/- 6, 21 +/- 7, 19 +/- 5, and 28 +/- 7%, respectively. While the bottom ice section exhibited a substantial Chl-a contribution in line with previous studies, significantly higher contributions of the other parameterswere observed in the upper sea ice sections. This suggests that the particulate matter within the interior of the sea ice could potentially serve as an additional food source for higher trophic grazers or act as a seedingmaterial for a phytoplankton bloomduring the ice melting season. Our findings highlight the importance of comprehensive field measurements encompassing the entire sea ice section to better understand</t>
  </si>
  <si>
    <t>[Kim, Kwanwoo; Lee, Dabin; Jang, Hyo Keun; Kim, Yejin; Park, Sanghoon; Lee, Sang Heon] Pusan Natl Univ, Dept Oceanog, Busan, South Korea; [Kim, Kwanwoo; Lee, Dabin; Jang, Hyo Keun; Kim, Yejin; Park, Sanghoon; Lee, Sang Heon] Pusan Natl Univ, Marine Res Inst, Busan, South Korea; [Ha, Sun-Yong; Kim, Jee-Hoon] Korea Polar Res Inst, Div Polar Ocean Sci, Incheon, South Korea; [Shin, Kyung-Hoon; Kim, Bo Kyung] Hanyang Univ, Dept Marine Sci &amp; Convergent Technol, Ansan, South Korea; [Mundy, C. J.; Dalman, Laura A.] Univ Manitoba, Ctr Earth Observat Sci CEOS, Dept Environm &amp; Geog, Winnipeg, MB, Canada; [Dalman, Laura A.] Univ Tasmania, Inst Marine &amp; Antarctic Studies, Hobart, Tas, Australia</t>
  </si>
  <si>
    <t>Pusan National University; Pusan National University; Korea Polar Research Institute (KOPRI); Hanyang University; University of Manitoba; University of Tasmania</t>
  </si>
  <si>
    <t>Lee, SH (corresponding author), Pusan Natl Univ, Dept Oceanog, Busan, South Korea.;Lee, SH (corresponding author), Pusan Natl Univ, Marine Res Inst, Busan, South Korea.</t>
  </si>
  <si>
    <t>sanglee@pusan.ac.kr</t>
  </si>
  <si>
    <t>Kim, Bo Kyung/GRY-2456-2022</t>
  </si>
  <si>
    <t>Kim, Bo Kyung/0009-0005-4890-701X; Dalman, Laura/0000-0002-3931-6753</t>
  </si>
  <si>
    <t>National Research Foundation of Korea (NRF) - Korean government (MSIT) [NRF-2019R1A2C1003515]; Korea Institute of Marine Science &amp; Technology Promotion (KIMST) - Ministry of Oceans and Fisheries [20210605]; Korea Polar Research Institute [PE23110]</t>
  </si>
  <si>
    <t>National Research Foundation of Korea (NRF) - Korean government (MSIT)(National Research Foundation of KoreaMinistry of Science &amp; ICT (MSIT), Republic of Korea); Korea Institute of Marine Science &amp; Technology Promotion (KIMST) - Ministry of Oceans and Fisheries(Korea Institute of Marine Science &amp; Technology Promotion (KIMST)); Korea Polar Research Institute(Korea Polar Research Institute of Marine Research Placement (KOPRI))</t>
  </si>
  <si>
    <t>This research was supported by grants from the National Research Foundation of Korea (NRF) funded by the Korean government (MSIT; NRF-2019R1A2C1003515), the Korea Institute of Marine Science &amp; Technology Promotion (KIMST) funded by the Ministry of Oceans and Fisheries (20210605, KoreaArctic Ocean Warming and Response of Ecosystem, KOPRI), and the Korea Polar Research Institute for the project 'Carbon Cycle Change and Ecosystem Response under Southern Ocean Warming' (PE23110).</t>
  </si>
  <si>
    <t>10.3389/fmars.2023.1231083</t>
  </si>
  <si>
    <t>S1RI7</t>
  </si>
  <si>
    <t>WOS:001069009800001</t>
  </si>
  <si>
    <t>Ulloa, PA; Valencia, AL; Olivares, D; Poblete-Morales, M; Silva-Moreno, E; Defilippi, BG</t>
  </si>
  <si>
    <t>Ulloa, Pablo A.; Valencia, Ana Luisa; Olivares, Daniela; Poblete-Morales, Matias; Silva-Moreno, Evelyn; Defilippi, Bruno G.</t>
  </si>
  <si>
    <t>Antifungal effect of volatile organic compounds (VOCs) release from Antarctic bacteria under postharvest conditions</t>
  </si>
  <si>
    <t>FOOD PACKAGING AND SHELF LIFE</t>
  </si>
  <si>
    <t>Antifungal activity; VOCs; Antarctic bacteria; Botrytis cinerea; Postharvest active agents</t>
  </si>
  <si>
    <t>SPORE GERMINATION; SULFUR-DIOXIDE; GRAY MOLD; BOTRYTIS; PATHOGEN; GROWTH</t>
  </si>
  <si>
    <t>The generation of biological control agents for postharvest fungal control has prompted the search for different natural sources due to studies indicating adverse effects that may be related to the use of conventional fungicides (e.g., SO2). Some bacteria that have the ability to generate volatile organic compounds (VOCs) with antifungal activity stand out in this regard. Thus, the Antarctic bacterium Pseudomonas sp. AN3A02, which can grow in very cold environments with low nutrient availability, has shown a fungistatic effect on Botrytis cinerea in dual culture. In this study, in vitro assays were performed to evaluate its effect and activity on strains of B. cinerea isolated from blueberries using dual-plate assays. An antifungal assay (in vivo) was performed by artificial wounding on blueberries inoculated with B. cinerea (1 x106 conidia/mL) and stored at 0 degrees C for 20 d plus 3 d at 20 degrees C. The results obtained showed that in the presence of the bacteria, the severity of gray mold on blueberries was reduced by 71.38 %. In addition, this bacterium released a diversity of VOCs, including alcohols (1-octanol, 10.3 %), aldehydes (paraldehyde, 2.1 %), esters (ethyl butyrate, 4 %; isoamyl acetate, 2 %), ketones (2-nonanone, 1.4 %), terpenes (linalool, 1.9 %; D-limonene, 0.7 %), phenolic derivatives (2,4-di-tert-butylphenol, 2.5 %) and other groups, which were identified by GC-MS. The release of VOCs affects and modifies the hyphae and germ tube of B. cinerea, influencing its growth. Therefore, a new and environmentally friendly alternative for postharvest pathogen control could be generated based on this Antarctic microorganism.</t>
  </si>
  <si>
    <t>[Ulloa, Pablo A.; Valencia, Ana Luisa; Olivares, Daniela; Silva-Moreno, Evelyn; Defilippi, Bruno G.] Inst Invest Agr INIA, Av Santa Rosa 11-610, Santiago 8831314, Chile; [Poblete-Morales, Matias] Univ Autonoma Chile, Llano Subercaseaux 2801, Santiago 8910339, Peru</t>
  </si>
  <si>
    <t>Defilippi, BG (corresponding author), Inst Invest Agr INIA, Av Santa Rosa 11-610, Santiago 8831314, Chile.</t>
  </si>
  <si>
    <t>bdefilip@inia.cl</t>
  </si>
  <si>
    <t>Defilippi, Bruno G/K-7172-2014</t>
  </si>
  <si>
    <t>Poblete-Morales, Matias/0000-0001-9064-3285</t>
  </si>
  <si>
    <t>CONICYT + FONDEF/CONCURSO IDeA I + D, FONDEF/CONICYT 2020 + FOLIO [20I10197]; Corporacion de Fomento de la Produccion (CORFO) [66641]</t>
  </si>
  <si>
    <t>CONICYT + FONDEF/CONCURSO IDeA I + D, FONDEF/CONICYT 2020 + FOLIO; Corporacion de Fomento de la Produccion (CORFO)</t>
  </si>
  <si>
    <t>This research was funded by CONICYT + FONDEF/CONCURSO IDeA I + D, FONDEF/CONICYT 2020 + FOLIO ID 20I10197. Unidad de Desarrollo Tecnologico (UDT) de la Universidad de Concepcion for participation in the production of the PLA films used for the manufacturing of the sachets. Corporacion de Fomento de la Produccion (CORFO) 16PTEC FS -66641.</t>
  </si>
  <si>
    <t>2214-2894</t>
  </si>
  <si>
    <t>FOOD PACKAGING SHELF</t>
  </si>
  <si>
    <t>FOOD PACKAGING SHELF LIFE</t>
  </si>
  <si>
    <t>10.1016/j.fpsl.2023.101160</t>
  </si>
  <si>
    <t>S8SJ8</t>
  </si>
  <si>
    <t>WOS:001073809100001</t>
  </si>
  <si>
    <t>Zinck, ASP; Wouters, B; Lambert, E; Lhermitte, S</t>
  </si>
  <si>
    <t>Zinck, Ann-Sofie Priergaard; Wouters, Bert; Lambert, Erwin; Lhermitte, Stef</t>
  </si>
  <si>
    <t>Unveiling spatial variability within the Dotson Melt Channel through high-resolution basal melt rates from the Reference Elevation Model of Antarctica</t>
  </si>
  <si>
    <t>PINE ISLAND GLACIER; ICE-SHELF; MASS-BALANCE; SEA-LEVEL; GREENLAND</t>
  </si>
  <si>
    <t>The intrusion of Circumpolar Deep Water in the Amundsen and Bellingshausen Sea embayments of Antarctica causes ice shelves in the region to melt from below, potentially putting their stability at risk. Earlier studies have shown how digital elevation models can be used to obtain ice shelf basal melt rates at a high spatial resolution. However, there has been limited availability of high-resolution elevation data, a gap the Reference Elevation Model of Antarctica (REMA) has filled. In this study we use a novel combination of REMA and CryoSat-2 elevation data to obtain high-resolution basal melt rates of the Dotson Ice Shelf in a Lagrangian framework, at a 50 m spatial posting on a 3-yearly temporal resolution. We present a novel method: Basal melt rates Using REMA and Google Earth Engine (BURGEE). The high resolution of BURGEE is supported through a sensitivity study of the Lagrangian displacement. The high-resolution basal melt rates show a good agreement with an earlier basal melt product based on CryoSat-2. Both products show a wide melt channel extending from the grounding line to the ice front, but our high-resolution product indicates that the pathway and spatial variability of this channel is influenced by a pinning point on the ice shelf. This result emphasizes the importance of high-resolution basal melt rates to expand our understanding of channel formation and melt patterns. BURGEE can be expanded to a pan-Antarctic study of high-resolution basal melt rates. This will provide a better picture of the (in)stability of Antarctic ice shelves.</t>
  </si>
  <si>
    <t>[Zinck, Ann-Sofie Priergaard; Wouters, Bert; Lhermitte, Stef] Delft Univ Technol, Dept Geosci &amp; Remote Sensing, Delft, Netherlands; [Zinck, Ann-Sofie Priergaard; Wouters, Bert] Univ Utrecht, Inst Marine &amp; Atmospher Res Utrecht IMAU, Utrecht, Netherlands; [Lambert, Erwin] Royal Netherlands Meteorol Inst KNMI, Res &amp; Dev Weather &amp; Climate Modelling RDWK, De Bilt, Netherlands; [Lhermitte, Stef] Katholieke Univ Leuven, Dept Earth &amp; Environm Sci, Leuven, Belgium</t>
  </si>
  <si>
    <t>Delft University of Technology; Utrecht University; Royal Netherlands Meteorological Institute; KU Leuven</t>
  </si>
  <si>
    <t>Zinck, ASP (corresponding author), Delft Univ Technol, Dept Geosci &amp; Remote Sensing, Delft, Netherlands.;Zinck, ASP (corresponding author), Univ Utrecht, Inst Marine &amp; Atmospher Res Utrecht IMAU, Utrecht, Netherlands.</t>
  </si>
  <si>
    <t>a.p.zinck@tudelft.nl</t>
  </si>
  <si>
    <t>Lhermitte, Stef (Stefaan)/0000-0002-1622-0177; Wouters, Bert/0000-0002-1086-2435; Zinck, Ann-Sofie Priergaard/0000-0001-5407-0934</t>
  </si>
  <si>
    <t>Nederlandse Organisatie voor Wetenschappelijk Onderzoek [OCENW.GROOT.2019.091]; Dutch Research Council (NWO)</t>
  </si>
  <si>
    <t>Nederlandse Organisatie voor Wetenschappelijk Onderzoek(Netherlands Organization for Scientific Research (NWO)); Dutch Research Council (NWO)(Netherlands Organization for Scientific Research (NWO))</t>
  </si>
  <si>
    <t>This study is a part of the HiRISE project which is funded by the Dutch Research Council (NWO, no. OCENW.GROOT.2019.091). The authors thank Noel Gourmelen for providing basal melt rates of the Dotson Ice Shelf from remote sensing. The authors also thank Noel Gourmelen along with an anonymous reviewer as well as editor Christian Haas for comments and suggestions which have improved the quality of this paper.</t>
  </si>
  <si>
    <t>SEP 5</t>
  </si>
  <si>
    <t>10.5194/tc-17-3785-2023</t>
  </si>
  <si>
    <t>HT6Z9</t>
  </si>
  <si>
    <t>Green Submitted, Green Accepted, Green Published, gold</t>
  </si>
  <si>
    <t>WOS:001161811400001</t>
  </si>
  <si>
    <t>Morrissey, D; Gordon, J; Saso, E; Bilewitch, JP; Taylor, ML; Hayes, V; Mcfadden, CS; Quattrini, AM; Allcock, AL</t>
  </si>
  <si>
    <t>Morrissey, Declan; Gordon, Jessica; Saso, Emma; Bilewitch, Jaret P.; Taylor, Michelle L.; Hayes, Vonda; Mcfadden, Catherine S.; Quattrini, Andrea M.; Allcock, Louise</t>
  </si>
  <si>
    <t>Bamboozled! Resolving deep evolutionary nodes within the phylogeny of bamboo corals (Octocorallia: Scleralcyonacea: Keratoisididae)</t>
  </si>
  <si>
    <t>Keratoisididae; Ultraconserved Elements; Systematics; Octocorals; Morphology; Phylogenomics</t>
  </si>
  <si>
    <t>MULTIPLE SEQUENCE ALIGNMENT; ISIDIDAE KERATOISIDINAE; ULTRACONSERVED ELEMENTS; MOLECULAR SYSTEMATICS; WATER CORALS; GENUS; CNIDARIA; FAMILY; ANTHOZOA; REVISION</t>
  </si>
  <si>
    <t>Keratoisididae is a globally distributed, and exclusively deep-sea, family of octocorals that contains species and genera that are polyphyletic. An alphanumeric system, based on a three-gene-region phylogeny, is widely used to describe the biodiversity within this family. That phylogeny identified 12 major groups although it did not have enough signal to explore the relationships among groups. Using increased phylogenomic resolution generated from Ultraconserved Elements and exons (i.e. conserved elements), we aim to resolve deeper nodes within the family and investigate the relationships among those predefined groups. In total, 109 libraries of conserved elements were generated from individuals representing both the genetic and morphological diversity of our keratoisidids. In addition, the conserved element data of 12 individuals from previous studies were included. Our taxon sampling included 11 of the 12 keratoisidid groups. We present two phylogenies, constructed from a 75% (231 loci) and 50% (1729 loci) taxon occupancy matrix respectively, using both Maximum Likelihood and Multiple Species Coalescence methods. These trees were congruent at deep nodes. As expected, S1 keratoisidids were recovered as a well-supported sister clade to the rest of the bamboo corals. S1 corals do not share the same mitochondrial gene arrangement found in other members of Keratoisididae. All other bamboo corals were recovered within two major clades. Clade I comprises individuals assigned to alphanumeric groups B1, C1, D1&amp;D2, F1, H1, I4, and J3 while Clade II contains representatives from A1, I1, and M1. By combining genomics with already published morphological data, we provide evidence that group H1 is not monophyletic, and that the division between other groups - D1 and D2, and A1 and M1 - needs to be reconsidered. Overall, there is a lack of robust morphological markers within Keratoisididae, but subtle characters such as sclerite microstructure and ornamentation seem to be shared within groups and warrant further investigation as taxonomically diagnostic characters.</t>
  </si>
  <si>
    <t>[Morrissey, Declan; Allcock, Louise] Univ Galway, Ryan Inst, Univ Rd, Galway, Ireland; [Morrissey, Declan; Allcock, Louise] Univ Galway, Sch Nat Sci, Univ Rd, Galway, Ireland; [Gordon, Jessica; Taylor, Michelle L.] Univ Essex, Sch Life Sci, Colchester, England; [Saso, Emma; Quattrini, Andrea M.] Smithsonian Inst, Dept Invertebrate Zool, Natl Museum Nat Hist, Washington, DC 20560 USA; [Bilewitch, Jaret P.] Natl Inst Water &amp; Atmospher Res Ltd NIWA, 301 Evans Bay Parade, Wellington 6021, New Zealand; [Hayes, Vonda] Fisheries &amp; Oceans Canada, St John, NF, Canada; [Mcfadden, Catherine S.] Harvey Mudd Coll, Dept Biol, 1250 N Dartmouth Ave, Claremont, CA 91711 USA</t>
  </si>
  <si>
    <t>Ollscoil na Gaillimhe-University of Galway; Ollscoil na Gaillimhe-University of Galway; University of Essex; Smithsonian Institution; Smithsonian National Museum of Natural History; National Institute of Water &amp; Atmospheric Research (NIWA) - New Zealand; Fisheries &amp; Oceans Canada; Claremont Colleges; Harvey Mudd College</t>
  </si>
  <si>
    <t>Morrissey, D (corresponding author), Univ Galway, Ryan Inst, Univ Rd, Galway, Ireland.;Morrissey, D (corresponding author), Univ Galway, Sch Nat Sci, Univ Rd, Galway, Ireland.</t>
  </si>
  <si>
    <t>d.morrissey4@universityofgalway.ie</t>
  </si>
  <si>
    <t>Quattrini, Andrea/0000-0002-4247-3055</t>
  </si>
  <si>
    <t>Irish Research Council Postgraduate Scholarship; University of Galway Thomas Crawford Hayes Fund award; Genetics Society UK training grant; Irish Centre for High-End Computing (ICHEC); Irish National Ship Time Programme [GOIPG/2019/3682]; Science Foundation Ireland; Marine Institute; European Regional Development Fund; US Department of the Interior, Bureau of Ocean Energy Management; Fisheries New Zealand (FNZ); FRST [SFI/15/IA/3100]; Auckland University; Institute of Geological and Nuclear Science (GNS Science); Woods Hole Oceanographic Institute (WHOI); Land Information New Zealand; GNS Science; NIWA; WHOI; Ministry for Primary Industries; University of New Hampshire; FNZ; Commission for the Conservation of Antarctic Marine Living Resources (CCAMLR)</t>
  </si>
  <si>
    <t>Irish Research Council Postgraduate Scholarship(Irish Research Council for Science, Engineering and Technology); University of Galway Thomas Crawford Hayes Fund award; Genetics Society UK training grant; Irish Centre for High-End Computing (ICHEC); Irish National Ship Time Programme; Science Foundation Ireland(Science Foundation Ireland); Marine Institute; European Regional Development Fund(European Union (EU)); US Department of the Interior, Bureau of Ocean Energy Management; Fisheries New Zealand (FNZ); FRST(New Zealand Foundation for Research, Science and Technology); Auckland University; Institute of Geological and Nuclear Science (GNS Science); Woods Hole Oceanographic Institute (WHOI); Land Information New Zealand; GNS Science; NIWA; WHOI; Ministry for Primary Industries; University of New Hampshire; FNZ; Commission for the Conservation of Antarctic Marine Living Resources (CCAMLR)</t>
  </si>
  <si>
    <t>D Morrissey is funded by an Irish Research Council Postgraduate Scholarship GOIPG/2019/3682. This research was supported by a University of Galway Thomas Crawford Hayes Fund award and a Genetics Society UK training grant. The authors wish to acknowledge the Irish Centre for High-End Computing (ICHEC) for the provision of computational facilities and support under projects nglif036c, ngear020c, and nglif049b. Access to specimens from Museum National d'Histoire Naturelle was facilitated by Eric Pante and Magalie Castelin. Specimens were collected from cruises ATIMO VATAE, BIOMAGLO, PAPUA NIUGINI, SALOMON 2, and TERRASES.The authors wish to thank the Museum of Comparative Zoology Invertebrate Zoology Department and Cryogenic Collection for use of specimens/samples, the Queensland Museum, and the Canadian Natural Museum for access to specimens from their collections. Specimens provided by the Smithsonian Institute National Museum of Natural History that were used in this study came from CE13008 (ALA, chief scientist) CE14009 (M. White, chief scientist) , and CE16006 (ALA, chief scientist) aboard the RV Celtic Explorer funded by the Irish National Ship Time Programme. Samples also came from research cruises CE17008 (ALA, chief scientist) and CE18012 (ALA, chief scientist) aboard the RV Celtic Explorer which were funded by Science Foundation Ireland and the Marine Institute under Investigators Programme Grant SFI/15/IA/3100 and co-funded under the European Regional Development Fund 2014-2020 awarded to ALA. A few specimens were collected during the R/V Atlantis DEEPSEARCH cruise (E. Cordes, chief scientist) , which was funded by the US Department of the Interior, Bureau of Ocean Energy Management. Access to specimens and data from the NIWA Invertebrate Collection were provided by Di Tracey and Sadie Mills (NIWA) and were collected on the following voyages: TAN0205 and KAH0204-Seamounts: their importance to fisheries and marine ecosystems, undertaken by NIWA and funded by the former New Zealand Foundation for Research, Science and Technology (FRST) with additional funding from the former Ministry of Fisheries; TAN1003-Orange Roughy trawl survey collected by NIWA and funded by Fisheries New Zealand (FNZ) ; TAN1007-collected by NIWA during the Kermadec Arc Minerals (KARMA) voyage, funded by FRST, in collaboration with Auckland University, Institute of Geological and Nuclear Science (GNS Science) , and Woods Hole Oceanographic Institute (WHOI) ; TAN1104-Ocean Survey 20/20 Mapping the Mineral Resources of the Kermadec Arc Project, funded by Land Information New Zealand, GNS Science, NIWA, and WHOI; TAN1213-Nascent Inter-Ridge Volcanic And Neo-tectonic Activity (NIRVANA) voyage, funded by the Ministry for Primary Industries, in collaboration with Auckland University, GNS Science, and the University of New Hampshire; Stations beginning with TRIP were collected under the Scientific Observer Program funded by FNZ, or in Antarctic waters by the Commission for the Conservation of Antarctic Marine Living Resources (CCAMLR) . The manuscript was greatly improved by the constructive and insightful comments of Les Watling and an anonymous reviewer.</t>
  </si>
  <si>
    <t>10.1016/j.ympev.2023.107910</t>
  </si>
  <si>
    <t>T2KY0</t>
  </si>
  <si>
    <t>WOS:001076334000001</t>
  </si>
  <si>
    <t>Moloto, TM; Thomalla, SJ; Smith, ME; Martin, B; Louw, DC; Koppelmann, R</t>
  </si>
  <si>
    <t>Moloto, Tebatso M.; Thomalla, Sandy J.; Smith, Marie E.; Martin, Bettina; Louw, Deon C.; Koppelmann, Rolf</t>
  </si>
  <si>
    <t>Remote sensing of phytoplankton community composition in the northern Benguela upwelling system</t>
  </si>
  <si>
    <t>satellite remote sensing; phytoplankton community structure; algorithm development; northern Benguela; Namibia; MODIS-Aqua</t>
  </si>
  <si>
    <t>CHLOROPHYLL-A; MARINE-PHYTOPLANKTON; SOUTHERN-OCEAN; SIZE-STRUCTURE; FLUORESCENCE; REFLECTANCE; SHELF; SPECTROMETER; VALIDATION; ALGORITHMS</t>
  </si>
  <si>
    <t>Marine phytoplankton in the northern Benguela upwelling system (nBUS) serve as a food and energy source fuelling marine food webs at higher trophic levels and thereby support a lucrative fisheries industry that sustain local economies in Namibia. Microscopic and chemotaxonomic analyses are among the most commonly used techniques for routine phytoplankton community analysis and monitoring. However, traditional in situ sampling methods have a limited spatiotemporal coverage. Satellite observations far surpass traditional discrete ocean sampling methods in their ability to provide data at broad spatial scales over a range of temporal resolution over decadal time periods. Recognition of phytoplankton ecological and functional differences has compelled advancements in satellite observations over the past decades to go beyond chlorophyll-a (Chl-a) as a proxy for phytoplankton biomass to distinguish phytoplankton taxa from space. In this study, a multispectral remote sensing approach is presented for detection of dominant phytoplankton groups frequently observed in the nBUS. Here, we use a large microscopic dataset of phytoplankton community structure and the Moderate Resolution Imaging Spectroradiometer of aqua satellite match-ups to relate spectral characteristics of in water constituents to dominance of specific phytoplankton groups. The normalised fluorescence line height, red-near infrared as well as the green/green spectral band-ratios were assigned to the dominant phytoplankton groups using statistical thresholds. The ocean colour remote sensing algorithm presented here is the first to identify phytoplankton functional types in the nBUS with far-reaching potential for mapping the phenology of phytoplankton groups on unprecedented spatial and temporal scales towards advanced ecosystem understanding and environmental monitoring.</t>
  </si>
  <si>
    <t>[Moloto, Tebatso M.] North West Univ, Unit Environm Sci &amp; Management, Potchefstroom, South Africa; [Moloto, Tebatso M.; Thomalla, Sandy J.] Council Sci &amp; Ind Res CSIR, Southern Ocean Carbon Climate Observ SOCCO, Cape Town, South Africa; [Thomalla, Sandy J.] Univ Cape Town, Marine &amp; Antarctic Res Innovat &amp; Sustainabil, Cape Town, South Africa; [Smith, Marie E.] CSIR, Coastal Syst &amp; Earth Observat Res Grp, Cape Town, South Africa; [Smith, Marie E.] Univ Cape Town, Dept Oceanog, Cape Town, South Africa; [Martin, Bettina; Koppelmann, Rolf] Univ Hamburg, Inst Marine Ecosyst &amp; Fishery Sci, Hamburg, Germany; [Louw, Deon C.] Minist Fisheries &amp; Marine Res, Natl Marine Informat &amp; Res Ctr, Swakopmund, Namibia</t>
  </si>
  <si>
    <t>North West University - South Africa; University of Cape Town; Council for Scientific &amp; Industrial Research (CSIR) - South Africa; University of Cape Town; University of Hamburg</t>
  </si>
  <si>
    <t>Moloto, TM (corresponding author), North West Univ, Unit Environm Sci &amp; Management, Potchefstroom, South Africa.;Moloto, TM (corresponding author), Council Sci &amp; Ind Res CSIR, Southern Ocean Carbon Climate Observ SOCCO, Cape Town, South Africa.</t>
  </si>
  <si>
    <t>Tebatso.Martin@gmail.com</t>
  </si>
  <si>
    <t>; Smith, Marie/T-7430-2018</t>
  </si>
  <si>
    <t>Moloto, Tebatso Martin/0000-0001-6953-2337; Smith, Marie/0000-0001-6781-2343</t>
  </si>
  <si>
    <t>Alliance for Collaboration on Climate and Earth Systems Science (ACCESS) funded PLankton; National Research Foundation (NRF, South Africa) [114691]; Council for Scientific and Industrial Research (CSIR, South Africa) through its Southern Ocean Carbon Climate Observatory (SOCCO) programme - Department of Science and Innovation (DSI, South Africa) [SNA2011112600001]; Federal Ministry of Education and Research in Germany [FKZ 03F0797C]</t>
  </si>
  <si>
    <t>Alliance for Collaboration on Climate and Earth Systems Science (ACCESS) funded PLankton; National Research Foundation (NRF, South Africa)(National Research Foundation - South Africa); Council for Scientific and Industrial Research (CSIR, South Africa) through its Southern Ocean Carbon Climate Observatory (SOCCO) programme - Department of Science and Innovation (DSI, South Africa); Federal Ministry of Education and Research in Germany</t>
  </si>
  <si>
    <t>This research was supported as part of the Alliance for Collaboration on Climate and Earth Systems Science (ACCESS) funded PLankton in a coupled oceAn-aTmOsphere system (PLATO) project by the National Research Foundation (NRF, South Africa, Grant No 114691) and the Council for Scientific and Industrial Research (CSIR, South Africa) through its Southern Ocean Carbon Climate Observatory (SOCCO) programme funded by the Department of Science and Innovation (DSI, South Africa) and the parliamentary grant (SNA2011112600001). BM and RK as well as the use of the RV Meteor were funded by a grant from the Federal Ministry of Education and Research in Germany (FKZ 03F0797C).</t>
  </si>
  <si>
    <t>10.3389/fmars.2023.1118226</t>
  </si>
  <si>
    <t>S0NQ1</t>
  </si>
  <si>
    <t>WOS:001068226900001</t>
  </si>
  <si>
    <t>Venugopal, AU; Bertler, NAN; Severinghaus, JP; Brook, EJ; Cortese, G; Lee, JE; Blunier, T; Mayewski, PA; Kjaer, HA; Carter, L; Weber, ME; Levy, RH; Pyne, RL; Vandergoes, MJ</t>
  </si>
  <si>
    <t>Venugopal, Abhijith U.; Bertler, Nancy A. N.; Severinghaus, Jeffrey P.; Brook, Edward J.; Cortese, Giuseppe; Lee, James E.; Blunier, Thomas; Mayewski, Paul A.; Kjaer, Helle A.; Carter, Lionel; Weber, Michael E.; Levy, Richard H.; Pyne, Rebecca L.; Vandergoes, Marcus J.</t>
  </si>
  <si>
    <t>Antarctic evidence for an abrupt northward shift of the Southern Hemisphere westerlies at 32 ka BP</t>
  </si>
  <si>
    <t>ICE CORE; MINERAL DUST; CLIMATE-CHANGE; DOME-C; ROOSEVELT ISLAND; TALOS DOME; ROSS SEA; VARIABILITY; OCEAN; ACCUMULATION</t>
  </si>
  <si>
    <t>High-resolution ice core records from coastal Antarctica are particularly useful to inform our understanding of environmental changes and their drivers. Here, we present a decadally resolved record of sea-salt sodium (a proxy for open-ocean area) and non-sea salt calcium (a proxy for continental dust) from the well-dated Roosevelt Island Climate Evolution (RICE) core, focusing on the time period between 40-26 ka BP. The RICE dust record exhibits an abrupt shift towards a higher mean dust concentration at 32 ka BP. Investigating existing ice-core records, we find this shift is a prominent feature across Antarctica. We propose that this shift is linked to an equatorward displacement of Southern Hemisphere westerly winds. Subsequent to the wind shift, data suggest a weakening of Southern Ocean upwelling and a decline of atmospheric CO2 to lower glacial values, hence making this shift an important glacial climate event with potentially important insights for future projections. Antarctic ice core records provide insights into past environmental conditions. Here, an abrupt, synchronous increase in dust from ice cores in Antarctica is identified that suggests a sudden equatorward shift of westerly winds and coincides with a reduction in atmospheric CO2.</t>
  </si>
  <si>
    <t>[Venugopal, Abhijith U.; Bertler, Nancy A. N.; Cortese, Giuseppe; Levy, Richard H.; Pyne, Rebecca L.; Vandergoes, Marcus J.] GNS Sci, Lower Hutt 5010, New Zealand; [Venugopal, Abhijith U.; Bertler, Nancy A. N.; Carter, Lionel; Levy, Richard H.] Victoria Univ Wellington, Antarctic Res Ctr, Wellington 6012, New Zealand; [Venugopal, Abhijith U.] Univ Canterbury, Sch Phys &amp; Chem Sci, Christchurch 8041, New Zealand; [Severinghaus, Jeffrey P.] Univ Calif San Diego, Scripps Inst Oceanog, La Jolla, CA 92093 USA; [Brook, Edward J.; Lee, James E.] Oregon State Univ, Coll Earth Ocean &amp; Atmospher Sci, Corvallis, OR 97330 USA; [Blunier, Thomas; Kjaer, Helle A.] Univ Copenhagen, Niels Bohr Inst, Phys Ice Climate &amp; Earth, Juliana Maries Vej 30, DK-2100 Copenhagen, Denmark; [Mayewski, Paul A.] Univ Maine, Climate Change Inst, Orono, ME 04469 USA; [Kjaer, Helle A.] Univ Tasmania, Inst Marine &amp; Antarctic Studies, 20 Castray Esplanade, Battery Point, Tas 7004, Australia; [Weber, Michael E.] Univ Bonn, Dept Geochem &amp; Petrol, Insitute Geosci, D-53115 Bonn, Germany</t>
  </si>
  <si>
    <t>GNS Science - New Zealand; Victoria University Wellington; University of Canterbury; University of California System; University of California San Diego; Scripps Institution of Oceanography; Oregon State University; University of Copenhagen; Niels Bohr Institute; University of Maine System; University of Maine Orono; University of Tasmania; University of Bonn</t>
  </si>
  <si>
    <t>Venugopal, AU (corresponding author), GNS Sci, Lower Hutt 5010, New Zealand.;Venugopal, AU (corresponding author), Victoria Univ Wellington, Antarctic Res Ctr, Wellington 6012, New Zealand.;Venugopal, AU (corresponding author), Univ Canterbury, Sch Phys &amp; Chem Sci, Christchurch 8041, New Zealand.</t>
  </si>
  <si>
    <t>abhijith.ulayottilvenugopal@canterbury.ac.nz</t>
  </si>
  <si>
    <t>Kjær, Helle Astrid/HGC-7941-2022; Blunier, Thomas/M-4609-2014</t>
  </si>
  <si>
    <t>Kjær, Helle Astrid/0000-0002-3781-9509; Lee, James/0000-0002-9137-1530; Bertler, Nancy/0000-0001-6028-4891; Blunier, Thomas/0000-0002-6065-7747</t>
  </si>
  <si>
    <t>national contribution from New Zealand; national contribution from Australia; national contribution from Denmark; national contribution from Germany; national contribution from Italy; national contribution from People's Republic of China; national contribution from Sweden; national contribution from United States of America; Ministry of Business, Innovation and Employment Grants through Victoria University of Wellington [RDF-VUW-1103, 15-VUW-131]; GNS Science [540GCT32, 540GCT12]; New Zealand Ministry of Business, Innovation and Employment through GNS Science Global Change through Time Programme (GCT SSIF) [C05X1702]; TiPES (Tipping Points in the Earth System); European Union [820970]</t>
  </si>
  <si>
    <t>national contribution from New Zealand; national contribution from Australia; national contribution from Denmark; national contribution from Germany; national contribution from Italy; national contribution from People's Republic of China; national contribution from Sweden; national contribution from United States of America; Ministry of Business, Innovation and Employment Grants through Victoria University of Wellington; GNS Science; New Zealand Ministry of Business, Innovation and Employment through GNS Science Global Change through Time Programme (GCT SSIF); TiPES (Tipping Points in the Earth System); European Union(European Union (EU))</t>
  </si>
  <si>
    <t>This work is a contribution towards the Roosevelt Island Climate Evolution (RICE) program, funded by national contributions from New Zealand, Australia, Denmark, Germany, Italy, the People's Republic of China, Sweden, and the United States of America. The main logistic support was provided by Antarctica New Zealand (K049) and the U.S. Antarctic program. RICE program has been funded by the Ministry of Business, Innovation and Employment Grants through Victoria University of Wellington (RDF-VUW-1103, 15-VUW-131) and GNS Science (540GCT32, 540GCT12). A.U.V. would like to thank the RICE drilling team of 2011-2013 for making the samples available for the study. A.U.V was supported by the New Zealand Ministry of Business, Innovation and Employment through GNS Science Global Change through Time Programme (GCT SSIF, contract C05X1702) for completing this work. HAK was supported by the TiPES (Tipping Points in the Earth System) project that received funding from the European Union's Horizon 2020 research and innovation program under grant agreement no. 820970. A.U.V. thanks Hubertus Fischer and Isadora Catherine Figaredo for the discussions.</t>
  </si>
  <si>
    <t>10.1038/s41467-023-40951-1</t>
  </si>
  <si>
    <t>R3YY6</t>
  </si>
  <si>
    <t>WOS:001063751200006</t>
  </si>
  <si>
    <t>Soto, DF; Gómez, I; Huovinen, P</t>
  </si>
  <si>
    <t>Soto, Daniela F.; Gomez, Ivan; Huovinen, Pirjo</t>
  </si>
  <si>
    <t>Antarctic snow algae: unraveling the processes underlying microbial community assembly during blooms formation</t>
  </si>
  <si>
    <t>MICROBIOME</t>
  </si>
  <si>
    <t>DISPERSAL; DIVERSITY; EUTROPHICATION; CHLOROPHYTA; VOLVOCALES; LIMITATION; SEQUENCES; BACTERIA</t>
  </si>
  <si>
    <t>Background and aimsAt the West Antarctic Peninsula, snow algae blooms are composed of complex microbial communities dominated by green microalgae and bacteria. During their progression, the assembly of these microbial communities occurs under harsh environmental conditions and variable nutrient content due to fast snow melting. To date, it is still unclear what are the ecological mechanisms governing the composition and abundance of microorganisms during the formation of snow algae blooms. In this study, we aim to examine the main ecological mechanisms governing the assembly of snow algae blooms from early stages to colorful stages blooms.MethodsThe composition of the microbial communities within snow algae blooms was recorded in the West Antarctic Peninsula (Isabel Riquelme Islet) during a 35-day period using 16S rRNA and 18S rRNA metabarcoding. In addition, the contribution of different ecological processes to the assembly of the microbial community was quantified using phylogenetic bin-based null model analysis.ResultsOur results showed that alpha diversity indices of the eukaryotic communities displayed a higher variation during the formation of the algae bloom compared with the bacterial community. Additionally, in a macronutrients rich environment, the content of nitrate, ammonium, phosphate, and organic carbon did not play a major role in structuring the community. The quantification of ecological processes showed that the bacterial community assembly was governed by selective processes such as homogenous selection. In contrast, stochastic processes such as dispersal limitation and drift, and to a lesser extent, homogenous selection, regulate the eukaryotic community.ConclusionsOverall, our study highlights the differences in the microbial assembly between bacteria and eukaryotes in snow algae blooms and proposes a model to integrate both assembly processes.Apt8o7xhau2k3NVgeBTNueVideo AbstractConclusionsOverall, our study highlights the differences in the microbial assembly between bacteria and eukaryotes in snow algae blooms and proposes a model to integrate both assembly processes.Apt8o7xhau2k3NVgeBTNueVideo Abstract</t>
  </si>
  <si>
    <t>[Soto, Daniela F.; Gomez, Ivan; Huovinen, Pirjo] Univ Austral Chile, Fac Ciencias, Inst Ciencias Marinas &amp; Limnol, Campus Isla Teja, Valdivia, Chile; [Soto, Daniela F.; Gomez, Ivan; Huovinen, Pirjo] Res Ctr Dynam High Latitude Marine Ecosyst IDEAL, Valdivia, Chile</t>
  </si>
  <si>
    <t>Universidad Austral de Chile</t>
  </si>
  <si>
    <t>Soto, DF (corresponding author), Univ Austral Chile, Fac Ciencias, Inst Ciencias Marinas &amp; Limnol, Campus Isla Teja, Valdivia, Chile.;Soto, DF (corresponding author), Res Ctr Dynam High Latitude Marine Ecosyst IDEAL, Valdivia, Chile.</t>
  </si>
  <si>
    <t>daniela.soto@uach.cl</t>
  </si>
  <si>
    <t>Soto-Hernández, Daniela/KHX-6007-2024</t>
  </si>
  <si>
    <t>Gomez, Ivan/0000-0001-8381-3792</t>
  </si>
  <si>
    <t>Fondecyt [1201053]; Fondap IDEAL [15150003]</t>
  </si>
  <si>
    <t>Fondecyt(Comision Nacional de Investigacion Cientifica y Tecnologica (CONICYT)CONICYT FONDECYT); Fondap IDEAL</t>
  </si>
  <si>
    <t>This work was funded by the Fondecyt grants #1201053 and the Fondap IDEAL #15150003.</t>
  </si>
  <si>
    <t>2049-2618</t>
  </si>
  <si>
    <t>Microbiome</t>
  </si>
  <si>
    <t>10.1186/s40168-023-01643-6</t>
  </si>
  <si>
    <t>Q8BC3</t>
  </si>
  <si>
    <t>WOS:001059711100001</t>
  </si>
  <si>
    <t>Ekaykin, AA; Lipenkov, VY; Tebenkova, NA</t>
  </si>
  <si>
    <t>Ekaykin, Alexey A.; Lipenkov, Vladimir Ya.; Tebenkova, Natalia A.</t>
  </si>
  <si>
    <t>Fifty years of instrumental surface mass balance observations at Vostok Station, central Antarctica</t>
  </si>
  <si>
    <t>Antarctica; instrumental observations; snow density; surface mass balance; Vostok station</t>
  </si>
  <si>
    <t>SNOW ACCUMULATION; SOUTH-POLE; SPATIAL VARIABILITY; CLIMATE; DOME; LAND</t>
  </si>
  <si>
    <t>We present the surface mass balance (SMB) dataset from Vostok Station's accumulation stake farms which provide the longest instrumental record of its kind obtained with a uniform technique in central Antarctica over the last 53 years. The snow build-up values at individual stakes demonstrate a strong random scatter related to the interaction of wind-driven snow with snow micro-relief. Because of this depositional noise, the signal-to-noise ratio (SNR) in individual SMB time series derived at single points (from stakes, snow pits or firn cores) is as low as 0.045. Averaging the data over the whole stake farm increases the SNR to 2.3 and thus allows us to investigate reliably the climatic variability of the SMB. Since 1970, the average snow accumulation rate at Vostok has been 22.5 +/- 1.3 kg m-2 yr-1. Our data suggest an overall increase of the SMB during the observation period accompanied by a significant decadal variability. The main driver of this variability is local air temperature with an SMB temperature sensitivity of 2.4 +/- 0.2 kg m-2 yr-1 K-1 (11 +/- 2% K-1). A covariation between the Vostok SMB and the Southern Oscillation Index is also observed.</t>
  </si>
  <si>
    <t>[Ekaykin, Alexey A.; Lipenkov, Vladimir Ya.; Tebenkova, Natalia A.] Arctic &amp; Antarctic Res Inst, Climate &amp; Environm Res Lab, St Petersburg, Russia; [Ekaykin, Alexey A.; Tebenkova, Natalia A.] St Petersburg State Univ, Inst Earth Sci, St Petersburg, Russia</t>
  </si>
  <si>
    <t>Ekaykin, AA (corresponding author), Arctic &amp; Antarctic Res Inst, Climate &amp; Environm Res Lab, St Petersburg, Russia.;Ekaykin, AA (corresponding author), St Petersburg State Univ, Inst Earth Sci, St Petersburg, Russia.</t>
  </si>
  <si>
    <t>Ekaykin, Alexey/K-9894-2015</t>
  </si>
  <si>
    <t>Ekaykin, Alexey/0000-0001-9819-2802</t>
  </si>
  <si>
    <t>Russian Science Foundation [21-17-00246]</t>
  </si>
  <si>
    <t>We are grateful to all the participants of Russian Antarctic Expedition who took part in glaciological works at the Vostok stake farms. The manuscript was substantially improved by constructive comments by Editor Dr Carleen Reijmer and 3 anonymous reviewers. We thank Matthew Lazzara, Takao Kameda and Jean Robert Petit for valuable discussions, and Alice Lagnado for improving the English. We are grateful to Dr Sergey Popov (Polar Marine Geological Research Expedition) who helped us to draw Fig. 1. This work was supported by Russian Science Foundation grant 21-17-00246.</t>
  </si>
  <si>
    <t>2023 SEP 4</t>
  </si>
  <si>
    <t>10.1017/jog.2023.53</t>
  </si>
  <si>
    <t>W6JW3</t>
  </si>
  <si>
    <t>WOS:001092679400001</t>
  </si>
  <si>
    <t>Gong, XD; Zhang, JS; Croft, B; Yang, X; Frey, MM; Bergner, N; Chang, RYW; Creamean, JM; Kuang, CA; Martin, RV; Ranjithkumar, A; Sedlacek, AJ; Uin, J; Willmes, S; Zawadowicz, MA; Pierce, JR; Shupe, MD; Schmale, J; Wang, J</t>
  </si>
  <si>
    <t>Gong, Xianda; Zhang, Jiaoshi; Croft, Betty; Yang, Xin; Frey, Markus M.; Bergner, Nora; Chang, Rachel Y. -W.; Creamean, Jessie M.; Kuang, Chongai; Martin, Randall V.; Ranjithkumar, Ananth; Sedlacek, Arthur J.; Uin, Janek; Willmes, Sascha; Zawadowicz, Maria A.; Pierce, Jeffrey R.; Shupe, Matthew D.; Schmale, Julia; Wang, Jian</t>
  </si>
  <si>
    <t>Arctic warming by abundant fine sea salt aerosols from blowing snow</t>
  </si>
  <si>
    <t>CLOUD CONDENSATION NUCLEI; SIZE DISTRIBUTION; ZEPPELIN STATION; MIXED-PHASE; IN-SITU; ICE; SURFACE; MICROPHYSICS; CONSTRAINTS; TRANSPORT</t>
  </si>
  <si>
    <t>The Arctic warms nearly four times faster than the global average, and aerosols play an increasingly important role in Arctic climate change. In the Arctic, sea salt is a major aerosol component in terms of mass concentration during winter and spring. However, the mechanisms of sea salt aerosol production remain unclear. Sea salt aerosols are typically thought to be relatively large in size but low in number concentration, implying that their influence on cloud condensation nuclei population and cloud properties is generally minor. Here we present observational evidence of abundant sea salt aerosol production from blowing snow in the central Arctic. Blowing snow was observed more than 20% of the time from November to April. The sublimation of blowing snow generates high concentrations of fine-mode sea salt aerosol (diameter below 300 nm), enhancing cloud condensation nuclei concentrations up to tenfold above background levels. Using a global chemical transport model, we estimate that from November to April north of 70 degrees N, sea salt aerosol produced from blowing snow accounts for about 27.6% of the total particle number, and the sea salt aerosol increases the longwave emissivity of clouds, leading to a calculated surface warming of +2.30 W m(-2) under cloudy sky conditions.</t>
  </si>
  <si>
    <t>[Gong, Xianda; Zhang, Jiaoshi; Croft, Betty; Martin, Randall V.; Wang, Jian] Washington Univ, Dept Energy Environm &amp; Chem Engn, Ctr Aerosol Sci &amp; Engn, St Louis, MO 63110 USA; [Croft, Betty; Chang, Rachel Y. -W.; Martin, Randall V.] Dalhousie Univ, Dept Phys &amp; Atmospher Sci, Halifax, NS, Canada; [Yang, Xin; Frey, Markus M.; Ranjithkumar, Ananth] British Antarctic Survey, Nat Environm Res Council, Cambridge, England; [Bergner, Nora; Schmale, Julia] EPFL, Extreme Environm Res Lab, Sion, Switzerland; [Creamean, Jessie M.; Pierce, Jeffrey R.] Colorado State Univ, Dept Atmospher Sci, Ft Collins, CO 80523 USA; [Kuang, Chongai; Sedlacek, Arthur J.; Uin, Janek; Zawadowicz, Maria A.] Brookhaven Natl Lab, Environm &amp; Climate Sci Dept, Upton, NY 11973 USA; [Willmes, Sascha] Univ Trier, Dept Environm Meteorol, Trier, Germany; [Shupe, Matthew D.] Univ Colorado, Cooperat Inst Res Environm Sci, Boulder, CO 80309 USA; [Shupe, Matthew D.] NOAA, Phys Sci Lab, Boulder, CO USA</t>
  </si>
  <si>
    <t>Washington University (WUSTL); Dalhousie University; UK Research &amp; Innovation (UKRI); Natural Environment Research Council (NERC); NERC British Antarctic Survey; Colorado State University; United States Department of Energy (DOE); Brookhaven National Laboratory; Universitat Trier; University of Colorado System; University of Colorado Boulder; National Oceanic Atmospheric Admin (NOAA) - USA</t>
  </si>
  <si>
    <t>Wang, J (corresponding author), Washington Univ, Dept Energy Environm &amp; Chem Engn, Ctr Aerosol Sci &amp; Engn, St Louis, MO 63110 USA.</t>
  </si>
  <si>
    <t>Pierce, Jeffrey R/E-4681-2013; Frey, Markus/G-1756-2012; Shupe, Matthew/F-8754-2011; Martin, Randall/C-1205-2014; Kuang, Chongai/JJF-8958-2023; Gong, Xianda/O-1650-2014</t>
  </si>
  <si>
    <t>Frey, Markus/0000-0003-0535-0416; Martin, Randall/0000-0003-2632-8402; Kuang, Chongai/0000-0003-2769-771X; Gong, Xianda/0000-0001-7274-0639; , Jiaoshi/0000-0001-8428-3527</t>
  </si>
  <si>
    <t>DOE Atmospheric System Research Program [DE-SC0020259, DE-SC0021017, DE-SC00021341, DE-SC0021208]; National Aeronautics and Space Administration (NASA) Radiation Sciences Program [80NSSC19K0618]; National Science Foundation (NSF) [OPP-1734551]; National Oceanic and Atmospheric Administration (NOAA) Global Ocean Modeling and Observing Program [NA22OAR4320151]; UK Natural Environment Research Council (NERC) [NE/S00257X/1]; NERC National Capability International grant SURface FluxEs In AnTarctica (SURFEIT) [NE/X009319/1]; European Union [101003826]; Swiss National Science Foundation [188478]; Swiss Polar Institute, the European Union [101003826]; US DOE [DE-SC0022046]; Ferring Pharmaceuticals; Ocean Frontier Institute; Canada First Research Excellence Fund [2244984]; German Research Foundation (DFG) [WI 3314/3]; German Federal Ministry of Education and Research (BMBF) [03F0831C]; NERC [NE/S00257X/1, NE/X009319/1] Funding Source: UKRI; U.S. Department of Energy (DOE) [DE-SC0021208, DE-SC0022046, DE-SC0021017] Funding Source: U.S. Department of Energy (DOE)</t>
  </si>
  <si>
    <t>DOE Atmospheric System Research Program; National Aeronautics and Space Administration (NASA) Radiation Sciences Program(National Aeronautics &amp; Space Administration (NASA)); National Science Foundation (NSF)(National Science Foundation (NSF)); National Oceanic and Atmospheric Administration (NOAA) Global Ocean Modeling and Observing Program(National Oceanic Atmospheric Admin (NOAA) - USA); UK Natural Environment Research Council (NERC)(UK Research &amp; Innovation (UKRI)Natural Environment Research Council (NERC)); NERC National Capability International grant SURface FluxEs In AnTarctica (SURFEIT); European Union(European Union (EU)); Swiss National Science Foundation(Swiss National Science Foundation (SNSF)); Swiss Polar Institute, the European Union; US DOE(United States Department of Energy (DOE)); Ferring Pharmaceuticals(Ferring Pharmaceuticals); Ocean Frontier Institute; Canada First Research Excellence Fund; German Research Foundation (DFG)(German Research Foundation (DFG)); German Federal Ministry of Education and Research (BMBF)(Federal Ministry of Education &amp; Research (BMBF)); NERC(UK Research &amp; Innovation (UKRI)Natural Environment Research Council (NERC)); U.S. Department of Energy (DOE)(United States Department of Energy (DOE))</t>
  </si>
  <si>
    <t>Data used in this paper were obtained from the Atmospheric Radiation Measurement (ARM) User Facility, a US Department of Energy (DOE) Office of Science User Facility Managed by the Biological and Environmental Research Program. Data were also produced as part of the international Multidisciplinary drifting Observatory for the Study of Arctic Climate (MOSAiC) with the tag MOSAiC20192020. We acknowledge all staff involved in the operation of the Research Vessel Polarstern during MOSAiC (AWI_PS122_00). J.W., X.G. and J.Z. were supported by DOE Atmospheric System Research Program (grant number DE-SC0020259, DE-SC0021017) and National Aeronautics and Space Administration (NASA) Radiation Sciences Program (grant number 80NSSC19K0618). M.D.S. was supported by the National Science Foundation (NSF, grant number OPP-1734551), DOE Atmospheric System Research Program (grant number DE-SC00021341) and National Oceanic and Atmospheric Administration (NOAA) Global Ocean Modeling and Observing Program (FundRef https://doi.org/10.13039/100018302 and NA22OAR4320151). M.M.F., X.Y. and A.R. were supported by the UK Natural Environment Research Council (NERC, NE/S00257X/1), the NERC National Capability International grant SURface FluxEs In AnTarctica (SURFEIT) (NE/X009319/1) and the European Union's Horizon 2020 research and innovation programme under grant agreement number 101003826 via project CRiceS (Climate Relevant interactions and feedbacks: the key role of sea ice and Snow in the polar and global climate system). J.S. and N.B. acknowledge funding from the Swiss National Science Foundation (grant number 188478), the Swiss Polar Institute, the European Union's Horizon 2020 research and innovation programme under grant agreement number 101003826 via project CRiceS and the US DOE (grant number DE-SC0022046). J.S. holds the Ingvar Kamprad Chair for Extreme Environments Research sponsored by Ferring Pharmaceuticals. B.C., R.V.M. and R.Y.-W.C. acknowledge research funding provided by the Ocean Frontier Institute, through an award from the Canada First Research Excellence Fund. R.V.M. also acknowledges support from the NSF Atmospheric Chemistry Program (grant number 2244984). J.R.P. was supported by DOE Atmospheric System Research Program (grant number DE-SC0021208). S.W. was funded by the German Research Foundation (DFG) under grant WI 3314/3 and by the German Federal Ministry of Education and Research (BMBF) under grant 03F0831C.</t>
  </si>
  <si>
    <t>SEP</t>
  </si>
  <si>
    <t>10.1038/s41561-023-01254-8</t>
  </si>
  <si>
    <t>KI7M6</t>
  </si>
  <si>
    <t>WOS:001059010600003</t>
  </si>
  <si>
    <t>Zamborain-Mason, J; Cinner, JE; Macneil, MA; Graham, NAJ; Hoey, AS; Beger, M; Brooks, AJ; Booth, DJ; Edgar, GJ; Feary, DA; Ferse, SCA; Friedlander, AM; Gough, CLA; Green, AL; Mouillot, D; Polunin, NVC; Stuart-Smith, RD; Wantiez, L; Williams, ID; Wilson, SK; Connolly, SR</t>
  </si>
  <si>
    <t>Zamborain-Mason, Jessica; Cinner, Joshua E.; Macneil, M. Aaron; Graham, Nicholas A. J.; Hoey, Andrew S.; Beger, Maria; Brooks, Andrew J.; Booth, David J.; Edgar, Graham J.; Feary, David A.; Ferse, Sebastian C. A.; Friedlander, Alan M.; Gough, Charlotte L. A.; Green, Alison L.; Mouillot, David; Polunin, Nicholas V. C.; Stuart-Smith, Rick D.; Wantiez, Laurent; Williams, Ivor D.; Wilson, Shaun K.; Connolly, Sean R.</t>
  </si>
  <si>
    <t>Sustainable reference points for multispecies coral reef fisheries</t>
  </si>
  <si>
    <t>RECOVERY; MODELS; BIODIVERSITY; SPILLOVER; PATTERNS; IMPACTS; RATES</t>
  </si>
  <si>
    <t>Sustainably managing fisheries requires regular and reliable evaluation of stock status. However, most multispecies reef fisheries around the globe tend to lack research and monitoring capacity, preventing the estimation of sustainable reference points against which stocks can be assessed. Here, combining fish biomass data for &gt;2000 coral reefs, we estimate site-specific sustainable reference points for coral reef fisheries and use these and available catch estimates to assess the status of global coral reef fish stocks. We reveal that &gt;50% of sites and jurisdictions with available information have stocks of conservation concern, having failed at least one fisheries sustainability benchmark. We quantify the trade-offs between biodiversity, fish length, and ecosystem functions relative to key benchmarks and highlight the ecological benefits of increasing sustainability. Our approach yields multispecies sustainable reference points for coral reef fisheries using environmental conditions, a promising means for enhancing the sustainability of the world's coral reef fisheries.</t>
  </si>
  <si>
    <t>[Zamborain-Mason, Jessica] Harvard TH Chan Sch Publ Hlth, Boston, MA 02115 USA; [Zamborain-Mason, Jessica; Hoey, Andrew S.; Connolly, Sean R.] James Cook Univ, Coll Sci &amp; Engn, Townsville, Qld, Australia; [Zamborain-Mason, Jessica; Cinner, Joshua E.; Hoey, Andrew S.; Mouillot, David] James Cook Univ, ARC Ctr Excellence Coral Reef Studies, Townsville, Qld, Australia; [Macneil, M. Aaron] Dalhousie Univ, Ocean Frontier Inst, Dept Biol, Halifax, NS B3H 3J5, Canada; [Graham, Nicholas A. J.] Univ Lancaster, Lancaster Environm Ctr, Lancaster LA1 4YQ, England; [Beger, Maria] Univ Leeds, Fac Biol Sci, Sch Biol, Leeds LS2 9JT, W Yorkshire, England; [Beger, Maria] Univ Queensland, Ctr Biodivers &amp; Conservat Sci, Sch Biol Sci, Brisbane, Qld 4072, Australia; [Brooks, Andrew J.] Univ Calif Santa Barbara, Marine Sci Inst, Coastal Res Ctr, Santa Barbara, CA 93106 USA; [Booth, David J.] Univ Technol Sydney, Sch Life Sci, Ultimo 2007, Australia; [Edgar, Graham J.; Stuart-Smith, Rick D.] Univ Tasmania, Inst Marine &amp; Antarctic Studies, Hobart, Tas 7001, Australia; [Feary, David A.] MRAG Ltd, 18 Queen St, London W1J 5PN, England; [Ferse, Sebastian C. A.] Leibniz Ctr Trop Marine Res ZMT, D-28359 Bremen, Germany; [Ferse, Sebastian C. A.] Univ Bremen, Fac Biol &amp; Chem FB2, D-28359 Bremen, Germany; [Friedlander, Alan M.] Natl Geog Soc, Pristine Seas Program, 1145 17th St NW, Washington, DC 20036 USA; [Friedlander, Alan M.] Hawaii Inst Marine Biol, Kaneohe, HI 96744 USA; [Gough, Charlotte L. A.] Old Lib, Blue Ventures Conservat, Trinity Rd, Bristol BS2 0NW, England; [Green, Alison L.] King Abdullah Univ Sci &amp; Technol, Thuwal, Saudi Arabia; [Mouillot, David] Univ Montpellier, MARBEC, CNRS, Ifremer,IRD, Montpellier, France; [Polunin, Nicholas V. C.] Newcastle Univ, Sch Nat &amp; Environm Sci, Newcastle Upon Tyne NE17RU, England; [Wantiez, Laurent] Univ New Caledonia, ISEA, BPR4, Noumea 98851, New Caledonia; [Williams, Ivor D.] NOAA, Pacific Isl Fisheries Sci Ctr, Coral Reef Ecosyst Div, Honolulu, HI 96818 USA; [Wilson, Shaun K.] Univ Western Australia, Oceans Inst, Crawley, WA 6009, Australia; [Wilson, Shaun K.] Dept Biodivers Conservat &amp; Attract, Perth, WA 6151, Australia; [Connolly, Sean R.] Smithsonian Trop Res Inst, Panama City, Panama</t>
  </si>
  <si>
    <t>Harvard University; Harvard T.H. Chan School of Public Health; James Cook University; James Cook University; Dalhousie University; Lancaster University; University of Leeds; University of Queensland; University of California System; University of California Santa Barbara; University of Technology Sydney; University of Tasmania; Leibniz Zentrum fur Marine Tropenforschung (ZMT); University of Bremen; National Geographic Society; King Abdullah University of Science &amp; Technology; Centre National de la Recherche Scientifique (CNRS); Universite de Montpellier; Institut de Recherche pour le Developpement (IRD); Ifremer; Newcastle University - UK; Universite Nouvelle Caledonie; National Oceanic Atmospheric Admin (NOAA) - USA; University of Western Australia; Smithsonian Institution; Smithsonian Tropical Research Institute</t>
  </si>
  <si>
    <t>Zamborain-Mason, J (corresponding author), Harvard TH Chan Sch Publ Hlth, Boston, MA 02115 USA.;Zamborain-Mason, J (corresponding author), James Cook Univ, Coll Sci &amp; Engn, Townsville, Qld, Australia.;Zamborain-Mason, J (corresponding author), James Cook Univ, ARC Ctr Excellence Coral Reef Studies, Townsville, Qld, Australia.</t>
  </si>
  <si>
    <t>jzm@hsph.harvard.edu</t>
  </si>
  <si>
    <t>Graham, Nicholas/C-8360-2014; Hoey, Andrew S/B-5457-2015; Brooks, Andrew/A-9969-2011; Cinner, Joshua Eli/E-8966-2011; Connolly, Sean R./E-7773-2011; Feary, David/ABE-6273-2020; Wilson, Shaun/K-8597-2019; Ferse, Sebastian/AAH-8048-2021; Beger, Maria/ABC-5975-2022; MacNeil, M. Aaron/E-8196-2017; Stuart-Smith, Rick/M-1829-2013; Edgar, Graham/C-8341-2013</t>
  </si>
  <si>
    <t>Graham, Nicholas/0000-0002-0304-7467; Brooks, Andrew/0000-0002-2691-1668; Cinner, Joshua Eli/0000-0003-2675-9317; Connolly, Sean R./0000-0003-1537-0859; Wilson, Shaun/0000-0002-4590-0948; Ferse, Sebastian/0000-0003-0930-5356; Beger, Maria/0000-0003-1363-3571; MacNeil, M. Aaron/0000-0001-8406-325X; Stuart-Smith, Rick/0000-0002-8874-0083; Edgar, Graham/0000-0003-0833-9001; Booth, David/0000-0002-8256-1412; Hoey, Andrew/0000-0002-4261-5594</t>
  </si>
  <si>
    <t>The authors would like to thank Andreas Dietzel for providing constructive comments on reef area estimates, Eva Maire for providing travel time estimations, Gordon Tsui for providing catch data cell ID's, Michel Kulbicki and Tim McClanahan for providing da; SRC; Australian Research Council; NSERC Canada Research Chair</t>
  </si>
  <si>
    <t>The authors would like to thank Andreas Dietzel for providing constructive comments on reef area estimates, Eva Maire for providing travel time estimations, Gordon Tsui for providing catch data cell ID's, Michel Kulbicki and Tim McClanahan for providing da; SRC; Australian Research Council(Australian Research Council); NSERC Canada Research Chair(Canada Research Chairs)</t>
  </si>
  <si>
    <t>The authors would like to thank Andreas Dietzel for providing constructive comments on reef area estimates, Eva Maire for providing travel time estimations, Gordon Tsui for providing catch data cell ID's, Michel Kulbicki and Tim McClanahan for providing data and constructive comments on the manuscript, and Pascale Chabanet, Eran Brokovich, Marah Hardt, Juan Cruz, Laurent Vigliola, Mark Tupper, and Stuart Sandin for providing data. We also thank all the data collectors. JZM, SRC, AH and JEC thank the Australian Research Council for funding support. MAM was supported by an NSERC Canada Research Chair.</t>
  </si>
  <si>
    <t>SEP 4</t>
  </si>
  <si>
    <t>10.1038/s41467-023-41040-z</t>
  </si>
  <si>
    <t>S6QE7</t>
  </si>
  <si>
    <t>Green Accepted, Green Submitted, Green Published, gold</t>
  </si>
  <si>
    <t>WOS:001072382600022</t>
  </si>
  <si>
    <t>Fitzsimons, S; Sharp, M; Lorrain, R</t>
  </si>
  <si>
    <t>Fitzsimons, Sean; Sharp, Martin; Lorrain, Reginald</t>
  </si>
  <si>
    <t>Subglacial deformation of permafrost beneath Wright Lower Glacier, Antarctica as revealed by direct observations and measurements from a subglacial tunnel</t>
  </si>
  <si>
    <t>Subglacial deformation; Permafrost deformation; Subglacial sediment deformation; Basal ice; Ice texture; Ice composition</t>
  </si>
  <si>
    <t>SOUTH VICTORIA LAND; MCMURDO DRY VALLEYS; ICE-COVERED LAKES; BASAL ICE; TAYLOR VALLEY; COLD GLACIER; ISOTOPIC COMPOSITION; NEEDLE ICE; STREAM-B; SEDIMENT</t>
  </si>
  <si>
    <t>Subglacial processes influence the large-scale behaviour of glaciers and determine the geological processes that occur at the ice-substrate interface. In this paper we focus on subglacial deformation beneath a cold-based glacier resting on permafrost. We ask what are the drivers of subglacial permafrost deformation, how is strain distrib-uted beneath glaciers with a permafrost substrate, how is strain transmitted from the glacier into the substrate, and how is deformed permafrost incorporated into the basal zone of the glacier? To address these questions a tunnel excavated in the margin of Wright Lower Glacier in the McMurdo Dry Valleys, Antarctica to observe the structure of the basal zone and bed of the glacier and to monitor basal ice deformation over a period of 4 years. The tunnel revealed a stacked sequence of stratified debris-bearing and clean ice layers, and thick rafts of frozen sediment. Isotopic and gas analyses reveal that despite the low local temperature of the basal ice (-18.5 degrees C), liquid water has played an important role in the formation of this basal sequence. The rafts of frozen sediment contain well preserved sedimentary structures and algae layers that show the material has been entrained from the underlying permafrost. Deformation measurements made with a combination of displacement transducers, strain arrays, and plumb-lines show that strain and motion within the basal zone are heterogeneous and that strain is transmitted through the permafrozen sediment and into intra-sediment ice layers. The distribution of strain in the basal zone produces a compound velocity profile resembling the deformation patterns inferred from deformation structures in Pleistocene permafrost and also resembles profiles associated with subglacial sediment deformation driven by hydrogeological processes. We conclude that ice-rich permafrost is readily deformed by glaciers and that there is no clear boundary between basal ice and deforming permafrost.</t>
  </si>
  <si>
    <t>[Fitzsimons, Sean] Univ Otago, Sch Geog, POB 56, Dunedin, New Zealand; [Sharp, Martin] Univ Alberta, Dept Earth &amp; Atmospher Sci, Edmonton, AB T6G 2E3, Canada; [Lorrain, Reginald] Univ Libre Bruxelles, Lab Glaciol, Brussels, Belgium</t>
  </si>
  <si>
    <t>University of Otago; University of Alberta; Universite Libre de Bruxelles</t>
  </si>
  <si>
    <t>Fitzsimons, S (corresponding author), Univ Otago, Sch Geog, POB 56, Dunedin, New Zealand.</t>
  </si>
  <si>
    <t>sean.fitzsimons@otago.ac.nz</t>
  </si>
  <si>
    <t>Marsden Fund; University of Otago; Natural Sciences and Engineering Research Council of Canada (NSERC)</t>
  </si>
  <si>
    <t>Marsden Fund(Royal Society of New ZealandMarsden Fund (NZ)); University of Otago; Natural Sciences and Engineering Research Council of Canada (NSERC)(Natural Sciences and Engineering Research Council of Canada (NSERC))</t>
  </si>
  <si>
    <t>We thank the Marsden Fund and the University of Otago for financial support. Antarctica New Zealand provided excellent logistical support. Martin Sharp acknowledges financial support from the Natural Sciences and Engineering Research Council of Canada (NSERC) . Regi Lorrain is indebted to the Belgian Antarctic programme (Science Policy Office) for financial support. We thank Paul Sirota, Katrin Rohl and Brendan Edge for assistance in excavating the tunnel. Suzanne Sleewaegen provided vital assistance with field work, data analysis and interpretation, Fabienne Debecker contributed to the sample cuttings and texture measurements. Michel Stevenard performed the isotopic analyses and Chris Garden drafted the diagrams. We thank Professor Joe Levy and an anonymous reviewer for helping us improve the clarity of the manuscript.</t>
  </si>
  <si>
    <t>10.1016/j.geomorph.2023.108886</t>
  </si>
  <si>
    <t>T5OP6</t>
  </si>
  <si>
    <t>WOS:001078483600001</t>
  </si>
  <si>
    <t>Veenhof, RJ; Champion, C; Dworjanyn, SA; Schwoerbel, J; Visch, W; Coleman, MA</t>
  </si>
  <si>
    <t>Veenhof, R. J.; Champion, C.; Dworjanyn, S. A.; Schwoerbel, J.; Visch, W.; Coleman, M. A.</t>
  </si>
  <si>
    <t>Projecting kelp (Ecklonia radiata) gametophyte thermal adaptation and persistence under climate change</t>
  </si>
  <si>
    <t>Climate change; Ecklonia radiata; gametophytes; generalized additive modelling; genetic clusters; kelp forests; thermal adaptation; ocean warming; spatial projections; range edge; thermal resilience</t>
  </si>
  <si>
    <t>LAMINARIA-OCHROLEUCA; MACROCYSTIS-PYRIFERA; SACCHARINA-LATISSIMA; MICROSCOPIC STAGES; RANGE SHIFTS; TEMPERATURE; PHAEOPHYCEAE; BIODIVERSITY; REPRODUCTION; IMPACTS</t>
  </si>
  <si>
    <t>center dot Background and aims Kelp forests underpin temperate marine ecosystems but are declining due to ocean warming, causing loss of associated ecosystem services. Projections suggest significant future decline but often only consider the persistence of adult sporophytes. Kelps have a biphasic life cycle, and the haploid gametophyte can be more thermally tolerant than the sporophyte. Therefore, projections may be altered when considering the thermal tolerance of gametophytes. center dot Methods We undertook thermal tolerance experiments to quantify the effect of temperature on gametophyte survival, relative growth rate (RGR) and sex ratio for three genetically distinct populations of Ecklonia radiata gametophytes from comparatively high, mid-and low latitudes (43 degrees, 33 degrees and 30 degrees S). We then used these data to project the likely consequences of climate-induced thermal change on gametophyte persistence and performance across its eastern Australian range, using generalized additive and linear models. center dot Key results All populations were adapted to local temperatures and their thermal maximum was 2-3 degrees C above current maximum in situ temperatures. The lowest latitude population was most thermally tolerant (similar to 70 % survival up to 27 degrees C), while survival and RGR decreased beyond 25.5 and 20.5 degrees C for the mid-and low-latitude popu-lations, respectively. Sex ratios were skewed towards females with increased temperature in the low-and high -latitude populations. Spatially explicit model projections under future ocean warming (2050-centred) revealed a minimal decline in survival (0-30 %) across populations, relative to present-day predictions. RGRs were also projected to decline minimally (0-2 % d(-1)). center dot Conclusions Our results contrast with projections for the sporophyte stage of E. radiata, which suggest a 257-km range contraction concurrent with loss of the low-latitude population by 2100. Thermal adaptation in E. radiata gametophytes suggests this life stage is likely resilient to future ocean warming and is unlikely to be a bottleneck for the future persistence of kelp.</t>
  </si>
  <si>
    <t>[Veenhof, R. J.; Champion, C.; Dworjanyn, S. A.; Coleman, M. A.] Southern Cross Univ, Fac Sci &amp; Engn, Natl Marine Sci Ctr, Coffs Harbour, NSW, Australia; [Champion, C.; Coleman, M. A.] Natl Marine Sci Ctr, NSW Dept Primary Ind, Fisheries Res, Coffs Harbour, NSW, Australia; [Schwoerbel, J.; Visch, W.] Univ Tasmania, Inst Marine &amp; Antarctic Studies, Hobart, Tas, Australia</t>
  </si>
  <si>
    <t>Southern Cross University; NSW Department of Primary Industries; Southern Cross University; University of Tasmania</t>
  </si>
  <si>
    <t>Veenhof, RJ (corresponding author), Southern Cross Univ, Fac Sci &amp; Engn, Natl Marine Sci Ctr, Coffs Harbour, NSW, Australia.</t>
  </si>
  <si>
    <t>reina.veenhof@scu.edu.au</t>
  </si>
  <si>
    <t>Champion, Curtis/0000-0002-8666-5112; Schwoerbel, Jakop/0000-0002-9354-7608; Visch, Wouter/0000-0003-4291-6239</t>
  </si>
  <si>
    <t>We thank C. Hurd for providing lab facilities for culturing. We thank J. D. George for assistance in collecting fertile sporophyte material.</t>
  </si>
  <si>
    <t>10.1093/aob/mcad132</t>
  </si>
  <si>
    <t>WOS:001071421000001</t>
  </si>
  <si>
    <t>Fernandes, M; Oliva, M; Fernández-Fernández, JM; Vieira, G; Palacios, D; Garcia-Oteyza, J; Ventura, J; Schimmelpfennig, I</t>
  </si>
  <si>
    <t>Fernandes, Marcelo; Oliva, Marc; Fernandez-Fernandez, Jose Maria; Vieira, Goncalo; Palacios, David; Garcia-Oteyza, Julia; Ventura, Josep; Schimmelpfennig, Irene</t>
  </si>
  <si>
    <t>Aster Team</t>
  </si>
  <si>
    <t>Geomorphological record of the glacial to periglacial transition from the Bolling-Allerod to the Holocene in the Central Pyrenees: the Lo(sic)campo cirque in the regional context</t>
  </si>
  <si>
    <t>BOREAS</t>
  </si>
  <si>
    <t>DEBRIS-COVERED GLACIERS; LATE PLEISTOCENE GLACIERS; EXPOSURE AGE CHRONOLOGY; ROCK GLACIER; LAST DEGLACIATION; SIERRA-NEVADA; COSMOGENIC NUCLIDES; ICE-SHEET; 60-8 KA; EVOLUTION</t>
  </si>
  <si>
    <t>In the highest tributaries of the Upper Garonne Basin, Central Pyrenees, cirques up to 2600 m a.s.l. were already deglaciated by 15-14 ka. The long-term deglaciation duringTermination-1 (T-1) was interrupted byglacial advances within the cirques during theBolling-Allerod(B-A) interstadial andtheYoungerDryas stadial. Thecirques preservea variety of glacial and periglacial landforms whose chronologies are poorly known. This study is focused on the Lo(sic)campo cirque (42 degrees 38' 06N and 0 degrees 59'10 E), Upper Garonne Basin, where a detailed geomorphological map and (10)Beterrestrialcosmicray exposure(CRE) dating allowedus to constrain the chrono-sequencebetweenthe glacialand periglacial domains. In the smallL Lo(sic)campo cirque, a glacier formed a cirque moraine between 2200 and 2300 m a.s.l., which surrounds a relict rock glacier encompassing several transversal ridges. Additionally, longitudinal ridges typicallyobserved in debris-coveredglaciers are preservedbetween the moraineandthe rock glacier. Theeight-sample data set ofCREages indicates the formation of the cirque moraine during the second half of the B-A, by 13.2 +/- 1.1 ka. Exposure ages fromthe rock glacier boulders showa rangebetween 13.6 +/- 0.9 and 11.9 +/- 0.7 ka, which did not allowits formation to be chronologically constrained. Therefore, the environmental evolution following the moraine stabilization could follow the formation of a debris-covered glacier at the bottom of the Lo(sic)campo cirque, with the subsequent formation of the rock glacier. After the rock glacier formation, its front rapidly ceased at 13.6 +/- 0.9 ka, while the upper ridges gradually stabilizeduntil itbecamedefinitively relict at 11.9 +/- 0.7 kaor afterwards. These results showevidence of the complex glacial to periglacial transition that needs more robust chronological data sets to better understand the role of climate forcing and local topography during the deglaciation in mid-latitude mountain environments.</t>
  </si>
  <si>
    <t>[Fernandes, Marcelo; Vieira, Goncalo] Univ Lisbon, Inst Geog &amp; Spatial Planning, Ctr Geog Studies, Rua Branca Edmee Marques, P-1600216 Lisbon, Portugal; [Oliva, Marc; Garcia-Oteyza, Julia; Ventura, Josep] Univ Barcelona, Dept Geog, Montalegre 6, Barcelona 08001, Catalonia, Spain; [Fernandez-Fernandez, Jose Maria; Palacios, David] Univ Complutense Madrid, Dept Geog, Fac Geog Hist, Calle Prof Aranguren S-N ,Ciudad Univ, Madrid 28040, Spain; [Vieira, Goncalo] Inst Super Agron Tapada Ajuda, Associated Lab Terra, P-1349017 Lisbon, Portugal; [Schimmelpfennig, Irene; Aster Team] Aix Marseille Univ, Coll France, CNRS, IRD,INRAE,UM 34 CEREGE, Aix en Provence, France</t>
  </si>
  <si>
    <t>Universidade de Lisboa; University of Barcelona; Complutense University of Madrid; Universidade de Lisboa; Aix-Marseille Universite; INRAE; Universite PSL; College de France; Institut de Recherche pour le Developpement (IRD); Centre National de la Recherche Scientifique (CNRS)</t>
  </si>
  <si>
    <t>Fernandes, M (corresponding author), Univ Lisbon, Inst Geog &amp; Spatial Planning, Ctr Geog Studies, Rua Branca Edmee Marques, P-1600216 Lisbon, Portugal.</t>
  </si>
  <si>
    <t>marcelo.fernandes@live.com</t>
  </si>
  <si>
    <t>; Vieira, Goncalo/G-5958-2010</t>
  </si>
  <si>
    <t>Fernandes, Marcelo/0000-0001-6840-4317; Vieira, Goncalo/0000-0001-7611-3464</t>
  </si>
  <si>
    <t>Research Group ANTALP [2017-SGR-1102]; Government of Catalonia; Centro de Estudos Geogr~aficos/ IGOT - University of Lisbon [UIDB/00295/2020, UIDP/ 00295/2020]; Spanish Ministry of Economy and Competitiveness [CTM2017-87976-P]; Fundacao para a Ci&lt;^&gt;encia e Tecnologia of Portugal [02/ SAICT/2017-32002]; Fundacao para a Ciencia e Tecnologia of Portugal [FCT - SFRH/ 139568/2018]; Ramon y Cajal Program [RYC-2015-17597]; INSU/CNRS; ANR</t>
  </si>
  <si>
    <t>Research Group ANTALP; Government of Catalonia(Generalitat de Catalunya); Centro de Estudos Geogr~aficos/ IGOT - University of Lisbon; Spanish Ministry of Economy and Competitiveness(Spanish Government); Fundacao para a Ci&lt;^&gt;encia e Tecnologia of Portugal(Fundacao para a Ciencia e a Tecnologia (FCT)); Fundacao para a Ciencia e Tecnologia of Portugal(Fundacao para a Ciencia e a Tecnologia (FCT)); Ramon y Cajal Program(Spanish Government); INSU/CNRS(Centre National de la Recherche Scientifique (CNRS)); ANR(Agence Nationale de la Recherche (ANR))</t>
  </si>
  <si>
    <t>This work was funded by the Research Group ANTALP (Antarctic, Arctic, Alpine Environments; 2017-SGR-1102), the Government of Catalonia and the Centro de Estudos Geograficos/ IGOT - University of Lisbon (FCT I.P. UIDB/00295/2020 and UIDP/ 00295/2020). The research topics complement those of the project PALEOGREEN(CTM2017-87976-P) funded by the Spanish Ministry of Economy and Competitiveness and the project NUNANTAR funded by the Fundacao para a Ciencia e Tecnologia of Portugal (02/ SAICT/2017-32002). Marcelo Fernandes holds a PhD fellowship of the Fundacao para a Ciencia e Tecnologia of Portugal (FCT - SFRH/ 139568/2018); Marc Oliva is supported by the Ramon y Cajal Program (RYC-2015-17597). 10Be measurementswere performed at the ASTER AMS national facility (CEREGE, Aix-en-Provence), which is supported by the INSU/CNRS and the ANR through the 'Projets thematiques d'excellence' programme for the 'Equipements d'excellence' ASTER-CEREGE action and Institut de recherche pour le developpement (IRD). This research is also framed within the College on Polar and Extreme Environments (Polar2E) of the University of Lisbon. We also thank the National Park of Aig_uestortes and Sant Maurici Lake for providing field access to the study sites and the reviewers for their constructive comments that helped to improve the quality of an earlier version of themanuscript. Finally, we thank the editor, Professor Jan A. Piotrowski, and the journal reviewers, professors Matteo Spagnolo and Philip Hughes, for their constructive comments during the revision process that allowed us to improve an earlier draft of the manuscript. The authors declare that they have no known competing financial interests or personal relationships that could have appeared to influence the work reported in this paper.</t>
  </si>
  <si>
    <t>0300-9483</t>
  </si>
  <si>
    <t>1502-3885</t>
  </si>
  <si>
    <t>Boreas</t>
  </si>
  <si>
    <t>10.1111/bor.12633</t>
  </si>
  <si>
    <t>GQ2L6</t>
  </si>
  <si>
    <t>WOS:001061818600001</t>
  </si>
  <si>
    <t>Ballesteros, GI; Newsham, KK; Acuña-Rodríguez, IS; Atala, C; Torres-Díaz, C; Molina-Montenegro, MA</t>
  </si>
  <si>
    <t>Ballesteros, Gabriel I.; Newsham, Kevin K.; Acuna-Rodriguez, Ian S.; Atala, Cristian; Torres-Diaz, Cristian; Molina-Montenegro, Marco A.</t>
  </si>
  <si>
    <t>Extreme environments as sources of fungal endophytes mitigating climate change impacts on crops in Mediterranean-type ecosystems</t>
  </si>
  <si>
    <t>PLANTS PEOPLE PLANET</t>
  </si>
  <si>
    <t>climate change; crop production; drought; extremophiles; fungal endophytes; global food security; Mediterranean-type ecosystems; salinity</t>
  </si>
  <si>
    <t>GLOBAL FOOD DEMAND; STRESS TOLERANCE; MYCORRHIZAL; EVOLUTION; DROUGHT; PLANTS; ROOTS</t>
  </si>
  <si>
    <t>Societal Impact StatementClimate change is predicted to increase drought and soil salinity in Mediterranean-type ecosystems (MTEs), posing a significant threat to global food security. Genetic modification of crops to counteract this threat is expensive and has not met with universal support, and alternatives are hence needed to enhance crop production in MTEs. Here, fungal endophytes from the Atacama Desert, High Andes and Antarctica inoculated onto three crops were found to alleviate the negative effects of drought and salinity on plant performance. The study concludes that extremophile endophytes might be used to enhance crop performance as the climate of MTEs changes over future decades.SummaryClimate change will curtail the ability to provide sufficient food for our rapidly expanding population. Improvements to crop production in changing environments, particularly Mediterranean-type ecosystems (MTEs), which are increasingly subjected to drought and salinisation, are hence urgently needed. Here, we explored the possibility that fungal endophytes from extreme environments can be used to enhance crop yield, survival and tolerance to environmental stresses.Plants of lettuce, tomato and bell pepper were inoculated with up to six species of endophytic fungi isolated from the Atacama Desert, the High Andes and Antarctica. They were then exposed in the field for up to 120 days in each of three summers to current climatic conditions or to a future climate scenario simulating increased drought and soil salinisation.Compared with uninoculated plants, the yield and survival of inoculated crops were increased by up to two-fold under the future climate scenario. These effects were in part attributable to the improved water balance of inoculated crops exposed to drought and salinisation. The inocula also increased the concentrations of total phenols and proline in leaves and decreased lipid peroxidation when plants were subjected to increased aridity and salinity. A mixed inoculum of six endophytes from the extreme environments conferred the most beneficial effects on crop performance, with a commercially available inoculum having fewer positive effects on crops.We conclude that the inoculation of crops with endophytes from extreme environments may be a viable solution to sustaining crop production in MTEs exposed to rapid climate change. Climate change is predicted to increase drought and soil salinity in Mediterranean-type ecosystems (MTEs), posing a significant threat to global food security. Genetic modification of crops to counteract this threat is expensive and has not met with universal support, and alternatives are hence needed to enhance crop production in MTEs. Here, fungal endophytes from the Atacama Desert, High Andes and Antarctica inoculated onto three crops were found to alleviate the negative effects of drought and salinity on plant performance. The study concludes that extremophile endophytes might be used to enhance crop performance as the climate of MTEs changes over future decades.image</t>
  </si>
  <si>
    <t>[Ballesteros, Gabriel I.; Acuna-Rodriguez, Ian S.; Molina-Montenegro, Marco A.] Univ Talca, Ctr Ecol Integrat, Inst Ciencias Biol, Talca, Chile; [Ballesteros, Gabriel I.; Acuna-Rodriguez, Ian S.] Univ Talca, Inst Invest Interdisciplinaria I3, Talca, Chile; [Newsham, Kevin K.] British Antarctic Survey, Nat Environm Res Council, Cambridge, England; [Atala, Cristian] Pontificia Univ Catolica Valparaiso, Fac Ciencias, Inst Biol, Valparaiso, Chile; [Torres-Diaz, Cristian] Univ Bio Bio, Dept Ciencias Nat, Lab Genomica &amp; Biodivers LGB, Chillan, Chile; [Molina-Montenegro, Marco A.] Univ Catol Maule, Ctr Invest Estudios Avanzados Maule CIEAM, Talca, Chile; [Molina-Montenegro, Marco A.] Univ Talca, Ctr forIntegrat Ecol, Avda Lircay S-N,Campus Talca, Talca, Chile</t>
  </si>
  <si>
    <t>Universidad de Talca; Universidad de Talca; UK Research &amp; Innovation (UKRI); Natural Environment Research Council (NERC); NERC British Antarctic Survey; Pontificia Universidad Catolica de Valparaiso; Universidad del Bio-Bio; Universidad Catolica del Maule; Universidad de Talca</t>
  </si>
  <si>
    <t>Molina-Montenegro, MA (corresponding author), Univ Talca, Ctr forIntegrat Ecol, Avda Lircay S-N,Campus Talca, Talca, Chile.</t>
  </si>
  <si>
    <t>Ballesteros, Gabriel/IAN-7082-2023</t>
  </si>
  <si>
    <t>Ballesteros, Gabriel/0000-0002-3179-3168; Acuna, Ian/0000-0001-5380-895X; Atala, Cristian/0000-0003-1337-9534</t>
  </si>
  <si>
    <t>FONDEF IDeA [22I10300]; FONDECYT [1220710]; Universidad de Talca (Fondospara Estadias de Investigacion en el Extranjero) [R.U. 208/2022]</t>
  </si>
  <si>
    <t>FONDEF IDeA(Comision Nacional de Investigacion Cientifica y Tecnologica (CONICYT)CONICYT FONDEF); FONDECYT(Comision Nacional de Investigacion Cientifica y Tecnologica (CONICYT)CONICYT FONDECYT); Universidad de Talca (Fondospara Estadias de Investigacion en el Extranjero)</t>
  </si>
  <si>
    <t>FONDEF IDeA ID22I10300, FONDECYT 1220710 and Universidad de Talca (Fondospara Estadias de Investigacion en el Extranjero; R.U. 208/2022)</t>
  </si>
  <si>
    <t>2572-2611</t>
  </si>
  <si>
    <t>Plants People Planet</t>
  </si>
  <si>
    <t>10.1002/ppp3.10415</t>
  </si>
  <si>
    <t>Biodiversity Conservation; Plant Sciences; Ecology</t>
  </si>
  <si>
    <t>Biodiversity &amp; Conservation; Plant Sciences; Environmental Sciences &amp; Ecology</t>
  </si>
  <si>
    <t>GJ8E3</t>
  </si>
  <si>
    <t>WOS:001058229300001</t>
  </si>
  <si>
    <t>Servetto, N; Ruiz, MB; Martinez, M; Harms, L; de Aranzamendi, MC; Alurralde, G; Gimenez, D; Abele, D; Held, C; Sahade, R</t>
  </si>
  <si>
    <t>Servetto, N.; Ruiz, M. B.; Martinez, M.; Harms, L.; de Aranzamendi, M. C.; Alurralde, G.; Gimenez, D.; Abele, D.; Held, C.; Sahade, R.</t>
  </si>
  <si>
    <t>Molecular responses to ocean acidification in an Antarctic bivalve and an ascidian</t>
  </si>
  <si>
    <t>Southern Ocean; Calcifying species; Non-calcifying species; Acidification</t>
  </si>
  <si>
    <t>ANTIOXIDANT DEFENSE SYSTEMS; THERMAL TOLERANCE; OXIDATIVE STRESS; GENE-EXPRESSION; SOUTHERN-OCEAN; DIFFERENTIAL EXPRESSION; ALDEHYDE DEHYDROGENASE; SEAWATER ACIDIFICATION; YOLDIA-EIGHTSI; CARBONIC-ACID</t>
  </si>
  <si>
    <t>Southern Ocean organisms are considered particularly vulnerable to Ocean acidification (OA), as they inhabit cold waters where calcite-aragonite saturation states are naturally low. It is also generally assumed that OA would affect calcifying animals more than non-calcifying animals. In this context, we aimed to study the impact of reduced pH on both types of species: the ascidian Cnemidocarpa verrucosa sp. A, and the bivalve Aequiyoldia eightsii, from an Antarctic fjord. We used gene expression profiling and enzyme activity to study the responses of these two Antarctic benthic species to OA. We report the results of an experiment lasting 66 days, comparing the molecular mechanisms underlying responses under two pCO2 treatments (ambient and elevated pCO2). We observed 224 up-regulated and 111 down-regulated genes (FC &gt;= 2; p-value &lt;= 0.05) in the ascidian. In particular, the decrease in pH caused an upregulation of genes involved in the immune system and antioxidant response. While fewer differentially expressed (DE) genes were observed in the infaunal bivalve, 34 genes were up -regulated, and 69 genes were downregulated (FC &gt;= 2; p-value &lt;= 0.05) in response to OA. We found down -regulated genes involved in the oxidoreductase pathway (such as glucose dehydrogenase and trimethyl lysine dioxygenase), while the heat shock protein 70 was up-regulated. This work addresses the effect of OA in two common, widely distributed Antarctic species, showing striking results. Our major finding highlights the impact of OA on the non-calcifying species, a result that differ from the general trend, which describes a higher impact on calcifying species. This calls for discussion of potential effects on non-calcifying species, such as ascidians, a diverse and abundant group that form extended three-dimensional clusters in shallow waters and shelf areas in the Southern Ocean.</t>
  </si>
  <si>
    <t>[Servetto, N.; de Aranzamendi, M. C.; Gimenez, D.; Sahade, R.] Univ Nacl Cordoba, Ecosistemas Marinos Polares ECOMARES IDEA, Fac Ciencias Exactas Fis &amp; Nat, Av Velez Sarsfield 299,X5000JJC, Cordoba, Argentina; [Servetto, N.; de Aranzamendi, M. C.; Sahade, R.] Consejo Nacl Invest Cient &amp; Tecn CONICET, Inst Divers &amp; Ecol Anim IDEA, Ecosistemas Marinos Polares ECOMARES, Av Velez Sarsfield 299,X5000JJC, Cordoba, Argentina; [Ruiz, M. B.; Harms, L.; Abele, D.; Held, C.] Alfred Wegener Inst, Helmholtz Ctr Polar &amp; Marine Res, Handelshafen 12, D-27570 Bremerhaven, Germany; [Ruiz, M. B.] Univ Duisburg Essen, Fac Biol, Aquat Ecosyst Res, Essen, Germany; [Martinez, M.] Univ Republica, Montevideo, Uruguay; [Alurralde, G.] Stockholm Univ, Dept Environm Sci, S-10691 Stockholm, Sweden; [Alurralde, G.] Balt Marine Environm Protect Commiss HELCOM, FI-00160 Helsinki, Finland; [Servetto, N.; Sahade, R.] Univ Nacl Cordoba, Fac Ciencias Exactas Fis &amp; Nat, Catedra Ecol Marina, Av Velez Sarsfield 299,X5000JJC, Cordoba, Argentina</t>
  </si>
  <si>
    <t>National University of Cordoba; Consejo Nacional de Investigaciones Cientificas y Tecnicas (CONICET); Helmholtz Association; Alfred Wegener Institute, Helmholtz Centre for Polar &amp; Marine Research; University of Duisburg Essen; Universidad de la Republica, Uruguay; Stockholm University; National University of Cordoba</t>
  </si>
  <si>
    <t>Servetto, N; Sahade, R (corresponding author), Univ Nacl Cordoba, Fac Ciencias Exactas Fis &amp; Nat, Catedra Ecol Marina, Av Velez Sarsfield 299,X5000JJC, Cordoba, Argentina.</t>
  </si>
  <si>
    <t>nservetto@mi.unc.edu.ar; rsahade@unc.edu.ar</t>
  </si>
  <si>
    <t>Alurralde, Gaston/0000-0002-0332-3978; de Aranzamendi, Maria Carla/0000-0003-4442-0384; Ruiz, Micaela Belen/0000-0003-1278-8248</t>
  </si>
  <si>
    <t>Antarctic Science bursary; PADI Foundation; Direccion Nacional del Antartico (DNA)/Instituto Antartico Argentino (IAA); Consejo Nacional de Investigaciones Cientificas y Tecnicas (CONICET); Alfred Wegener Institute (AWI - Germany); Universidad Nacional de Cordoba; FONCyT [PICT 2018-2125, PICT 2020-2956, PICT 2018-02182]; European Union</t>
  </si>
  <si>
    <t>Antarctic Science bursary; PADI Foundation; Direccion Nacional del Antartico (DNA)/Instituto Antartico Argentino (IAA); Consejo Nacional de Investigaciones Cientificas y Tecnicas (CONICET)(Consejo Nacional de Investigaciones Cientificas y Tecnicas (CONICET)); Alfred Wegener Institute (AWI - Germany); Universidad Nacional de Cordoba; FONCyT(FONCyT); European Union(European Union (EU))</t>
  </si>
  <si>
    <t>The authors particularly thank the members of the Carlini (former Jubany) station. This study was supported by the Antarctic Science bursary (2020), PADI Foundation, the Direccion Nacional del Antartico (DNA)/Instituto Antartico Argentino (IAA), the Consejo Nacional de Investigaciones Cientificas y Tecnicas (CONICET), the Alfred Wegener Institute (AWI - Germany) and the Universidad Nacional de Cordoba. The work was partially funded by FONCyT PICT 2018-2125, PICT 2020-2956 and PICT 2018-02182. This project has received funding from the European Union's Horizon 2020 - Research and Innovation Framework Programme under the Marie Sklodowska-Curie grant agreement CoastCarb</t>
  </si>
  <si>
    <t>10.1016/j.scitotenv.2023.166577</t>
  </si>
  <si>
    <t>T4EU6</t>
  </si>
  <si>
    <t>WOS:001077544200001</t>
  </si>
  <si>
    <t>Pongpiachan, S; Thumanu, K; Chantharakhon, C; Phoomalee, C; Charoenkalunyuta, T; Promdee, K; Poshyachinda, S; Hashmi, MZ</t>
  </si>
  <si>
    <t>Pongpiachan, Siwatt; Thumanu, Kanjana; Chantharakhon, Chulalak; Phoomalee, Chunmanus; Charoenkalunyuta, Teetat; Promdee, Kittiphop; Poshyachinda, Saran; Hashmi, Muhammad Zaffar</t>
  </si>
  <si>
    <t>Applying synchrotron radiation-based attenuated total reflection-fourier transform infrared to chemically characterise organic functional groups in terrestrial soils of King George Island, Antarctica</t>
  </si>
  <si>
    <t>HELIYON</t>
  </si>
  <si>
    <t>SR-ATR-FTIR; Terrestrial soils; Organic functional groups; King George Island; Chemical pollution</t>
  </si>
  <si>
    <t>POLYCYCLIC AROMATIC-HYDROCARBONS; ATR-FTIR; RIVER SEDIMENTS; MINERALS; WATER; CONTAMINANTS; PALEOECOLOGY; ENVIRONMENT; POLLUTANTS; MARKERS</t>
  </si>
  <si>
    <t>Anthropogenic activities, especially associated with fossil fuel combustion, are raising concerns worldwide, but remote areas with extreme climate conditions, such as Antarctica, are isolated from the adverse influence of human civilisation. Antarctica is considered as the most untouched place on Earth. Such pristine areas, which have extremely low chemical pollutant concentrations owing to restricted anthropogenic impacts, exemplify plausible model environments to test the reliability and sensitivity of advanced analytical techniques employed to chemically characterise and evaluate the spatial distribution of chemical pollutants. Here, synchrotron radiation-based attenuated total reflection-Fourier transform infrared (SR-ATR-FTIR) spectroscopy was employed to evaluate the variations in the organic functional groups (OFGs) of terrestrial soils of King George Island, Antarctica. Second-derivative SR-ATR-FTIR spectroscopy coupled with several multivariate statistical techniques highlighted the influence of anthropogenic activities on the alterations of OFGs in terrestrial soils collected near airports. Moreover, the daily activities of penguins could also have caused fluctuations in some OFGs of the samples the close to the Tombolo area and Ardley Island. The findings proved the effectiveness of SR-ATR-FTIR in evaluating the potential sources of variations in the chemical constituents, especially OFGs, in Antarctic terrestrial soils.</t>
  </si>
  <si>
    <t>[Pongpiachan, Siwatt] Natl Inst Dev Adm NIDA, NIDA Ctr Res &amp; Dev Disaster Prevent &amp; Management, Sch Social &amp; Environm Dev, 148 Sereethai Rd, Bangkok 10240, Thailand; [Thumanu, Kanjana; Chantharakhon, Chulalak; Phoomalee, Chunmanus] Publ Org, Synchrotron Light Res Inst, 111 Moo 6, Univ Ave, Nakhon Ratchasima 30000, Thailand; [Charoenkalunyuta, Teetat] Chulalongkorn Univ, Dept Survey Engn, Bangkok 10330, Thailand; [Promdee, Kittiphop] Chulachomklao Royal Mil Acad, Dept Environm Sci, Nakhon Nayok 26001, Thailand; [Pongpiachan, Siwatt; Poshyachinda, Saran] Natl Astron Res Inst Thailand Publ Org, 260 Moo 4 T Donkaew A Maerim, Chiang Mai 50180, Thailand; [Hashmi, Muhammad Zaffar] COMSATS Univ Islamabad, Dept Chem, Islamabad, Pakistan</t>
  </si>
  <si>
    <t>National Institute of Development Administration - Thailand; Chulalongkorn University; COMSATS University Islamabad (CUI)</t>
  </si>
  <si>
    <t>Thumanu, K (corresponding author), Publ Org, Synchrotron Light Res Inst, 111 Moo 6, Univ Ave, Nakhon Ratchasima 30000, Thailand.</t>
  </si>
  <si>
    <t>kanjanat@slri.or.th</t>
  </si>
  <si>
    <t>Charoenkalunyuta, Teetat/AAD-4258-2019</t>
  </si>
  <si>
    <t>Charoenkalunyuta, Teetat/0000-0002-9562-9607; Pongpiachan, Siwatt/0000-0003-1062-7627</t>
  </si>
  <si>
    <t>National Institute of Development Administration-Research Centre (NIDA-RC)</t>
  </si>
  <si>
    <t>Funding This work was supported by the National Institute of Development Administration-Research Centre (NIDA-RC) .</t>
  </si>
  <si>
    <t>2405-8440</t>
  </si>
  <si>
    <t>Heliyon</t>
  </si>
  <si>
    <t>e19711</t>
  </si>
  <si>
    <t>10.1016/j.heliyon.2023.e19711</t>
  </si>
  <si>
    <t>S9YV2</t>
  </si>
  <si>
    <t>WOS:001074658500001</t>
  </si>
  <si>
    <t>Shi, S; Qu, FF; Gong, W; Sun, ZQ; Shi, ZX; Xu, L; Chen, BW</t>
  </si>
  <si>
    <t>Shi, Shuo; Qu, Fangfang; Gong, Wei; Sun, Zhongqiu; Shi, Zixi; Xu, Lu; Chen, Bowen</t>
  </si>
  <si>
    <t>Precise land cover classification in complex scene based on ultra-hyperspectral data from AisaIBIS sensor</t>
  </si>
  <si>
    <t>precise land cover classification; ultra-hyperspectral image; AisaIBIS sensor; spectral resolution; feature extraction</t>
  </si>
  <si>
    <t>PRINCIPAL COMPONENT ANALYSIS; VEGETATION; REDUCTION; ALIGNMENT; NETWORK; IMAGERY; ZONES; TOOL; PCA</t>
  </si>
  <si>
    <t>The advancement of ultra-hyperspectral imaging technology, exemplified by the AisaIBIS sensor, has enabled a leap from hyperspectral data (hundreds of bands) to ultra-hyperspectral data (thousands of bands). It provides immense potential for precise ground object recognition within intricate scenes. However, the complexities inherent to features of the ground objects, coupled with the copious redundant information within the ultra-hyperspectral data, pose substantial challenges for accurate object recognition. Therefore, this paper proposed a comprehensive framework to explore the optimal precise classification strategy of ultra-hyperspectral data in complex scenes (12 vegetation and non-vegetation classes). (a) Our investigation delves into the influence of diverse feature subsets and a range of machine learning classifiers on the precision of ground objects recognition. The proposed strategy is up to an overall accuracy of 88.44%, effectively avoiding the curse of dimension, and significantly enhancing the capability to recognize the complex ground objects. (b) Furthermore, based on the simulation of hyperspectral images with different spectral resolutions, we compared the classification results of ultra-hyperspectral data (0.11 nm) and the hyperspectral datasets (10 nm, 5 nm, and 1 nm) by machine learning methods. Compared with the hyperspectral datasets, ultra-hyperspectral data improved the classification accuracy by 5.30-6.38%. This substantiates the pronounced advantages of ultra-hyperspectral data in precision land cover classification. This study provides a valuable reference for the application of ultra-hyperspectral data in recognition of complex ground objects scenes, and urban accurate monitoring.</t>
  </si>
  <si>
    <t>[Shi, Shuo; Qu, Fangfang; Gong, Wei; Shi, Zixi; Xu, Lu; Chen, Bowen] Wuhan Univ, State Key Lab Informat Engn Surveying Mapping &amp; Re, Wuhan, Hubei, Peoples R China; [Shi, Shuo] Xian Res Inst Surveying &amp; Mapping, State Key Lab Geoinformat Engn, Xian, Peoples R China; [Shi, Shuo; Gong, Wei] Minist Educ, Percept &amp; Effectiveness Assessment Carbonneutral E, Engn Res Ctr, Wuhan, Peoples R China; [Gong, Wei] Wuhan Inst Quantum Technol, Wuhan, Peoples R China; [Sun, Zhongqiu] Acad Inventory &amp; Planning, Natl Forestry &amp; Grassland Adm, Beijing, Peoples R China; [Chen, Bowen] Wuhan Univ, Chinese Antarctic Ctr Surveying &amp; Mapping, Wuhan, Hubei, Peoples R China; [Qu, Fangfang] Wuhan Univ, State Key Lab Informat Engn Surveying Mapping &amp; Re, Wuhan 430079, Hubei, Peoples R China</t>
  </si>
  <si>
    <t>Wuhan University; Wuhan University; Wuhan University</t>
  </si>
  <si>
    <t>Qu, FF (corresponding author), Wuhan Univ, State Key Lab Informat Engn Surveying Mapping &amp; Re, Wuhan, Hubei, Peoples R China.;Qu, FF (corresponding author), Wuhan Univ, State Key Lab Informat Engn Surveying Mapping &amp; Re, Wuhan 430079, Hubei, Peoples R China.</t>
  </si>
  <si>
    <t>fangqu@whu.edu.cn</t>
  </si>
  <si>
    <t>We gratefully acknowledge the Academy of Inventory and Planning, National Forestry and Grassland Administration for their help in data acquisition. We also acknowledge algorithms provided by eCognition software and MATLAB platform.; Academy of Inventory and Planning, National Forestry and Grassland Administration</t>
  </si>
  <si>
    <t>We gratefully acknowledge the Academy of Inventory and Planning, National Forestry and Grassland Administration for their help in data acquisition. We also acknowledge algorithms provided by eCognition software and MATLAB platform.</t>
  </si>
  <si>
    <t>SEP 2</t>
  </si>
  <si>
    <t>10.1080/01431161.2023.2249596</t>
  </si>
  <si>
    <t>Q5QQ9</t>
  </si>
  <si>
    <t>WOS:001058072100001</t>
  </si>
  <si>
    <t>Cuba-Diaz, M; Fuentes-Lillo, E; Navarrete-Campos, D; Chwedorzewska, KJ</t>
  </si>
  <si>
    <t>Cuba-Diaz, M.; Fuentes-Lillo, E.; Navarrete-Campos, D.; Chwedorzewska, K. J.</t>
  </si>
  <si>
    <t>Effects of climate change conditions on the individual response and biotic interactions of the native and non-native plants of Antarctica</t>
  </si>
  <si>
    <t>Climate Change; Colobanthus quitensis; Deschampsia antarctica; Juncus bufonius; Poa annua; Anthropogenic pressure; Biotic interaction</t>
  </si>
  <si>
    <t>COLOBANTHUS-QUITENSIS CARYOPHYLLACEAE; KING GEORGE ISLAND; INVASIVE POA-ANNUA; VASCULAR PLANTS; PHENOTYPIC PLASTICITY; BIOLOGICAL INVASIONS; PHYLOGENETIC RELATEDNESS; COMPETITIVE INTERACTIONS; DESCHAMPSIA-ANTARCTICA; JUNCUS-BUFONIUS</t>
  </si>
  <si>
    <t>Anthropogenic pressure and climate change have generated important changes in the environmental conditions of Antarctic ecosystems. These changes include the introduction of non-native species, rising temperatures, changes in precipitation patterns, and the expansion of ice-free areas. These alterations can have adverse effects on the native flora. Therefore, our study aimed to assess the potential impact of the non-native plants: Poa annua and Juncus bufonius on native species Colobanthus quitensis and Deschampsia antarctica under climate change simulated conditions. Individuals of C. quitensis/D. antarctica and J. bufonius/P. annua were exposed to four different growth conditions: 6 degrees C/low water availability (LW); 8 degrees C/LW and 6 degrees C/high water availability (HW) and 8 degrees C/HW. We hypothesized that competition would be more intense at 8 degrees C/HW, whereas facilitation would be the predominant interaction at 6 degrees C/LW. The results revealed that under 8 degrees C/HW conditions, all species experienced a significant increase in biomass production. However, the mortality rate of native species shows the opposite trend. The Relative Interaction Index (RII) showed a competitive effect of both non-native species on D. antarctica, independent of temperature and water availability, while for C. quitensis competition is more intense at LW conditions. These findings demonstrate that the impact of climate change could exacerbate the effects of non-native species on native species in Antarctic ecosystems. This includes non-native species that have been reported but have not yet established stable populations in the maritime Antarctic.</t>
  </si>
  <si>
    <t>[Cuba-Diaz, M.; Navarrete-Campos, D.] Univ Concepcion, Lab Biotecnol &amp; Estudios Ambientales, Campus Los Angeles, Los Angeles, Chile; [Cuba-Diaz, M.; Navarrete-Campos, D.] Univ Concepcion, Dept Ciencias &amp; Tecnol Vegetal, Escuela Ciencias &amp; Tecnol, Campus Los Angeles Juan Antonio Coloma 0201, Los Angeles 4440000, Chile; [Cuba-Diaz, M.] Univ Concepcion, Programa Ciencia Antart &amp; Subantart, Concepcion, Chile; [Fuentes-Lillo, E.] Univ Concepcion, Fac Ciencias Forestales, Lab Invas Biol LIB, Concepcion, Chile; [Fuentes-Lillo, E.] Inst Ecol &amp; Biodiversidad IEB, Santiago, Chile; [Fuentes-Lillo, E.] Adventist Univ Chile, Sch Educ &amp; Social Sci, Chillan, Chile; [Chwedorzewska, K. J.] Univ Life Sci SGGW, Inst Biol, Dept Bot, Warsaw, Poland</t>
  </si>
  <si>
    <t>Universidad de Concepcion; Universidad de Concepcion; Universidad de Concepcion; Universidad de Concepcion; Universidad Adventista de Chile; Warsaw University of Life Sciences</t>
  </si>
  <si>
    <t>Cuba-Diaz, M (corresponding author), Univ Concepcion, Lab Biotecnol &amp; Estudios Ambientales, Campus Los Angeles, Los Angeles, Chile.;Cuba-Diaz, M (corresponding author), Univ Concepcion, Dept Ciencias &amp; Tecnol Vegetal, Escuela Ciencias &amp; Tecnol, Campus Los Angeles Juan Antonio Coloma 0201, Los Angeles 4440000, Chile.;Cuba-Diaz, M (corresponding author), Univ Concepcion, Programa Ciencia Antart &amp; Subantart, Concepcion, Chile.</t>
  </si>
  <si>
    <t>mcuba@udec.cl</t>
  </si>
  <si>
    <t>Chwedorzewska, Katarzyna J/A-9480-2008</t>
  </si>
  <si>
    <t>ANID/BASAL [FB210006]</t>
  </si>
  <si>
    <t>ANID/BASAL</t>
  </si>
  <si>
    <t>EFL was funded by Grant ANID/BASAL FB210006. The authors have no relevant financial or non-financial interest to disclose. Research design and acquisition of data by MCD and EFL, Data analysis by EFL, Interpretation of data and manuscript drafting and editing by MCD, EFL, DNC and KJC.</t>
  </si>
  <si>
    <t>10.1007/s00300-023-03169-x</t>
  </si>
  <si>
    <t>LS2Y4</t>
  </si>
  <si>
    <t>WOS:001188739000001</t>
  </si>
  <si>
    <t>Thomalla, SJ; Nicholson, SA; Ryan-Keogh, TJ; Smith, ME</t>
  </si>
  <si>
    <t>Thomalla, Sandy J.; Nicholson, Sarah-Anne; Ryan-Keogh, Thomas J.; Smith, Marie E.</t>
  </si>
  <si>
    <t>Widespread changes in Southern Ocean phytoplankton blooms linked to climate drivers</t>
  </si>
  <si>
    <t>SUB-ANTARCTIC ZONE; SEASONAL RESTRATIFICATION; PHENOLOGY; CHLOROPHYLL; TEMPERATURE; QUALITY; TRENDS; CARBON; DEPTH; CYCLE</t>
  </si>
  <si>
    <t>Climate change is expected to elicit widespread alterations to nutrient and light supply, which interact to influence phytoplankton growth and their seasonal cycles. Using 25 years of satellite chlorophyll a data, we show that large regions of the Southern Ocean express significant multi- decadal trends in phenological indices that are typically larger (&lt;50 days decade(-1)) than previously reported in modelling studies (&lt;10 days decade(-1)). Although regionally dependent, there is an overall tendency for phytoplankton blooms to increase in amplitude, decline in seasonality, initiate later, terminate earlier and have shorter durations, except in the ice, which initiate earlier and have longer durations. Investigating relationships with prominent climate drivers highlights regional sensitivities and complexities of multiple interacting aspects of a changing climate. Seasonal adjustments of this magnitude at the base of the food web can de-synchronize energy transfer to higher trophic levels, threatening ecosystem services and impacting global climate by altering natural CO2 uptake.</t>
  </si>
  <si>
    <t>[Thomalla, Sandy J.; Nicholson, Sarah-Anne; Ryan-Keogh, Thomas J.] CSIR, Southern Ocean Carbon Climate Observ, Cape Town, South Africa; [Thomalla, Sandy J.] Univ Cape Town, Marine &amp; Antarctic Res Ctr Innovat &amp; Sustainabil, Cape Town, South Africa; [Smith, Marie E.] CSIR, Coastal Syst &amp; Earth Observat Res Grp, Cape Town, South Africa; [Smith, Marie E.] Univ Cape Town, Dept Oceanog, Cape Town, South Africa</t>
  </si>
  <si>
    <t>Council for Scientific &amp; Industrial Research (CSIR) - South Africa; University of Cape Town; Council for Scientific &amp; Industrial Research (CSIR) - South Africa; University of Cape Town</t>
  </si>
  <si>
    <t>Thomalla, SJ (corresponding author), CSIR, Southern Ocean Carbon Climate Observ, Cape Town, South Africa.;Thomalla, SJ (corresponding author), Univ Cape Town, Marine &amp; Antarctic Res Ctr Innovat &amp; Sustainabil, Cape Town, South Africa.</t>
  </si>
  <si>
    <t>sandy.thomalla@gmail.com</t>
  </si>
  <si>
    <t>Smith, Marie/T-7430-2018; Ryan-Keogh, Thomas/AAS-3716-2021</t>
  </si>
  <si>
    <t>Smith, Marie/0000-0001-6781-2343; Ryan-Keogh, Thomas/0000-0001-5144-171X; Thomalla, Sandy/0000-0002-6802-520X; Nicholson, Sarah-Anne/0000-0002-1226-1828</t>
  </si>
  <si>
    <t>CSIR Parliamentary Grant [0000005278]; Department of Science and Innovation; National Research Foundation [SANAP200324510487, SANAP200511521175, MCR210429598142]; South Africa-Norway cooperation [SANOCEAN UID:118751]</t>
  </si>
  <si>
    <t>CSIR Parliamentary Grant(Council of Scientific &amp; Industrial Research (CSIR) - India); Department of Science and Innovation; National Research Foundation; South Africa-Norway cooperation</t>
  </si>
  <si>
    <t>We acknowledge N. Fauchereau, S. Swart and P. Monteiro for their key contributions to the seminal Thomalla et al. (2011)27 paper that inspired this follow-up study. We acknowledge the OC-CCI group for providing the satellite chlorophyll a data used in this manuscript. The authors acknowledge their institutional support from the CSIR Parliamentary Grant (0000005278), the Department of Science and Innovation, the National Research Foundation (SANAP200324510487; SANAP200511521175; MCR210429598142) and the South Africa-Norway cooperation (SANOCEAN UID:118751). We similarly acknowledge the Centre for High-Performance Computing (CSIR-CHPC) for the support and computational hours required for the analysis of this work.</t>
  </si>
  <si>
    <t>10.1038/s41558-023-01768-4</t>
  </si>
  <si>
    <t>LQ5U9</t>
  </si>
  <si>
    <t>WOS:001188289700001</t>
  </si>
  <si>
    <t>Williamson, A; Carter, CG; Codabaccus, MB; Fitzgibbon, QP; Smith, GG</t>
  </si>
  <si>
    <t>Williamson, Andrea; Carter, Chris G.; Codabaccus, M. Basseer; Fitzgibbon, Quinn P.; Smith, Gregory G.</t>
  </si>
  <si>
    <t>Application of a stoichiometric bioenergetic approach and whole-body protein synthesis to the nutritional assessment of juvenile Thenus australiensis</t>
  </si>
  <si>
    <t>PRAWN PENAEUS-ESCULENTUS; DYNAMIC ACTION; NITROGEN-EXCRETION; APPARENT DIGESTIBILITY; AMMONIA EXCRETION; LIPID EXTRACTION; SPINY LOBSTER; RAINBOW-TROUT; GROWTH; INGREDIENTS</t>
  </si>
  <si>
    <t>The present study successfully combined a stoichiometric bioenergetic approach with an endpoint stochastic model to simultaneously determine specific dynamic action, metabolic substrate use and whole-body protein synthesis in juvenile slipper lobster Thenus australiensis. Juvenile lobsters were fasted for 48 h to investigate routine metabolism before receiving a single meal of formulated feed containing 1% 15N-labeled Spirulina. Postprandial oxygen consumption rate, dissolved inorganic carbon, and total nitrogen excretion returned to the pre-feeding level within 24 h. The rate of whole-body protein synthesis was 0.76 +/- 0.15 mg CP g(-1) day(-1), with a significant reduction from 24 to 48 h post-feeding. The postprandial increase in whole-body protein synthesis accounted for 13-19% of total oxygen uptake. Protein was the primary energy substrate for 48 h fasted (45% oxygen consumption) and post-feeding lobster (44%), suggesting that dietary protein was not efficiently used for growth. The secondary energy substrate differed between carbohydrates in 48 h fasted and lipids in post-feeding lobsters. The present study recommends integrating protein synthesis into protein requirement experiments of marine ectotherms to acquire a more comprehensive picture of protein and energy metabolism and nutritional physiology crucial for formulating cost-effective aquafeeds.</t>
  </si>
  <si>
    <t>[Williamson, Andrea; Carter, Chris G.; Codabaccus, M. Basseer; Fitzgibbon, Quinn P.; Smith, Gregory G.] Univ Tasmania, Inst Marine &amp; Antarctic Studies IMAS, Private Bag 49, Hobart, Tas 7001, Australia</t>
  </si>
  <si>
    <t>Williamson, A (corresponding author), Univ Tasmania, Inst Marine &amp; Antarctic Studies IMAS, Private Bag 49, Hobart, Tas 7001, Australia.</t>
  </si>
  <si>
    <t>andrea.williamson@utas.edu.au</t>
  </si>
  <si>
    <t>Carter, Chris Guy/0000-0001-5210-1282; codabaccus, mohamed/0000-0001-5108-373X; Fitzgibbon, Quinn/0000-0002-1104-3052</t>
  </si>
  <si>
    <t>The authors would like to acknowledge Alexandra Johne for her insight into the data analysis of the present study. Thanks to all Hub staff for assistance with system construction and maintenance. This research was conducted by the Australian Research Counc [IH190100014]; Australian Research Council Industrial Transformation Hub for Sustainable Onshore Lobster Aquaculture</t>
  </si>
  <si>
    <t>The authors would like to acknowledge Alexandra Johne for her insight into the data analysis of the present study. Thanks to all Hub staff for assistance with system construction and maintenance. This research was conducted by the Australian Research Counc; Australian Research Council Industrial Transformation Hub for Sustainable Onshore Lobster Aquaculture(Australian Research Council)</t>
  </si>
  <si>
    <t>The authors would like to acknowledge Alexandra Johne for her insight into the data analysis of the present study. Thanks to all Hub staff for assistance with system construction and maintenance. This research was conducted by the Australian Research Council Industrial Transformation Hub for Sustainable Onshore Lobster Aquaculture (project number IH190100014). The views expressed herein are those of the authors and are not necessarily those of the Australian Government or Australian Research Council.</t>
  </si>
  <si>
    <t>SEP 1</t>
  </si>
  <si>
    <t>10.1038/s41598-023-41070-z</t>
  </si>
  <si>
    <t>CS2B0</t>
  </si>
  <si>
    <t>WOS:001127153800057</t>
  </si>
  <si>
    <t>Clem, KR; Raphael, MN</t>
  </si>
  <si>
    <t>Clem, Kyle R.; Raphael, Marilyn N.</t>
  </si>
  <si>
    <t>ANTARCTICA AND THE SOUTHERN OCEAN</t>
  </si>
  <si>
    <t>SURFACE MASS-BALANCE; ICE-SHELF; IN-SITU; CLIMATE; MELT; IMPACTS; LARSEN; MODEL; SNOWFALL; GLACIER</t>
  </si>
  <si>
    <t>[Clem, Kyle R.] Victoria Univ Wellington, Sch Geog Environm &amp; Earth Sci, Wellington, New Zealand; [Raphael, Marilyn N.] Univ Calif Los Angeles, Dept Geog, Los Angeles, CA 90024 USA</t>
  </si>
  <si>
    <t>Victoria University Wellington; University of California System; University of California Los Angeles</t>
  </si>
  <si>
    <t>Clem, KR (corresponding author), Victoria Univ Wellington, Sch Geog Environm &amp; Earth Sci, Wellington, New Zealand.</t>
  </si>
  <si>
    <t>kyle.clem@vuw.ac.nz</t>
  </si>
  <si>
    <t>; Barreiros De Souza, Everaldo/V-5163-2017; Pezzi, Luciano/N-7271-2017</t>
  </si>
  <si>
    <t>Shi, Jia-Rui/0000-0001-7505-1281; Baiman, Rebecca/0000-0002-1801-8618; Dunmire, Devon/0000-0001-6299-9137; Maclennan, Michelle L./0000-0002-7591-2704; Barreiros De Souza, Everaldo/0000-0001-6045-0984; Yin, Ziqi/0009-0004-8942-4711; Pezzi, Luciano/0000-0001-6016-4320</t>
  </si>
  <si>
    <t>NASA Modeling and Analysis Program; National Science Foundation Office of Polar Programs; Royal Society of New Zealand Marsden Fund [MFP-VUW2010]; Agence Nationale de la Recherche project [ANR-20-CE01-0013]; NSF [OPP 1952199, 1841607, PLR-1552226, 1924730, 1951720, 1951603]; NASA [S000885-NASA, 80NSSC22K0386, 80NSSC21K0750]; Australian Bureau of Meteorology; Australian Antarctic Division; Australian Research Council Special Research Initiative the Australian Centre for Excellence in Antarctic Science [SR200100008]; NSF's Southern Ocean Carbon and Climate Observations and Modeling (SOCCOM) Project under the NSF [OPP-1936222]; PROANTAR's Antarctic Modeling and Observation System (ATMOS) Project under the CNPq/PROANTAR [443013/2018-7]</t>
  </si>
  <si>
    <t>NASA Modeling and Analysis Program(National Aeronautics &amp; Space Administration (NASA)); National Science Foundation Office of Polar Programs(National Science Foundation (NSF)NSF - Directorate for Geosciences (GEO)); Royal Society of New Zealand Marsden Fund(Royal Society of New ZealandMarsden Fund (NZ)); Agence Nationale de la Recherche project(Agence Nationale de la Recherche (ANR)); NSF(National Science Foundation (NSF)); NASA(National Aeronautics &amp; Space Administration (NASA)); Australian Bureau of Meteorology; Australian Antarctic Division; Australian Research Council Special Research Initiative the Australian Centre for Excellence in Antarctic Science(Australian Research Council); NSF's Southern Ocean Carbon and Climate Observations and Modeling (SOCCOM) Project under the NSF; PROANTAR's Antarctic Modeling and Observation System (ATMOS) Project under the CNPq/PROANTAR</t>
  </si>
  <si>
    <t>Work at the Jet Propulsion Laboratory, California Institute of Technology, was done under contract with the National Aeronautics and Space Administration (NASA). Support was also provided by the NASA Modeling and Analysis Program. We are indebted to the many NOAA Corps Officers and GML technical personnel who spend the winters at South Pole Station to obtain the ongoing balloon and ground-based data sets. We also acknowledge the logistics support in Antarctica provided by the National Science Foundation Office of Polar Programs. (c) 2023. All rights reserved.; K. R. Clem acknowledges support from the Royal Society of New Zealand Marsden Fund grant MFP-VUW2010.; J. D. Wille acknowledges support from the Agence Nationale de la Recherche project, ANR-20-CE01-0013 (ARCA).; R. T. Datta would like to acknowledge NSF award OPP 1952199.; L. Trusel and R. T. Datta would like to acknowledge NASA award S000885-NASA.; P. Reid and J. Lieser were supported through the Australian Bureau of Meteorology, and R. Massom by the Australian Antarctic Division. The work of P. Reid and R. Massom also contributes to the Australian Government's Australian Antarctic Partnership Program (AAPP). For R. Massom, this work was also supported by the Australian Research Council Special Research Initiative the Australian Centre for Excellence in Antarctic Science (Project Number SR200100008).; S. T. Gille acknowledges support from NSF's Southern Ocean Carbon and Climate Observations and Modeling (SOCCOM) Project under the NSF award OPP-1936222.; L. P. Pezzi acknowledges support from PROANTAR's Antarctic Modeling and Observation System (ATMOS) Project under the CNPq/PROANTAR award 443013/2018-7.; S. Stammerjohn was supported under NSF PLR-1552226; she also thanks the Institute of Arctic and Alpine Research and the National Snow and Ice Data Center, both at the University of Colorado Boulder, for institutional and data support.; A. Banwell was supported by NSF award #1841607 to the University of Colorado Boulder.; N. Ochwat and T. Scambos were supported by NASA award 80NSSC22K0386 on Larsen B evolution and NASA award 80NSSC21K0750 for sea ice monitoring.; L. M. Keller, M. A. Lazzara, D. E. Mikolajczyk, and T. Norton appreciate support from NSF grant number 1924730, 1951720, and 1951603.</t>
  </si>
  <si>
    <t>S</t>
  </si>
  <si>
    <t>S322</t>
  </si>
  <si>
    <t>S365</t>
  </si>
  <si>
    <t>10.1175/BAMS-D-23-0077.1</t>
  </si>
  <si>
    <t>GD0L6</t>
  </si>
  <si>
    <t>Green Published, Bronze</t>
  </si>
  <si>
    <t>WOS:001150608200006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</si>
</sst>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74</v>
      </c>
      <c r="AD2" t="s">
        <v>74</v>
      </c>
      <c r="AE2" t="s">
        <v>74</v>
      </c>
      <c r="AF2" t="s">
        <v>74</v>
      </c>
      <c r="AG2">
        <v>56</v>
      </c>
      <c r="AH2">
        <v>1</v>
      </c>
      <c r="AI2">
        <v>1</v>
      </c>
      <c r="AJ2">
        <v>0</v>
      </c>
      <c r="AK2">
        <v>0</v>
      </c>
      <c r="AL2" t="s">
        <v>89</v>
      </c>
      <c r="AM2" t="s">
        <v>90</v>
      </c>
      <c r="AN2" t="s">
        <v>91</v>
      </c>
      <c r="AO2" t="s">
        <v>92</v>
      </c>
      <c r="AP2" t="s">
        <v>93</v>
      </c>
      <c r="AQ2" t="s">
        <v>74</v>
      </c>
      <c r="AR2" t="s">
        <v>94</v>
      </c>
      <c r="AS2" t="s">
        <v>95</v>
      </c>
      <c r="AT2" t="s">
        <v>96</v>
      </c>
      <c r="AU2">
        <v>2024</v>
      </c>
      <c r="AV2">
        <v>358</v>
      </c>
      <c r="AW2" t="s">
        <v>74</v>
      </c>
      <c r="AX2" t="s">
        <v>74</v>
      </c>
      <c r="AY2" t="s">
        <v>74</v>
      </c>
      <c r="AZ2" t="s">
        <v>74</v>
      </c>
      <c r="BA2" t="s">
        <v>74</v>
      </c>
      <c r="BB2" t="s">
        <v>74</v>
      </c>
      <c r="BC2" t="s">
        <v>74</v>
      </c>
      <c r="BD2">
        <v>122572</v>
      </c>
      <c r="BE2" t="s">
        <v>97</v>
      </c>
      <c r="BF2" t="str">
        <f>HYPERLINK("http://dx.doi.org/10.1016/j.apenergy.2023.122572","http://dx.doi.org/10.1016/j.apenergy.2023.122572")</f>
        <v>http://dx.doi.org/10.1016/j.apenergy.2023.122572</v>
      </c>
      <c r="BG2" t="s">
        <v>74</v>
      </c>
      <c r="BH2" t="s">
        <v>98</v>
      </c>
      <c r="BI2">
        <v>12</v>
      </c>
      <c r="BJ2" t="s">
        <v>99</v>
      </c>
      <c r="BK2" t="s">
        <v>100</v>
      </c>
      <c r="BL2" t="s">
        <v>101</v>
      </c>
      <c r="BM2" t="s">
        <v>102</v>
      </c>
      <c r="BN2" t="s">
        <v>74</v>
      </c>
      <c r="BO2" t="s">
        <v>103</v>
      </c>
      <c r="BP2" t="s">
        <v>74</v>
      </c>
      <c r="BQ2" t="s">
        <v>74</v>
      </c>
      <c r="BR2" t="s">
        <v>104</v>
      </c>
      <c r="BS2" t="s">
        <v>105</v>
      </c>
      <c r="BT2" t="str">
        <f>HYPERLINK("https%3A%2F%2Fwww.webofscience.com%2Fwos%2Fwoscc%2Ffull-record%2FWOS:001152208600001","View Full Record in Web of Science")</f>
        <v>View Full Record in Web of Science</v>
      </c>
    </row>
    <row r="3" spans="1:72" x14ac:dyDescent="0.15">
      <c r="A3" t="s">
        <v>72</v>
      </c>
      <c r="B3" t="s">
        <v>106</v>
      </c>
      <c r="C3" t="s">
        <v>74</v>
      </c>
      <c r="D3" t="s">
        <v>74</v>
      </c>
      <c r="E3" t="s">
        <v>74</v>
      </c>
      <c r="F3" t="s">
        <v>107</v>
      </c>
      <c r="G3" t="s">
        <v>74</v>
      </c>
      <c r="H3" t="s">
        <v>74</v>
      </c>
      <c r="I3" t="s">
        <v>108</v>
      </c>
      <c r="J3" t="s">
        <v>109</v>
      </c>
      <c r="K3" t="s">
        <v>74</v>
      </c>
      <c r="L3" t="s">
        <v>74</v>
      </c>
      <c r="M3" t="s">
        <v>78</v>
      </c>
      <c r="N3" t="s">
        <v>79</v>
      </c>
      <c r="O3" t="s">
        <v>74</v>
      </c>
      <c r="P3" t="s">
        <v>74</v>
      </c>
      <c r="Q3" t="s">
        <v>74</v>
      </c>
      <c r="R3" t="s">
        <v>74</v>
      </c>
      <c r="S3" t="s">
        <v>74</v>
      </c>
      <c r="T3" t="s">
        <v>110</v>
      </c>
      <c r="U3" t="s">
        <v>111</v>
      </c>
      <c r="V3" t="s">
        <v>112</v>
      </c>
      <c r="W3" t="s">
        <v>113</v>
      </c>
      <c r="X3" t="s">
        <v>114</v>
      </c>
      <c r="Y3" t="s">
        <v>115</v>
      </c>
      <c r="Z3" t="s">
        <v>116</v>
      </c>
      <c r="AA3" t="s">
        <v>74</v>
      </c>
      <c r="AB3" t="s">
        <v>74</v>
      </c>
      <c r="AC3" t="s">
        <v>117</v>
      </c>
      <c r="AD3" t="s">
        <v>117</v>
      </c>
      <c r="AE3" t="s">
        <v>118</v>
      </c>
      <c r="AF3" t="s">
        <v>74</v>
      </c>
      <c r="AG3">
        <v>96</v>
      </c>
      <c r="AH3">
        <v>0</v>
      </c>
      <c r="AI3">
        <v>0</v>
      </c>
      <c r="AJ3">
        <v>4</v>
      </c>
      <c r="AK3">
        <v>4</v>
      </c>
      <c r="AL3" t="s">
        <v>119</v>
      </c>
      <c r="AM3" t="s">
        <v>120</v>
      </c>
      <c r="AN3" t="s">
        <v>121</v>
      </c>
      <c r="AO3" t="s">
        <v>122</v>
      </c>
      <c r="AP3" t="s">
        <v>123</v>
      </c>
      <c r="AQ3" t="s">
        <v>74</v>
      </c>
      <c r="AR3" t="s">
        <v>124</v>
      </c>
      <c r="AS3" t="s">
        <v>125</v>
      </c>
      <c r="AT3" t="s">
        <v>126</v>
      </c>
      <c r="AU3">
        <v>2023</v>
      </c>
      <c r="AV3">
        <v>55</v>
      </c>
      <c r="AW3">
        <v>1</v>
      </c>
      <c r="AX3" t="s">
        <v>74</v>
      </c>
      <c r="AY3" t="s">
        <v>74</v>
      </c>
      <c r="AZ3" t="s">
        <v>74</v>
      </c>
      <c r="BA3" t="s">
        <v>74</v>
      </c>
      <c r="BB3" t="s">
        <v>74</v>
      </c>
      <c r="BC3" t="s">
        <v>74</v>
      </c>
      <c r="BD3">
        <v>2233785</v>
      </c>
      <c r="BE3" t="s">
        <v>127</v>
      </c>
      <c r="BF3" t="str">
        <f>HYPERLINK("http://dx.doi.org/10.1080/15230430.2023.2233785","http://dx.doi.org/10.1080/15230430.2023.2233785")</f>
        <v>http://dx.doi.org/10.1080/15230430.2023.2233785</v>
      </c>
      <c r="BG3" t="s">
        <v>74</v>
      </c>
      <c r="BH3" t="s">
        <v>74</v>
      </c>
      <c r="BI3">
        <v>17</v>
      </c>
      <c r="BJ3" t="s">
        <v>128</v>
      </c>
      <c r="BK3" t="s">
        <v>100</v>
      </c>
      <c r="BL3" t="s">
        <v>129</v>
      </c>
      <c r="BM3" t="s">
        <v>130</v>
      </c>
      <c r="BN3" t="s">
        <v>74</v>
      </c>
      <c r="BO3" t="s">
        <v>131</v>
      </c>
      <c r="BP3" t="s">
        <v>74</v>
      </c>
      <c r="BQ3" t="s">
        <v>74</v>
      </c>
      <c r="BR3" t="s">
        <v>104</v>
      </c>
      <c r="BS3" t="s">
        <v>132</v>
      </c>
      <c r="BT3" t="str">
        <f>HYPERLINK("https%3A%2F%2Fwww.webofscience.com%2Fwos%2Fwoscc%2Ffull-record%2FWOS:001128590900001","View Full Record in Web of Science")</f>
        <v>View Full Record in Web of Science</v>
      </c>
    </row>
    <row r="4" spans="1:72" x14ac:dyDescent="0.15">
      <c r="A4" t="s">
        <v>72</v>
      </c>
      <c r="B4" t="s">
        <v>133</v>
      </c>
      <c r="C4" t="s">
        <v>74</v>
      </c>
      <c r="D4" t="s">
        <v>74</v>
      </c>
      <c r="E4" t="s">
        <v>74</v>
      </c>
      <c r="F4" t="s">
        <v>134</v>
      </c>
      <c r="G4" t="s">
        <v>74</v>
      </c>
      <c r="H4" t="s">
        <v>74</v>
      </c>
      <c r="I4" t="s">
        <v>135</v>
      </c>
      <c r="J4" t="s">
        <v>109</v>
      </c>
      <c r="K4" t="s">
        <v>74</v>
      </c>
      <c r="L4" t="s">
        <v>74</v>
      </c>
      <c r="M4" t="s">
        <v>78</v>
      </c>
      <c r="N4" t="s">
        <v>79</v>
      </c>
      <c r="O4" t="s">
        <v>74</v>
      </c>
      <c r="P4" t="s">
        <v>74</v>
      </c>
      <c r="Q4" t="s">
        <v>74</v>
      </c>
      <c r="R4" t="s">
        <v>74</v>
      </c>
      <c r="S4" t="s">
        <v>74</v>
      </c>
      <c r="T4" t="s">
        <v>136</v>
      </c>
      <c r="U4" t="s">
        <v>137</v>
      </c>
      <c r="V4" t="s">
        <v>138</v>
      </c>
      <c r="W4" t="s">
        <v>139</v>
      </c>
      <c r="X4" t="s">
        <v>140</v>
      </c>
      <c r="Y4" t="s">
        <v>141</v>
      </c>
      <c r="Z4" t="s">
        <v>142</v>
      </c>
      <c r="AA4" t="s">
        <v>74</v>
      </c>
      <c r="AB4" t="s">
        <v>143</v>
      </c>
      <c r="AC4" t="s">
        <v>144</v>
      </c>
      <c r="AD4" t="s">
        <v>145</v>
      </c>
      <c r="AE4" t="s">
        <v>146</v>
      </c>
      <c r="AF4" t="s">
        <v>74</v>
      </c>
      <c r="AG4">
        <v>110</v>
      </c>
      <c r="AH4">
        <v>0</v>
      </c>
      <c r="AI4">
        <v>0</v>
      </c>
      <c r="AJ4">
        <v>6</v>
      </c>
      <c r="AK4">
        <v>6</v>
      </c>
      <c r="AL4" t="s">
        <v>119</v>
      </c>
      <c r="AM4" t="s">
        <v>120</v>
      </c>
      <c r="AN4" t="s">
        <v>121</v>
      </c>
      <c r="AO4" t="s">
        <v>122</v>
      </c>
      <c r="AP4" t="s">
        <v>123</v>
      </c>
      <c r="AQ4" t="s">
        <v>74</v>
      </c>
      <c r="AR4" t="s">
        <v>124</v>
      </c>
      <c r="AS4" t="s">
        <v>125</v>
      </c>
      <c r="AT4" t="s">
        <v>126</v>
      </c>
      <c r="AU4">
        <v>2023</v>
      </c>
      <c r="AV4">
        <v>55</v>
      </c>
      <c r="AW4">
        <v>1</v>
      </c>
      <c r="AX4" t="s">
        <v>74</v>
      </c>
      <c r="AY4" t="s">
        <v>74</v>
      </c>
      <c r="AZ4" t="s">
        <v>74</v>
      </c>
      <c r="BA4" t="s">
        <v>74</v>
      </c>
      <c r="BB4" t="s">
        <v>74</v>
      </c>
      <c r="BC4" t="s">
        <v>74</v>
      </c>
      <c r="BD4">
        <v>2285334</v>
      </c>
      <c r="BE4" t="s">
        <v>147</v>
      </c>
      <c r="BF4" t="str">
        <f>HYPERLINK("http://dx.doi.org/10.1080/15230430.2023.2285334","http://dx.doi.org/10.1080/15230430.2023.2285334")</f>
        <v>http://dx.doi.org/10.1080/15230430.2023.2285334</v>
      </c>
      <c r="BG4" t="s">
        <v>74</v>
      </c>
      <c r="BH4" t="s">
        <v>74</v>
      </c>
      <c r="BI4">
        <v>14</v>
      </c>
      <c r="BJ4" t="s">
        <v>128</v>
      </c>
      <c r="BK4" t="s">
        <v>100</v>
      </c>
      <c r="BL4" t="s">
        <v>129</v>
      </c>
      <c r="BM4" t="s">
        <v>148</v>
      </c>
      <c r="BN4" t="s">
        <v>74</v>
      </c>
      <c r="BO4" t="s">
        <v>131</v>
      </c>
      <c r="BP4" t="s">
        <v>74</v>
      </c>
      <c r="BQ4" t="s">
        <v>74</v>
      </c>
      <c r="BR4" t="s">
        <v>104</v>
      </c>
      <c r="BS4" t="s">
        <v>149</v>
      </c>
      <c r="BT4" t="str">
        <f>HYPERLINK("https%3A%2F%2Fwww.webofscience.com%2Fwos%2Fwoscc%2Ffull-record%2FWOS:001128418700001","View Full Record in Web of Science")</f>
        <v>View Full Record in Web of Science</v>
      </c>
    </row>
    <row r="5" spans="1:72" x14ac:dyDescent="0.15">
      <c r="A5" t="s">
        <v>72</v>
      </c>
      <c r="B5" t="s">
        <v>150</v>
      </c>
      <c r="C5" t="s">
        <v>74</v>
      </c>
      <c r="D5" t="s">
        <v>74</v>
      </c>
      <c r="E5" t="s">
        <v>74</v>
      </c>
      <c r="F5" t="s">
        <v>151</v>
      </c>
      <c r="G5" t="s">
        <v>74</v>
      </c>
      <c r="H5" t="s">
        <v>74</v>
      </c>
      <c r="I5" t="s">
        <v>152</v>
      </c>
      <c r="J5" t="s">
        <v>109</v>
      </c>
      <c r="K5" t="s">
        <v>74</v>
      </c>
      <c r="L5" t="s">
        <v>74</v>
      </c>
      <c r="M5" t="s">
        <v>78</v>
      </c>
      <c r="N5" t="s">
        <v>79</v>
      </c>
      <c r="O5" t="s">
        <v>74</v>
      </c>
      <c r="P5" t="s">
        <v>74</v>
      </c>
      <c r="Q5" t="s">
        <v>74</v>
      </c>
      <c r="R5" t="s">
        <v>74</v>
      </c>
      <c r="S5" t="s">
        <v>74</v>
      </c>
      <c r="T5" t="s">
        <v>153</v>
      </c>
      <c r="U5" t="s">
        <v>154</v>
      </c>
      <c r="V5" t="s">
        <v>155</v>
      </c>
      <c r="W5" t="s">
        <v>156</v>
      </c>
      <c r="X5" t="s">
        <v>157</v>
      </c>
      <c r="Y5" t="s">
        <v>158</v>
      </c>
      <c r="Z5" t="s">
        <v>159</v>
      </c>
      <c r="AA5" t="s">
        <v>160</v>
      </c>
      <c r="AB5" t="s">
        <v>161</v>
      </c>
      <c r="AC5" t="s">
        <v>162</v>
      </c>
      <c r="AD5" t="s">
        <v>163</v>
      </c>
      <c r="AE5" t="s">
        <v>164</v>
      </c>
      <c r="AF5" t="s">
        <v>74</v>
      </c>
      <c r="AG5">
        <v>46</v>
      </c>
      <c r="AH5">
        <v>0</v>
      </c>
      <c r="AI5">
        <v>0</v>
      </c>
      <c r="AJ5">
        <v>6</v>
      </c>
      <c r="AK5">
        <v>6</v>
      </c>
      <c r="AL5" t="s">
        <v>119</v>
      </c>
      <c r="AM5" t="s">
        <v>120</v>
      </c>
      <c r="AN5" t="s">
        <v>121</v>
      </c>
      <c r="AO5" t="s">
        <v>122</v>
      </c>
      <c r="AP5" t="s">
        <v>123</v>
      </c>
      <c r="AQ5" t="s">
        <v>74</v>
      </c>
      <c r="AR5" t="s">
        <v>124</v>
      </c>
      <c r="AS5" t="s">
        <v>125</v>
      </c>
      <c r="AT5" t="s">
        <v>126</v>
      </c>
      <c r="AU5">
        <v>2023</v>
      </c>
      <c r="AV5">
        <v>55</v>
      </c>
      <c r="AW5">
        <v>1</v>
      </c>
      <c r="AX5" t="s">
        <v>74</v>
      </c>
      <c r="AY5" t="s">
        <v>74</v>
      </c>
      <c r="AZ5" t="s">
        <v>74</v>
      </c>
      <c r="BA5" t="s">
        <v>74</v>
      </c>
      <c r="BB5" t="s">
        <v>74</v>
      </c>
      <c r="BC5" t="s">
        <v>74</v>
      </c>
      <c r="BD5">
        <v>2284456</v>
      </c>
      <c r="BE5" t="s">
        <v>165</v>
      </c>
      <c r="BF5" t="str">
        <f>HYPERLINK("http://dx.doi.org/10.1080/15230430.2023.2284456","http://dx.doi.org/10.1080/15230430.2023.2284456")</f>
        <v>http://dx.doi.org/10.1080/15230430.2023.2284456</v>
      </c>
      <c r="BG5" t="s">
        <v>74</v>
      </c>
      <c r="BH5" t="s">
        <v>74</v>
      </c>
      <c r="BI5">
        <v>13</v>
      </c>
      <c r="BJ5" t="s">
        <v>128</v>
      </c>
      <c r="BK5" t="s">
        <v>100</v>
      </c>
      <c r="BL5" t="s">
        <v>129</v>
      </c>
      <c r="BM5" t="s">
        <v>166</v>
      </c>
      <c r="BN5" t="s">
        <v>74</v>
      </c>
      <c r="BO5" t="s">
        <v>131</v>
      </c>
      <c r="BP5" t="s">
        <v>74</v>
      </c>
      <c r="BQ5" t="s">
        <v>74</v>
      </c>
      <c r="BR5" t="s">
        <v>104</v>
      </c>
      <c r="BS5" t="s">
        <v>167</v>
      </c>
      <c r="BT5" t="str">
        <f>HYPERLINK("https%3A%2F%2Fwww.webofscience.com%2Fwos%2Fwoscc%2Ffull-record%2FWOS:001125848500001","View Full Record in Web of Science")</f>
        <v>View Full Record in Web of Science</v>
      </c>
    </row>
    <row r="6" spans="1:72" x14ac:dyDescent="0.15">
      <c r="A6" t="s">
        <v>72</v>
      </c>
      <c r="B6" t="s">
        <v>168</v>
      </c>
      <c r="C6" t="s">
        <v>74</v>
      </c>
      <c r="D6" t="s">
        <v>74</v>
      </c>
      <c r="E6" t="s">
        <v>74</v>
      </c>
      <c r="F6" t="s">
        <v>169</v>
      </c>
      <c r="G6" t="s">
        <v>74</v>
      </c>
      <c r="H6" t="s">
        <v>74</v>
      </c>
      <c r="I6" t="s">
        <v>170</v>
      </c>
      <c r="J6" t="s">
        <v>109</v>
      </c>
      <c r="K6" t="s">
        <v>74</v>
      </c>
      <c r="L6" t="s">
        <v>74</v>
      </c>
      <c r="M6" t="s">
        <v>78</v>
      </c>
      <c r="N6" t="s">
        <v>79</v>
      </c>
      <c r="O6" t="s">
        <v>74</v>
      </c>
      <c r="P6" t="s">
        <v>74</v>
      </c>
      <c r="Q6" t="s">
        <v>74</v>
      </c>
      <c r="R6" t="s">
        <v>74</v>
      </c>
      <c r="S6" t="s">
        <v>74</v>
      </c>
      <c r="T6" t="s">
        <v>171</v>
      </c>
      <c r="U6" t="s">
        <v>172</v>
      </c>
      <c r="V6" t="s">
        <v>173</v>
      </c>
      <c r="W6" t="s">
        <v>174</v>
      </c>
      <c r="X6" t="s">
        <v>175</v>
      </c>
      <c r="Y6" t="s">
        <v>176</v>
      </c>
      <c r="Z6" t="s">
        <v>177</v>
      </c>
      <c r="AA6" t="s">
        <v>74</v>
      </c>
      <c r="AB6" t="s">
        <v>74</v>
      </c>
      <c r="AC6" t="s">
        <v>178</v>
      </c>
      <c r="AD6" t="s">
        <v>179</v>
      </c>
      <c r="AE6" t="s">
        <v>180</v>
      </c>
      <c r="AF6" t="s">
        <v>74</v>
      </c>
      <c r="AG6">
        <v>63</v>
      </c>
      <c r="AH6">
        <v>0</v>
      </c>
      <c r="AI6">
        <v>0</v>
      </c>
      <c r="AJ6">
        <v>7</v>
      </c>
      <c r="AK6">
        <v>7</v>
      </c>
      <c r="AL6" t="s">
        <v>119</v>
      </c>
      <c r="AM6" t="s">
        <v>120</v>
      </c>
      <c r="AN6" t="s">
        <v>121</v>
      </c>
      <c r="AO6" t="s">
        <v>122</v>
      </c>
      <c r="AP6" t="s">
        <v>123</v>
      </c>
      <c r="AQ6" t="s">
        <v>74</v>
      </c>
      <c r="AR6" t="s">
        <v>124</v>
      </c>
      <c r="AS6" t="s">
        <v>125</v>
      </c>
      <c r="AT6" t="s">
        <v>126</v>
      </c>
      <c r="AU6">
        <v>2023</v>
      </c>
      <c r="AV6">
        <v>55</v>
      </c>
      <c r="AW6">
        <v>1</v>
      </c>
      <c r="AX6" t="s">
        <v>74</v>
      </c>
      <c r="AY6" t="s">
        <v>74</v>
      </c>
      <c r="AZ6" t="s">
        <v>74</v>
      </c>
      <c r="BA6" t="s">
        <v>74</v>
      </c>
      <c r="BB6" t="s">
        <v>74</v>
      </c>
      <c r="BC6" t="s">
        <v>74</v>
      </c>
      <c r="BD6">
        <v>2271592</v>
      </c>
      <c r="BE6" t="s">
        <v>181</v>
      </c>
      <c r="BF6" t="str">
        <f>HYPERLINK("http://dx.doi.org/10.1080/15230430.2023.2271592","http://dx.doi.org/10.1080/15230430.2023.2271592")</f>
        <v>http://dx.doi.org/10.1080/15230430.2023.2271592</v>
      </c>
      <c r="BG6" t="s">
        <v>74</v>
      </c>
      <c r="BH6" t="s">
        <v>74</v>
      </c>
      <c r="BI6">
        <v>17</v>
      </c>
      <c r="BJ6" t="s">
        <v>128</v>
      </c>
      <c r="BK6" t="s">
        <v>100</v>
      </c>
      <c r="BL6" t="s">
        <v>129</v>
      </c>
      <c r="BM6" t="s">
        <v>182</v>
      </c>
      <c r="BN6" t="s">
        <v>74</v>
      </c>
      <c r="BO6" t="s">
        <v>183</v>
      </c>
      <c r="BP6" t="s">
        <v>74</v>
      </c>
      <c r="BQ6" t="s">
        <v>74</v>
      </c>
      <c r="BR6" t="s">
        <v>104</v>
      </c>
      <c r="BS6" t="s">
        <v>184</v>
      </c>
      <c r="BT6" t="str">
        <f>HYPERLINK("https%3A%2F%2Fwww.webofscience.com%2Fwos%2Fwoscc%2Ffull-record%2FWOS:001115233500001","View Full Record in Web of Science")</f>
        <v>View Full Record in Web of Science</v>
      </c>
    </row>
    <row r="7" spans="1:72" x14ac:dyDescent="0.15">
      <c r="A7" t="s">
        <v>72</v>
      </c>
      <c r="B7" t="s">
        <v>185</v>
      </c>
      <c r="C7" t="s">
        <v>74</v>
      </c>
      <c r="D7" t="s">
        <v>74</v>
      </c>
      <c r="E7" t="s">
        <v>74</v>
      </c>
      <c r="F7" t="s">
        <v>186</v>
      </c>
      <c r="G7" t="s">
        <v>74</v>
      </c>
      <c r="H7" t="s">
        <v>74</v>
      </c>
      <c r="I7" t="s">
        <v>187</v>
      </c>
      <c r="J7" t="s">
        <v>109</v>
      </c>
      <c r="K7" t="s">
        <v>74</v>
      </c>
      <c r="L7" t="s">
        <v>74</v>
      </c>
      <c r="M7" t="s">
        <v>78</v>
      </c>
      <c r="N7" t="s">
        <v>79</v>
      </c>
      <c r="O7" t="s">
        <v>74</v>
      </c>
      <c r="P7" t="s">
        <v>74</v>
      </c>
      <c r="Q7" t="s">
        <v>74</v>
      </c>
      <c r="R7" t="s">
        <v>74</v>
      </c>
      <c r="S7" t="s">
        <v>74</v>
      </c>
      <c r="T7" t="s">
        <v>188</v>
      </c>
      <c r="U7" t="s">
        <v>189</v>
      </c>
      <c r="V7" t="s">
        <v>190</v>
      </c>
      <c r="W7" t="s">
        <v>191</v>
      </c>
      <c r="X7" t="s">
        <v>192</v>
      </c>
      <c r="Y7" t="s">
        <v>193</v>
      </c>
      <c r="Z7" t="s">
        <v>194</v>
      </c>
      <c r="AA7" t="s">
        <v>195</v>
      </c>
      <c r="AB7" t="s">
        <v>74</v>
      </c>
      <c r="AC7" t="s">
        <v>196</v>
      </c>
      <c r="AD7" t="s">
        <v>196</v>
      </c>
      <c r="AE7" t="s">
        <v>197</v>
      </c>
      <c r="AF7" t="s">
        <v>74</v>
      </c>
      <c r="AG7">
        <v>75</v>
      </c>
      <c r="AH7">
        <v>0</v>
      </c>
      <c r="AI7">
        <v>0</v>
      </c>
      <c r="AJ7">
        <v>12</v>
      </c>
      <c r="AK7">
        <v>12</v>
      </c>
      <c r="AL7" t="s">
        <v>119</v>
      </c>
      <c r="AM7" t="s">
        <v>120</v>
      </c>
      <c r="AN7" t="s">
        <v>121</v>
      </c>
      <c r="AO7" t="s">
        <v>122</v>
      </c>
      <c r="AP7" t="s">
        <v>123</v>
      </c>
      <c r="AQ7" t="s">
        <v>74</v>
      </c>
      <c r="AR7" t="s">
        <v>124</v>
      </c>
      <c r="AS7" t="s">
        <v>125</v>
      </c>
      <c r="AT7" t="s">
        <v>126</v>
      </c>
      <c r="AU7">
        <v>2023</v>
      </c>
      <c r="AV7">
        <v>55</v>
      </c>
      <c r="AW7">
        <v>1</v>
      </c>
      <c r="AX7" t="s">
        <v>74</v>
      </c>
      <c r="AY7" t="s">
        <v>74</v>
      </c>
      <c r="AZ7" t="s">
        <v>74</v>
      </c>
      <c r="BA7" t="s">
        <v>74</v>
      </c>
      <c r="BB7" t="s">
        <v>74</v>
      </c>
      <c r="BC7" t="s">
        <v>74</v>
      </c>
      <c r="BD7">
        <v>2270821</v>
      </c>
      <c r="BE7" t="s">
        <v>198</v>
      </c>
      <c r="BF7" t="str">
        <f>HYPERLINK("http://dx.doi.org/10.1080/15230430.2023.2270821","http://dx.doi.org/10.1080/15230430.2023.2270821")</f>
        <v>http://dx.doi.org/10.1080/15230430.2023.2270821</v>
      </c>
      <c r="BG7" t="s">
        <v>74</v>
      </c>
      <c r="BH7" t="s">
        <v>74</v>
      </c>
      <c r="BI7">
        <v>13</v>
      </c>
      <c r="BJ7" t="s">
        <v>128</v>
      </c>
      <c r="BK7" t="s">
        <v>100</v>
      </c>
      <c r="BL7" t="s">
        <v>129</v>
      </c>
      <c r="BM7" t="s">
        <v>199</v>
      </c>
      <c r="BN7" t="s">
        <v>74</v>
      </c>
      <c r="BO7" t="s">
        <v>200</v>
      </c>
      <c r="BP7" t="s">
        <v>74</v>
      </c>
      <c r="BQ7" t="s">
        <v>74</v>
      </c>
      <c r="BR7" t="s">
        <v>104</v>
      </c>
      <c r="BS7" t="s">
        <v>201</v>
      </c>
      <c r="BT7" t="str">
        <f>HYPERLINK("https%3A%2F%2Fwww.webofscience.com%2Fwos%2Fwoscc%2Ffull-record%2FWOS:001110409100001","View Full Record in Web of Science")</f>
        <v>View Full Record in Web of Science</v>
      </c>
    </row>
    <row r="8" spans="1:72" x14ac:dyDescent="0.15">
      <c r="A8" t="s">
        <v>72</v>
      </c>
      <c r="B8" t="s">
        <v>202</v>
      </c>
      <c r="C8" t="s">
        <v>74</v>
      </c>
      <c r="D8" t="s">
        <v>74</v>
      </c>
      <c r="E8" t="s">
        <v>74</v>
      </c>
      <c r="F8" t="s">
        <v>203</v>
      </c>
      <c r="G8" t="s">
        <v>74</v>
      </c>
      <c r="H8" t="s">
        <v>74</v>
      </c>
      <c r="I8" t="s">
        <v>204</v>
      </c>
      <c r="J8" t="s">
        <v>109</v>
      </c>
      <c r="K8" t="s">
        <v>74</v>
      </c>
      <c r="L8" t="s">
        <v>74</v>
      </c>
      <c r="M8" t="s">
        <v>78</v>
      </c>
      <c r="N8" t="s">
        <v>79</v>
      </c>
      <c r="O8" t="s">
        <v>74</v>
      </c>
      <c r="P8" t="s">
        <v>74</v>
      </c>
      <c r="Q8" t="s">
        <v>74</v>
      </c>
      <c r="R8" t="s">
        <v>74</v>
      </c>
      <c r="S8" t="s">
        <v>74</v>
      </c>
      <c r="T8" t="s">
        <v>205</v>
      </c>
      <c r="U8" t="s">
        <v>206</v>
      </c>
      <c r="V8" t="s">
        <v>207</v>
      </c>
      <c r="W8" t="s">
        <v>208</v>
      </c>
      <c r="X8" t="s">
        <v>209</v>
      </c>
      <c r="Y8" t="s">
        <v>210</v>
      </c>
      <c r="Z8" t="s">
        <v>211</v>
      </c>
      <c r="AA8" t="s">
        <v>212</v>
      </c>
      <c r="AB8" t="s">
        <v>213</v>
      </c>
      <c r="AC8" t="s">
        <v>214</v>
      </c>
      <c r="AD8" t="s">
        <v>215</v>
      </c>
      <c r="AE8" t="s">
        <v>216</v>
      </c>
      <c r="AF8" t="s">
        <v>74</v>
      </c>
      <c r="AG8">
        <v>52</v>
      </c>
      <c r="AH8">
        <v>1</v>
      </c>
      <c r="AI8">
        <v>1</v>
      </c>
      <c r="AJ8">
        <v>9</v>
      </c>
      <c r="AK8">
        <v>9</v>
      </c>
      <c r="AL8" t="s">
        <v>119</v>
      </c>
      <c r="AM8" t="s">
        <v>120</v>
      </c>
      <c r="AN8" t="s">
        <v>121</v>
      </c>
      <c r="AO8" t="s">
        <v>122</v>
      </c>
      <c r="AP8" t="s">
        <v>123</v>
      </c>
      <c r="AQ8" t="s">
        <v>74</v>
      </c>
      <c r="AR8" t="s">
        <v>124</v>
      </c>
      <c r="AS8" t="s">
        <v>125</v>
      </c>
      <c r="AT8" t="s">
        <v>126</v>
      </c>
      <c r="AU8">
        <v>2023</v>
      </c>
      <c r="AV8">
        <v>55</v>
      </c>
      <c r="AW8">
        <v>1</v>
      </c>
      <c r="AX8" t="s">
        <v>74</v>
      </c>
      <c r="AY8" t="s">
        <v>74</v>
      </c>
      <c r="AZ8" t="s">
        <v>74</v>
      </c>
      <c r="BA8" t="s">
        <v>74</v>
      </c>
      <c r="BB8" t="s">
        <v>74</v>
      </c>
      <c r="BC8" t="s">
        <v>74</v>
      </c>
      <c r="BD8">
        <v>2269689</v>
      </c>
      <c r="BE8" t="s">
        <v>217</v>
      </c>
      <c r="BF8" t="str">
        <f>HYPERLINK("http://dx.doi.org/10.1080/15230430.2023.2269689","http://dx.doi.org/10.1080/15230430.2023.2269689")</f>
        <v>http://dx.doi.org/10.1080/15230430.2023.2269689</v>
      </c>
      <c r="BG8" t="s">
        <v>74</v>
      </c>
      <c r="BH8" t="s">
        <v>74</v>
      </c>
      <c r="BI8">
        <v>16</v>
      </c>
      <c r="BJ8" t="s">
        <v>128</v>
      </c>
      <c r="BK8" t="s">
        <v>100</v>
      </c>
      <c r="BL8" t="s">
        <v>129</v>
      </c>
      <c r="BM8" t="s">
        <v>218</v>
      </c>
      <c r="BN8" t="s">
        <v>74</v>
      </c>
      <c r="BO8" t="s">
        <v>131</v>
      </c>
      <c r="BP8" t="s">
        <v>74</v>
      </c>
      <c r="BQ8" t="s">
        <v>74</v>
      </c>
      <c r="BR8" t="s">
        <v>104</v>
      </c>
      <c r="BS8" t="s">
        <v>219</v>
      </c>
      <c r="BT8" t="str">
        <f>HYPERLINK("https%3A%2F%2Fwww.webofscience.com%2Fwos%2Fwoscc%2Ffull-record%2FWOS:001104569800001","View Full Record in Web of Science")</f>
        <v>View Full Record in Web of Science</v>
      </c>
    </row>
    <row r="9" spans="1:72" x14ac:dyDescent="0.15">
      <c r="A9" t="s">
        <v>72</v>
      </c>
      <c r="B9" t="s">
        <v>220</v>
      </c>
      <c r="C9" t="s">
        <v>74</v>
      </c>
      <c r="D9" t="s">
        <v>74</v>
      </c>
      <c r="E9" t="s">
        <v>74</v>
      </c>
      <c r="F9" t="s">
        <v>221</v>
      </c>
      <c r="G9" t="s">
        <v>74</v>
      </c>
      <c r="H9" t="s">
        <v>74</v>
      </c>
      <c r="I9" t="s">
        <v>222</v>
      </c>
      <c r="J9" t="s">
        <v>109</v>
      </c>
      <c r="K9" t="s">
        <v>74</v>
      </c>
      <c r="L9" t="s">
        <v>74</v>
      </c>
      <c r="M9" t="s">
        <v>78</v>
      </c>
      <c r="N9" t="s">
        <v>79</v>
      </c>
      <c r="O9" t="s">
        <v>74</v>
      </c>
      <c r="P9" t="s">
        <v>74</v>
      </c>
      <c r="Q9" t="s">
        <v>74</v>
      </c>
      <c r="R9" t="s">
        <v>74</v>
      </c>
      <c r="S9" t="s">
        <v>74</v>
      </c>
      <c r="T9" t="s">
        <v>223</v>
      </c>
      <c r="U9" t="s">
        <v>224</v>
      </c>
      <c r="V9" t="s">
        <v>225</v>
      </c>
      <c r="W9" t="s">
        <v>226</v>
      </c>
      <c r="X9" t="s">
        <v>227</v>
      </c>
      <c r="Y9" t="s">
        <v>228</v>
      </c>
      <c r="Z9" t="s">
        <v>229</v>
      </c>
      <c r="AA9" t="s">
        <v>74</v>
      </c>
      <c r="AB9" t="s">
        <v>230</v>
      </c>
      <c r="AC9" t="s">
        <v>231</v>
      </c>
      <c r="AD9" t="s">
        <v>231</v>
      </c>
      <c r="AE9" t="s">
        <v>232</v>
      </c>
      <c r="AF9" t="s">
        <v>74</v>
      </c>
      <c r="AG9">
        <v>58</v>
      </c>
      <c r="AH9">
        <v>0</v>
      </c>
      <c r="AI9">
        <v>0</v>
      </c>
      <c r="AJ9">
        <v>6</v>
      </c>
      <c r="AK9">
        <v>6</v>
      </c>
      <c r="AL9" t="s">
        <v>119</v>
      </c>
      <c r="AM9" t="s">
        <v>120</v>
      </c>
      <c r="AN9" t="s">
        <v>121</v>
      </c>
      <c r="AO9" t="s">
        <v>122</v>
      </c>
      <c r="AP9" t="s">
        <v>123</v>
      </c>
      <c r="AQ9" t="s">
        <v>74</v>
      </c>
      <c r="AR9" t="s">
        <v>124</v>
      </c>
      <c r="AS9" t="s">
        <v>125</v>
      </c>
      <c r="AT9" t="s">
        <v>126</v>
      </c>
      <c r="AU9">
        <v>2023</v>
      </c>
      <c r="AV9">
        <v>55</v>
      </c>
      <c r="AW9">
        <v>1</v>
      </c>
      <c r="AX9" t="s">
        <v>74</v>
      </c>
      <c r="AY9" t="s">
        <v>74</v>
      </c>
      <c r="AZ9" t="s">
        <v>74</v>
      </c>
      <c r="BA9" t="s">
        <v>74</v>
      </c>
      <c r="BB9" t="s">
        <v>74</v>
      </c>
      <c r="BC9" t="s">
        <v>74</v>
      </c>
      <c r="BD9">
        <v>2274650</v>
      </c>
      <c r="BE9" t="s">
        <v>233</v>
      </c>
      <c r="BF9" t="str">
        <f>HYPERLINK("http://dx.doi.org/10.1080/15230430.2023.2274650","http://dx.doi.org/10.1080/15230430.2023.2274650")</f>
        <v>http://dx.doi.org/10.1080/15230430.2023.2274650</v>
      </c>
      <c r="BG9" t="s">
        <v>74</v>
      </c>
      <c r="BH9" t="s">
        <v>74</v>
      </c>
      <c r="BI9">
        <v>13</v>
      </c>
      <c r="BJ9" t="s">
        <v>128</v>
      </c>
      <c r="BK9" t="s">
        <v>100</v>
      </c>
      <c r="BL9" t="s">
        <v>129</v>
      </c>
      <c r="BM9" t="s">
        <v>234</v>
      </c>
      <c r="BN9" t="s">
        <v>74</v>
      </c>
      <c r="BO9" t="s">
        <v>131</v>
      </c>
      <c r="BP9" t="s">
        <v>74</v>
      </c>
      <c r="BQ9" t="s">
        <v>74</v>
      </c>
      <c r="BR9" t="s">
        <v>104</v>
      </c>
      <c r="BS9" t="s">
        <v>235</v>
      </c>
      <c r="BT9" t="str">
        <f>HYPERLINK("https%3A%2F%2Fwww.webofscience.com%2Fwos%2Fwoscc%2Ffull-record%2FWOS:001105759300001","View Full Record in Web of Science")</f>
        <v>View Full Record in Web of Science</v>
      </c>
    </row>
    <row r="10" spans="1:72" x14ac:dyDescent="0.15">
      <c r="A10" t="s">
        <v>72</v>
      </c>
      <c r="B10" t="s">
        <v>236</v>
      </c>
      <c r="C10" t="s">
        <v>74</v>
      </c>
      <c r="D10" t="s">
        <v>74</v>
      </c>
      <c r="E10" t="s">
        <v>74</v>
      </c>
      <c r="F10" t="s">
        <v>237</v>
      </c>
      <c r="G10" t="s">
        <v>74</v>
      </c>
      <c r="H10" t="s">
        <v>74</v>
      </c>
      <c r="I10" t="s">
        <v>238</v>
      </c>
      <c r="J10" t="s">
        <v>109</v>
      </c>
      <c r="K10" t="s">
        <v>74</v>
      </c>
      <c r="L10" t="s">
        <v>74</v>
      </c>
      <c r="M10" t="s">
        <v>78</v>
      </c>
      <c r="N10" t="s">
        <v>79</v>
      </c>
      <c r="O10" t="s">
        <v>74</v>
      </c>
      <c r="P10" t="s">
        <v>74</v>
      </c>
      <c r="Q10" t="s">
        <v>74</v>
      </c>
      <c r="R10" t="s">
        <v>74</v>
      </c>
      <c r="S10" t="s">
        <v>74</v>
      </c>
      <c r="T10" t="s">
        <v>239</v>
      </c>
      <c r="U10" t="s">
        <v>240</v>
      </c>
      <c r="V10" t="s">
        <v>241</v>
      </c>
      <c r="W10" t="s">
        <v>242</v>
      </c>
      <c r="X10" t="s">
        <v>243</v>
      </c>
      <c r="Y10" t="s">
        <v>244</v>
      </c>
      <c r="Z10" t="s">
        <v>245</v>
      </c>
      <c r="AA10" t="s">
        <v>74</v>
      </c>
      <c r="AB10" t="s">
        <v>74</v>
      </c>
      <c r="AC10" t="s">
        <v>246</v>
      </c>
      <c r="AD10" t="s">
        <v>246</v>
      </c>
      <c r="AE10" t="s">
        <v>246</v>
      </c>
      <c r="AF10" t="s">
        <v>74</v>
      </c>
      <c r="AG10">
        <v>53</v>
      </c>
      <c r="AH10">
        <v>0</v>
      </c>
      <c r="AI10">
        <v>0</v>
      </c>
      <c r="AJ10">
        <v>6</v>
      </c>
      <c r="AK10">
        <v>6</v>
      </c>
      <c r="AL10" t="s">
        <v>119</v>
      </c>
      <c r="AM10" t="s">
        <v>120</v>
      </c>
      <c r="AN10" t="s">
        <v>121</v>
      </c>
      <c r="AO10" t="s">
        <v>122</v>
      </c>
      <c r="AP10" t="s">
        <v>123</v>
      </c>
      <c r="AQ10" t="s">
        <v>74</v>
      </c>
      <c r="AR10" t="s">
        <v>124</v>
      </c>
      <c r="AS10" t="s">
        <v>125</v>
      </c>
      <c r="AT10" t="s">
        <v>126</v>
      </c>
      <c r="AU10">
        <v>2023</v>
      </c>
      <c r="AV10">
        <v>55</v>
      </c>
      <c r="AW10">
        <v>1</v>
      </c>
      <c r="AX10" t="s">
        <v>74</v>
      </c>
      <c r="AY10" t="s">
        <v>74</v>
      </c>
      <c r="AZ10" t="s">
        <v>74</v>
      </c>
      <c r="BA10" t="s">
        <v>74</v>
      </c>
      <c r="BB10" t="s">
        <v>74</v>
      </c>
      <c r="BC10" t="s">
        <v>74</v>
      </c>
      <c r="BD10">
        <v>2276578</v>
      </c>
      <c r="BE10" t="s">
        <v>247</v>
      </c>
      <c r="BF10" t="str">
        <f>HYPERLINK("http://dx.doi.org/10.1080/15230430.2023.2276578","http://dx.doi.org/10.1080/15230430.2023.2276578")</f>
        <v>http://dx.doi.org/10.1080/15230430.2023.2276578</v>
      </c>
      <c r="BG10" t="s">
        <v>74</v>
      </c>
      <c r="BH10" t="s">
        <v>74</v>
      </c>
      <c r="BI10">
        <v>13</v>
      </c>
      <c r="BJ10" t="s">
        <v>128</v>
      </c>
      <c r="BK10" t="s">
        <v>100</v>
      </c>
      <c r="BL10" t="s">
        <v>129</v>
      </c>
      <c r="BM10" t="s">
        <v>248</v>
      </c>
      <c r="BN10" t="s">
        <v>74</v>
      </c>
      <c r="BO10" t="s">
        <v>131</v>
      </c>
      <c r="BP10" t="s">
        <v>74</v>
      </c>
      <c r="BQ10" t="s">
        <v>74</v>
      </c>
      <c r="BR10" t="s">
        <v>104</v>
      </c>
      <c r="BS10" t="s">
        <v>249</v>
      </c>
      <c r="BT10" t="str">
        <f>HYPERLINK("https%3A%2F%2Fwww.webofscience.com%2Fwos%2Fwoscc%2Ffull-record%2FWOS:001104004600001","View Full Record in Web of Science")</f>
        <v>View Full Record in Web of Science</v>
      </c>
    </row>
    <row r="11" spans="1:72" x14ac:dyDescent="0.15">
      <c r="A11" t="s">
        <v>72</v>
      </c>
      <c r="B11" t="s">
        <v>250</v>
      </c>
      <c r="C11" t="s">
        <v>74</v>
      </c>
      <c r="D11" t="s">
        <v>74</v>
      </c>
      <c r="E11" t="s">
        <v>74</v>
      </c>
      <c r="F11" t="s">
        <v>251</v>
      </c>
      <c r="G11" t="s">
        <v>74</v>
      </c>
      <c r="H11" t="s">
        <v>74</v>
      </c>
      <c r="I11" t="s">
        <v>252</v>
      </c>
      <c r="J11" t="s">
        <v>109</v>
      </c>
      <c r="K11" t="s">
        <v>74</v>
      </c>
      <c r="L11" t="s">
        <v>74</v>
      </c>
      <c r="M11" t="s">
        <v>78</v>
      </c>
      <c r="N11" t="s">
        <v>79</v>
      </c>
      <c r="O11" t="s">
        <v>74</v>
      </c>
      <c r="P11" t="s">
        <v>74</v>
      </c>
      <c r="Q11" t="s">
        <v>74</v>
      </c>
      <c r="R11" t="s">
        <v>74</v>
      </c>
      <c r="S11" t="s">
        <v>74</v>
      </c>
      <c r="T11" t="s">
        <v>253</v>
      </c>
      <c r="U11" t="s">
        <v>254</v>
      </c>
      <c r="V11" t="s">
        <v>255</v>
      </c>
      <c r="W11" t="s">
        <v>256</v>
      </c>
      <c r="X11" t="s">
        <v>257</v>
      </c>
      <c r="Y11" t="s">
        <v>258</v>
      </c>
      <c r="Z11" t="s">
        <v>259</v>
      </c>
      <c r="AA11" t="s">
        <v>260</v>
      </c>
      <c r="AB11" t="s">
        <v>261</v>
      </c>
      <c r="AC11" t="s">
        <v>262</v>
      </c>
      <c r="AD11" t="s">
        <v>262</v>
      </c>
      <c r="AE11" t="s">
        <v>262</v>
      </c>
      <c r="AF11" t="s">
        <v>74</v>
      </c>
      <c r="AG11">
        <v>69</v>
      </c>
      <c r="AH11">
        <v>0</v>
      </c>
      <c r="AI11">
        <v>0</v>
      </c>
      <c r="AJ11">
        <v>6</v>
      </c>
      <c r="AK11">
        <v>6</v>
      </c>
      <c r="AL11" t="s">
        <v>119</v>
      </c>
      <c r="AM11" t="s">
        <v>120</v>
      </c>
      <c r="AN11" t="s">
        <v>121</v>
      </c>
      <c r="AO11" t="s">
        <v>122</v>
      </c>
      <c r="AP11" t="s">
        <v>123</v>
      </c>
      <c r="AQ11" t="s">
        <v>74</v>
      </c>
      <c r="AR11" t="s">
        <v>124</v>
      </c>
      <c r="AS11" t="s">
        <v>125</v>
      </c>
      <c r="AT11" t="s">
        <v>126</v>
      </c>
      <c r="AU11">
        <v>2023</v>
      </c>
      <c r="AV11">
        <v>55</v>
      </c>
      <c r="AW11">
        <v>1</v>
      </c>
      <c r="AX11" t="s">
        <v>74</v>
      </c>
      <c r="AY11" t="s">
        <v>74</v>
      </c>
      <c r="AZ11" t="s">
        <v>74</v>
      </c>
      <c r="BA11" t="s">
        <v>74</v>
      </c>
      <c r="BB11" t="s">
        <v>74</v>
      </c>
      <c r="BC11" t="s">
        <v>74</v>
      </c>
      <c r="BD11">
        <v>2259677</v>
      </c>
      <c r="BE11" t="s">
        <v>263</v>
      </c>
      <c r="BF11" t="str">
        <f>HYPERLINK("http://dx.doi.org/10.1080/15230430.2023.2259677","http://dx.doi.org/10.1080/15230430.2023.2259677")</f>
        <v>http://dx.doi.org/10.1080/15230430.2023.2259677</v>
      </c>
      <c r="BG11" t="s">
        <v>74</v>
      </c>
      <c r="BH11" t="s">
        <v>74</v>
      </c>
      <c r="BI11">
        <v>18</v>
      </c>
      <c r="BJ11" t="s">
        <v>128</v>
      </c>
      <c r="BK11" t="s">
        <v>100</v>
      </c>
      <c r="BL11" t="s">
        <v>129</v>
      </c>
      <c r="BM11" t="s">
        <v>264</v>
      </c>
      <c r="BN11" t="s">
        <v>74</v>
      </c>
      <c r="BO11" t="s">
        <v>265</v>
      </c>
      <c r="BP11" t="s">
        <v>74</v>
      </c>
      <c r="BQ11" t="s">
        <v>74</v>
      </c>
      <c r="BR11" t="s">
        <v>104</v>
      </c>
      <c r="BS11" t="s">
        <v>266</v>
      </c>
      <c r="BT11" t="str">
        <f>HYPERLINK("https%3A%2F%2Fwww.webofscience.com%2Fwos%2Fwoscc%2Ffull-record%2FWOS:001085677300001","View Full Record in Web of Science")</f>
        <v>View Full Record in Web of Science</v>
      </c>
    </row>
    <row r="12" spans="1:72" x14ac:dyDescent="0.15">
      <c r="A12" t="s">
        <v>72</v>
      </c>
      <c r="B12" t="s">
        <v>267</v>
      </c>
      <c r="C12" t="s">
        <v>74</v>
      </c>
      <c r="D12" t="s">
        <v>74</v>
      </c>
      <c r="E12" t="s">
        <v>74</v>
      </c>
      <c r="F12" t="s">
        <v>268</v>
      </c>
      <c r="G12" t="s">
        <v>74</v>
      </c>
      <c r="H12" t="s">
        <v>74</v>
      </c>
      <c r="I12" t="s">
        <v>269</v>
      </c>
      <c r="J12" t="s">
        <v>109</v>
      </c>
      <c r="K12" t="s">
        <v>74</v>
      </c>
      <c r="L12" t="s">
        <v>74</v>
      </c>
      <c r="M12" t="s">
        <v>78</v>
      </c>
      <c r="N12" t="s">
        <v>79</v>
      </c>
      <c r="O12" t="s">
        <v>74</v>
      </c>
      <c r="P12" t="s">
        <v>74</v>
      </c>
      <c r="Q12" t="s">
        <v>74</v>
      </c>
      <c r="R12" t="s">
        <v>74</v>
      </c>
      <c r="S12" t="s">
        <v>74</v>
      </c>
      <c r="T12" t="s">
        <v>270</v>
      </c>
      <c r="U12" t="s">
        <v>271</v>
      </c>
      <c r="V12" t="s">
        <v>272</v>
      </c>
      <c r="W12" t="s">
        <v>273</v>
      </c>
      <c r="X12" t="s">
        <v>274</v>
      </c>
      <c r="Y12" t="s">
        <v>275</v>
      </c>
      <c r="Z12" t="s">
        <v>276</v>
      </c>
      <c r="AA12" t="s">
        <v>277</v>
      </c>
      <c r="AB12" t="s">
        <v>278</v>
      </c>
      <c r="AC12" t="s">
        <v>279</v>
      </c>
      <c r="AD12" t="s">
        <v>279</v>
      </c>
      <c r="AE12" t="s">
        <v>280</v>
      </c>
      <c r="AF12" t="s">
        <v>74</v>
      </c>
      <c r="AG12">
        <v>89</v>
      </c>
      <c r="AH12">
        <v>0</v>
      </c>
      <c r="AI12">
        <v>0</v>
      </c>
      <c r="AJ12">
        <v>12</v>
      </c>
      <c r="AK12">
        <v>12</v>
      </c>
      <c r="AL12" t="s">
        <v>119</v>
      </c>
      <c r="AM12" t="s">
        <v>120</v>
      </c>
      <c r="AN12" t="s">
        <v>121</v>
      </c>
      <c r="AO12" t="s">
        <v>122</v>
      </c>
      <c r="AP12" t="s">
        <v>123</v>
      </c>
      <c r="AQ12" t="s">
        <v>74</v>
      </c>
      <c r="AR12" t="s">
        <v>124</v>
      </c>
      <c r="AS12" t="s">
        <v>125</v>
      </c>
      <c r="AT12" t="s">
        <v>126</v>
      </c>
      <c r="AU12">
        <v>2023</v>
      </c>
      <c r="AV12">
        <v>55</v>
      </c>
      <c r="AW12">
        <v>1</v>
      </c>
      <c r="AX12" t="s">
        <v>74</v>
      </c>
      <c r="AY12" t="s">
        <v>74</v>
      </c>
      <c r="AZ12" t="s">
        <v>74</v>
      </c>
      <c r="BA12" t="s">
        <v>74</v>
      </c>
      <c r="BB12" t="s">
        <v>74</v>
      </c>
      <c r="BC12" t="s">
        <v>74</v>
      </c>
      <c r="BD12">
        <v>2203478</v>
      </c>
      <c r="BE12" t="s">
        <v>281</v>
      </c>
      <c r="BF12" t="str">
        <f>HYPERLINK("http://dx.doi.org/10.1080/15230430.2023.2203478","http://dx.doi.org/10.1080/15230430.2023.2203478")</f>
        <v>http://dx.doi.org/10.1080/15230430.2023.2203478</v>
      </c>
      <c r="BG12" t="s">
        <v>74</v>
      </c>
      <c r="BH12" t="s">
        <v>74</v>
      </c>
      <c r="BI12">
        <v>16</v>
      </c>
      <c r="BJ12" t="s">
        <v>128</v>
      </c>
      <c r="BK12" t="s">
        <v>100</v>
      </c>
      <c r="BL12" t="s">
        <v>129</v>
      </c>
      <c r="BM12" t="s">
        <v>282</v>
      </c>
      <c r="BN12" t="s">
        <v>74</v>
      </c>
      <c r="BO12" t="s">
        <v>200</v>
      </c>
      <c r="BP12" t="s">
        <v>74</v>
      </c>
      <c r="BQ12" t="s">
        <v>74</v>
      </c>
      <c r="BR12" t="s">
        <v>104</v>
      </c>
      <c r="BS12" t="s">
        <v>283</v>
      </c>
      <c r="BT12" t="str">
        <f>HYPERLINK("https%3A%2F%2Fwww.webofscience.com%2Fwos%2Fwoscc%2Ffull-record%2FWOS:000985983300001","View Full Record in Web of Science")</f>
        <v>View Full Record in Web of Science</v>
      </c>
    </row>
    <row r="13" spans="1:72" x14ac:dyDescent="0.15">
      <c r="A13" t="s">
        <v>72</v>
      </c>
      <c r="B13" t="s">
        <v>284</v>
      </c>
      <c r="C13" t="s">
        <v>74</v>
      </c>
      <c r="D13" t="s">
        <v>74</v>
      </c>
      <c r="E13" t="s">
        <v>74</v>
      </c>
      <c r="F13" t="s">
        <v>285</v>
      </c>
      <c r="G13" t="s">
        <v>74</v>
      </c>
      <c r="H13" t="s">
        <v>74</v>
      </c>
      <c r="I13" t="s">
        <v>286</v>
      </c>
      <c r="J13" t="s">
        <v>109</v>
      </c>
      <c r="K13" t="s">
        <v>74</v>
      </c>
      <c r="L13" t="s">
        <v>74</v>
      </c>
      <c r="M13" t="s">
        <v>78</v>
      </c>
      <c r="N13" t="s">
        <v>79</v>
      </c>
      <c r="O13" t="s">
        <v>74</v>
      </c>
      <c r="P13" t="s">
        <v>74</v>
      </c>
      <c r="Q13" t="s">
        <v>74</v>
      </c>
      <c r="R13" t="s">
        <v>74</v>
      </c>
      <c r="S13" t="s">
        <v>74</v>
      </c>
      <c r="T13" t="s">
        <v>287</v>
      </c>
      <c r="U13" t="s">
        <v>288</v>
      </c>
      <c r="V13" t="s">
        <v>289</v>
      </c>
      <c r="W13" t="s">
        <v>290</v>
      </c>
      <c r="X13" t="s">
        <v>291</v>
      </c>
      <c r="Y13" t="s">
        <v>292</v>
      </c>
      <c r="Z13" t="s">
        <v>293</v>
      </c>
      <c r="AA13" t="s">
        <v>74</v>
      </c>
      <c r="AB13" t="s">
        <v>74</v>
      </c>
      <c r="AC13" t="s">
        <v>294</v>
      </c>
      <c r="AD13" t="s">
        <v>295</v>
      </c>
      <c r="AE13" t="s">
        <v>296</v>
      </c>
      <c r="AF13" t="s">
        <v>74</v>
      </c>
      <c r="AG13">
        <v>64</v>
      </c>
      <c r="AH13">
        <v>0</v>
      </c>
      <c r="AI13">
        <v>0</v>
      </c>
      <c r="AJ13">
        <v>10</v>
      </c>
      <c r="AK13">
        <v>10</v>
      </c>
      <c r="AL13" t="s">
        <v>119</v>
      </c>
      <c r="AM13" t="s">
        <v>120</v>
      </c>
      <c r="AN13" t="s">
        <v>121</v>
      </c>
      <c r="AO13" t="s">
        <v>122</v>
      </c>
      <c r="AP13" t="s">
        <v>123</v>
      </c>
      <c r="AQ13" t="s">
        <v>74</v>
      </c>
      <c r="AR13" t="s">
        <v>124</v>
      </c>
      <c r="AS13" t="s">
        <v>125</v>
      </c>
      <c r="AT13" t="s">
        <v>126</v>
      </c>
      <c r="AU13">
        <v>2023</v>
      </c>
      <c r="AV13">
        <v>55</v>
      </c>
      <c r="AW13">
        <v>1</v>
      </c>
      <c r="AX13" t="s">
        <v>74</v>
      </c>
      <c r="AY13" t="s">
        <v>74</v>
      </c>
      <c r="AZ13" t="s">
        <v>74</v>
      </c>
      <c r="BA13" t="s">
        <v>74</v>
      </c>
      <c r="BB13" t="s">
        <v>74</v>
      </c>
      <c r="BC13" t="s">
        <v>74</v>
      </c>
      <c r="BD13">
        <v>2250035</v>
      </c>
      <c r="BE13" t="s">
        <v>297</v>
      </c>
      <c r="BF13" t="str">
        <f>HYPERLINK("http://dx.doi.org/10.1080/15230430.2023.2250035","http://dx.doi.org/10.1080/15230430.2023.2250035")</f>
        <v>http://dx.doi.org/10.1080/15230430.2023.2250035</v>
      </c>
      <c r="BG13" t="s">
        <v>74</v>
      </c>
      <c r="BH13" t="s">
        <v>74</v>
      </c>
      <c r="BI13">
        <v>17</v>
      </c>
      <c r="BJ13" t="s">
        <v>128</v>
      </c>
      <c r="BK13" t="s">
        <v>100</v>
      </c>
      <c r="BL13" t="s">
        <v>129</v>
      </c>
      <c r="BM13" t="s">
        <v>298</v>
      </c>
      <c r="BN13" t="s">
        <v>74</v>
      </c>
      <c r="BO13" t="s">
        <v>131</v>
      </c>
      <c r="BP13" t="s">
        <v>74</v>
      </c>
      <c r="BQ13" t="s">
        <v>74</v>
      </c>
      <c r="BR13" t="s">
        <v>104</v>
      </c>
      <c r="BS13" t="s">
        <v>299</v>
      </c>
      <c r="BT13" t="str">
        <f>HYPERLINK("https%3A%2F%2Fwww.webofscience.com%2Fwos%2Fwoscc%2Ffull-record%2FWOS:001076508100001","View Full Record in Web of Science")</f>
        <v>View Full Record in Web of Science</v>
      </c>
    </row>
    <row r="14" spans="1:72" x14ac:dyDescent="0.15">
      <c r="A14" t="s">
        <v>72</v>
      </c>
      <c r="B14" t="s">
        <v>300</v>
      </c>
      <c r="C14" t="s">
        <v>74</v>
      </c>
      <c r="D14" t="s">
        <v>74</v>
      </c>
      <c r="E14" t="s">
        <v>74</v>
      </c>
      <c r="F14" t="s">
        <v>301</v>
      </c>
      <c r="G14" t="s">
        <v>74</v>
      </c>
      <c r="H14" t="s">
        <v>74</v>
      </c>
      <c r="I14" t="s">
        <v>302</v>
      </c>
      <c r="J14" t="s">
        <v>303</v>
      </c>
      <c r="K14" t="s">
        <v>74</v>
      </c>
      <c r="L14" t="s">
        <v>74</v>
      </c>
      <c r="M14" t="s">
        <v>78</v>
      </c>
      <c r="N14" t="s">
        <v>79</v>
      </c>
      <c r="O14" t="s">
        <v>74</v>
      </c>
      <c r="P14" t="s">
        <v>74</v>
      </c>
      <c r="Q14" t="s">
        <v>74</v>
      </c>
      <c r="R14" t="s">
        <v>74</v>
      </c>
      <c r="S14" t="s">
        <v>74</v>
      </c>
      <c r="T14" t="s">
        <v>304</v>
      </c>
      <c r="U14" t="s">
        <v>305</v>
      </c>
      <c r="V14" t="s">
        <v>306</v>
      </c>
      <c r="W14" t="s">
        <v>307</v>
      </c>
      <c r="X14" t="s">
        <v>308</v>
      </c>
      <c r="Y14" t="s">
        <v>309</v>
      </c>
      <c r="Z14" t="s">
        <v>310</v>
      </c>
      <c r="AA14" t="s">
        <v>74</v>
      </c>
      <c r="AB14" t="s">
        <v>311</v>
      </c>
      <c r="AC14" t="s">
        <v>312</v>
      </c>
      <c r="AD14" t="s">
        <v>312</v>
      </c>
      <c r="AE14" t="s">
        <v>313</v>
      </c>
      <c r="AF14" t="s">
        <v>74</v>
      </c>
      <c r="AG14">
        <v>55</v>
      </c>
      <c r="AH14">
        <v>0</v>
      </c>
      <c r="AI14">
        <v>0</v>
      </c>
      <c r="AJ14">
        <v>9</v>
      </c>
      <c r="AK14">
        <v>9</v>
      </c>
      <c r="AL14" t="s">
        <v>119</v>
      </c>
      <c r="AM14" t="s">
        <v>120</v>
      </c>
      <c r="AN14" t="s">
        <v>121</v>
      </c>
      <c r="AO14" t="s">
        <v>314</v>
      </c>
      <c r="AP14" t="s">
        <v>315</v>
      </c>
      <c r="AQ14" t="s">
        <v>74</v>
      </c>
      <c r="AR14" t="s">
        <v>316</v>
      </c>
      <c r="AS14" t="s">
        <v>317</v>
      </c>
      <c r="AT14" t="s">
        <v>126</v>
      </c>
      <c r="AU14">
        <v>2023</v>
      </c>
      <c r="AV14">
        <v>21</v>
      </c>
      <c r="AW14">
        <v>1</v>
      </c>
      <c r="AX14" t="s">
        <v>74</v>
      </c>
      <c r="AY14" t="s">
        <v>74</v>
      </c>
      <c r="AZ14" t="s">
        <v>74</v>
      </c>
      <c r="BA14" t="s">
        <v>74</v>
      </c>
      <c r="BB14" t="s">
        <v>74</v>
      </c>
      <c r="BC14" t="s">
        <v>74</v>
      </c>
      <c r="BD14">
        <v>2246476</v>
      </c>
      <c r="BE14" t="s">
        <v>318</v>
      </c>
      <c r="BF14" t="str">
        <f>HYPERLINK("http://dx.doi.org/10.1080/14772000.2023.2246476","http://dx.doi.org/10.1080/14772000.2023.2246476")</f>
        <v>http://dx.doi.org/10.1080/14772000.2023.2246476</v>
      </c>
      <c r="BG14" t="s">
        <v>74</v>
      </c>
      <c r="BH14" t="s">
        <v>74</v>
      </c>
      <c r="BI14">
        <v>19</v>
      </c>
      <c r="BJ14" t="s">
        <v>319</v>
      </c>
      <c r="BK14" t="s">
        <v>100</v>
      </c>
      <c r="BL14" t="s">
        <v>320</v>
      </c>
      <c r="BM14" t="s">
        <v>321</v>
      </c>
      <c r="BN14" t="s">
        <v>74</v>
      </c>
      <c r="BO14" t="s">
        <v>322</v>
      </c>
      <c r="BP14" t="s">
        <v>74</v>
      </c>
      <c r="BQ14" t="s">
        <v>74</v>
      </c>
      <c r="BR14" t="s">
        <v>104</v>
      </c>
      <c r="BS14" t="s">
        <v>323</v>
      </c>
      <c r="BT14" t="str">
        <f>HYPERLINK("https%3A%2F%2Fwww.webofscience.com%2Fwos%2Fwoscc%2Ffull-record%2FWOS:001065575400001","View Full Record in Web of Science")</f>
        <v>View Full Record in Web of Science</v>
      </c>
    </row>
    <row r="15" spans="1:72" x14ac:dyDescent="0.15">
      <c r="A15" t="s">
        <v>72</v>
      </c>
      <c r="B15" t="s">
        <v>324</v>
      </c>
      <c r="C15" t="s">
        <v>74</v>
      </c>
      <c r="D15" t="s">
        <v>74</v>
      </c>
      <c r="E15" t="s">
        <v>74</v>
      </c>
      <c r="F15" t="s">
        <v>325</v>
      </c>
      <c r="G15" t="s">
        <v>74</v>
      </c>
      <c r="H15" t="s">
        <v>74</v>
      </c>
      <c r="I15" t="s">
        <v>326</v>
      </c>
      <c r="J15" t="s">
        <v>109</v>
      </c>
      <c r="K15" t="s">
        <v>74</v>
      </c>
      <c r="L15" t="s">
        <v>74</v>
      </c>
      <c r="M15" t="s">
        <v>78</v>
      </c>
      <c r="N15" t="s">
        <v>327</v>
      </c>
      <c r="O15" t="s">
        <v>74</v>
      </c>
      <c r="P15" t="s">
        <v>74</v>
      </c>
      <c r="Q15" t="s">
        <v>74</v>
      </c>
      <c r="R15" t="s">
        <v>74</v>
      </c>
      <c r="S15" t="s">
        <v>74</v>
      </c>
      <c r="T15" t="s">
        <v>74</v>
      </c>
      <c r="U15" t="s">
        <v>74</v>
      </c>
      <c r="V15" t="s">
        <v>74</v>
      </c>
      <c r="W15" t="s">
        <v>328</v>
      </c>
      <c r="X15" t="s">
        <v>329</v>
      </c>
      <c r="Y15" t="s">
        <v>330</v>
      </c>
      <c r="Z15" t="s">
        <v>331</v>
      </c>
      <c r="AA15" t="s">
        <v>74</v>
      </c>
      <c r="AB15" t="s">
        <v>74</v>
      </c>
      <c r="AC15" t="s">
        <v>74</v>
      </c>
      <c r="AD15" t="s">
        <v>74</v>
      </c>
      <c r="AE15" t="s">
        <v>74</v>
      </c>
      <c r="AF15" t="s">
        <v>74</v>
      </c>
      <c r="AG15">
        <v>13</v>
      </c>
      <c r="AH15">
        <v>0</v>
      </c>
      <c r="AI15">
        <v>0</v>
      </c>
      <c r="AJ15">
        <v>0</v>
      </c>
      <c r="AK15">
        <v>0</v>
      </c>
      <c r="AL15" t="s">
        <v>119</v>
      </c>
      <c r="AM15" t="s">
        <v>120</v>
      </c>
      <c r="AN15" t="s">
        <v>121</v>
      </c>
      <c r="AO15" t="s">
        <v>122</v>
      </c>
      <c r="AP15" t="s">
        <v>123</v>
      </c>
      <c r="AQ15" t="s">
        <v>74</v>
      </c>
      <c r="AR15" t="s">
        <v>124</v>
      </c>
      <c r="AS15" t="s">
        <v>125</v>
      </c>
      <c r="AT15" t="s">
        <v>126</v>
      </c>
      <c r="AU15">
        <v>2023</v>
      </c>
      <c r="AV15">
        <v>55</v>
      </c>
      <c r="AW15">
        <v>1</v>
      </c>
      <c r="AX15" t="s">
        <v>74</v>
      </c>
      <c r="AY15" t="s">
        <v>74</v>
      </c>
      <c r="AZ15" t="s">
        <v>74</v>
      </c>
      <c r="BA15" t="s">
        <v>74</v>
      </c>
      <c r="BB15" t="s">
        <v>74</v>
      </c>
      <c r="BC15" t="s">
        <v>74</v>
      </c>
      <c r="BD15">
        <v>2248844</v>
      </c>
      <c r="BE15" t="s">
        <v>332</v>
      </c>
      <c r="BF15" t="str">
        <f>HYPERLINK("http://dx.doi.org/10.1080/15230430.2023.2248844","http://dx.doi.org/10.1080/15230430.2023.2248844")</f>
        <v>http://dx.doi.org/10.1080/15230430.2023.2248844</v>
      </c>
      <c r="BG15" t="s">
        <v>74</v>
      </c>
      <c r="BH15" t="s">
        <v>74</v>
      </c>
      <c r="BI15">
        <v>3</v>
      </c>
      <c r="BJ15" t="s">
        <v>128</v>
      </c>
      <c r="BK15" t="s">
        <v>100</v>
      </c>
      <c r="BL15" t="s">
        <v>129</v>
      </c>
      <c r="BM15" t="s">
        <v>333</v>
      </c>
      <c r="BN15" t="s">
        <v>74</v>
      </c>
      <c r="BO15" t="s">
        <v>131</v>
      </c>
      <c r="BP15" t="s">
        <v>74</v>
      </c>
      <c r="BQ15" t="s">
        <v>74</v>
      </c>
      <c r="BR15" t="s">
        <v>104</v>
      </c>
      <c r="BS15" t="s">
        <v>334</v>
      </c>
      <c r="BT15" t="str">
        <f>HYPERLINK("https%3A%2F%2Fwww.webofscience.com%2Fwos%2Fwoscc%2Ffull-record%2FWOS:001063064600001","View Full Record in Web of Science")</f>
        <v>View Full Record in Web of Science</v>
      </c>
    </row>
    <row r="16" spans="1:72" x14ac:dyDescent="0.15">
      <c r="A16" t="s">
        <v>72</v>
      </c>
      <c r="B16" t="s">
        <v>335</v>
      </c>
      <c r="C16" t="s">
        <v>74</v>
      </c>
      <c r="D16" t="s">
        <v>74</v>
      </c>
      <c r="E16" t="s">
        <v>74</v>
      </c>
      <c r="F16" t="s">
        <v>336</v>
      </c>
      <c r="G16" t="s">
        <v>74</v>
      </c>
      <c r="H16" t="s">
        <v>74</v>
      </c>
      <c r="I16" t="s">
        <v>337</v>
      </c>
      <c r="J16" t="s">
        <v>109</v>
      </c>
      <c r="K16" t="s">
        <v>74</v>
      </c>
      <c r="L16" t="s">
        <v>74</v>
      </c>
      <c r="M16" t="s">
        <v>78</v>
      </c>
      <c r="N16" t="s">
        <v>79</v>
      </c>
      <c r="O16" t="s">
        <v>74</v>
      </c>
      <c r="P16" t="s">
        <v>74</v>
      </c>
      <c r="Q16" t="s">
        <v>74</v>
      </c>
      <c r="R16" t="s">
        <v>74</v>
      </c>
      <c r="S16" t="s">
        <v>74</v>
      </c>
      <c r="T16" t="s">
        <v>338</v>
      </c>
      <c r="U16" t="s">
        <v>339</v>
      </c>
      <c r="V16" t="s">
        <v>340</v>
      </c>
      <c r="W16" t="s">
        <v>341</v>
      </c>
      <c r="X16" t="s">
        <v>342</v>
      </c>
      <c r="Y16" t="s">
        <v>343</v>
      </c>
      <c r="Z16" t="s">
        <v>344</v>
      </c>
      <c r="AA16" t="s">
        <v>74</v>
      </c>
      <c r="AB16" t="s">
        <v>74</v>
      </c>
      <c r="AC16" t="s">
        <v>345</v>
      </c>
      <c r="AD16" t="s">
        <v>345</v>
      </c>
      <c r="AE16" t="s">
        <v>346</v>
      </c>
      <c r="AF16" t="s">
        <v>74</v>
      </c>
      <c r="AG16">
        <v>104</v>
      </c>
      <c r="AH16">
        <v>0</v>
      </c>
      <c r="AI16">
        <v>0</v>
      </c>
      <c r="AJ16">
        <v>6</v>
      </c>
      <c r="AK16">
        <v>15</v>
      </c>
      <c r="AL16" t="s">
        <v>119</v>
      </c>
      <c r="AM16" t="s">
        <v>120</v>
      </c>
      <c r="AN16" t="s">
        <v>121</v>
      </c>
      <c r="AO16" t="s">
        <v>122</v>
      </c>
      <c r="AP16" t="s">
        <v>123</v>
      </c>
      <c r="AQ16" t="s">
        <v>74</v>
      </c>
      <c r="AR16" t="s">
        <v>124</v>
      </c>
      <c r="AS16" t="s">
        <v>125</v>
      </c>
      <c r="AT16" t="s">
        <v>126</v>
      </c>
      <c r="AU16">
        <v>2023</v>
      </c>
      <c r="AV16">
        <v>55</v>
      </c>
      <c r="AW16">
        <v>1</v>
      </c>
      <c r="AX16" t="s">
        <v>74</v>
      </c>
      <c r="AY16" t="s">
        <v>74</v>
      </c>
      <c r="AZ16" t="s">
        <v>74</v>
      </c>
      <c r="BA16" t="s">
        <v>74</v>
      </c>
      <c r="BB16" t="s">
        <v>74</v>
      </c>
      <c r="BC16" t="s">
        <v>74</v>
      </c>
      <c r="BD16">
        <v>2243704</v>
      </c>
      <c r="BE16" t="s">
        <v>347</v>
      </c>
      <c r="BF16" t="str">
        <f>HYPERLINK("http://dx.doi.org/10.1080/15230430.2023.2243704","http://dx.doi.org/10.1080/15230430.2023.2243704")</f>
        <v>http://dx.doi.org/10.1080/15230430.2023.2243704</v>
      </c>
      <c r="BG16" t="s">
        <v>74</v>
      </c>
      <c r="BH16" t="s">
        <v>74</v>
      </c>
      <c r="BI16">
        <v>32</v>
      </c>
      <c r="BJ16" t="s">
        <v>128</v>
      </c>
      <c r="BK16" t="s">
        <v>100</v>
      </c>
      <c r="BL16" t="s">
        <v>129</v>
      </c>
      <c r="BM16" t="s">
        <v>348</v>
      </c>
      <c r="BN16" t="s">
        <v>74</v>
      </c>
      <c r="BO16" t="s">
        <v>349</v>
      </c>
      <c r="BP16" t="s">
        <v>74</v>
      </c>
      <c r="BQ16" t="s">
        <v>74</v>
      </c>
      <c r="BR16" t="s">
        <v>104</v>
      </c>
      <c r="BS16" t="s">
        <v>350</v>
      </c>
      <c r="BT16" t="str">
        <f>HYPERLINK("https%3A%2F%2Fwww.webofscience.com%2Fwos%2Fwoscc%2Ffull-record%2FWOS:001059539600001","View Full Record in Web of Science")</f>
        <v>View Full Record in Web of Science</v>
      </c>
    </row>
    <row r="17" spans="1:72" x14ac:dyDescent="0.15">
      <c r="A17" t="s">
        <v>72</v>
      </c>
      <c r="B17" t="s">
        <v>351</v>
      </c>
      <c r="C17" t="s">
        <v>74</v>
      </c>
      <c r="D17" t="s">
        <v>74</v>
      </c>
      <c r="E17" t="s">
        <v>74</v>
      </c>
      <c r="F17" t="s">
        <v>352</v>
      </c>
      <c r="G17" t="s">
        <v>74</v>
      </c>
      <c r="H17" t="s">
        <v>74</v>
      </c>
      <c r="I17" t="s">
        <v>353</v>
      </c>
      <c r="J17" t="s">
        <v>109</v>
      </c>
      <c r="K17" t="s">
        <v>74</v>
      </c>
      <c r="L17" t="s">
        <v>74</v>
      </c>
      <c r="M17" t="s">
        <v>78</v>
      </c>
      <c r="N17" t="s">
        <v>79</v>
      </c>
      <c r="O17" t="s">
        <v>74</v>
      </c>
      <c r="P17" t="s">
        <v>74</v>
      </c>
      <c r="Q17" t="s">
        <v>74</v>
      </c>
      <c r="R17" t="s">
        <v>74</v>
      </c>
      <c r="S17" t="s">
        <v>74</v>
      </c>
      <c r="T17" t="s">
        <v>354</v>
      </c>
      <c r="U17" t="s">
        <v>355</v>
      </c>
      <c r="V17" t="s">
        <v>356</v>
      </c>
      <c r="W17" t="s">
        <v>357</v>
      </c>
      <c r="X17" t="s">
        <v>358</v>
      </c>
      <c r="Y17" t="s">
        <v>359</v>
      </c>
      <c r="Z17" t="s">
        <v>360</v>
      </c>
      <c r="AA17" t="s">
        <v>74</v>
      </c>
      <c r="AB17" t="s">
        <v>361</v>
      </c>
      <c r="AC17" t="s">
        <v>362</v>
      </c>
      <c r="AD17" t="s">
        <v>362</v>
      </c>
      <c r="AE17" t="s">
        <v>363</v>
      </c>
      <c r="AF17" t="s">
        <v>74</v>
      </c>
      <c r="AG17">
        <v>49</v>
      </c>
      <c r="AH17">
        <v>1</v>
      </c>
      <c r="AI17">
        <v>1</v>
      </c>
      <c r="AJ17">
        <v>6</v>
      </c>
      <c r="AK17">
        <v>10</v>
      </c>
      <c r="AL17" t="s">
        <v>119</v>
      </c>
      <c r="AM17" t="s">
        <v>120</v>
      </c>
      <c r="AN17" t="s">
        <v>121</v>
      </c>
      <c r="AO17" t="s">
        <v>122</v>
      </c>
      <c r="AP17" t="s">
        <v>123</v>
      </c>
      <c r="AQ17" t="s">
        <v>74</v>
      </c>
      <c r="AR17" t="s">
        <v>124</v>
      </c>
      <c r="AS17" t="s">
        <v>125</v>
      </c>
      <c r="AT17" t="s">
        <v>126</v>
      </c>
      <c r="AU17">
        <v>2023</v>
      </c>
      <c r="AV17">
        <v>55</v>
      </c>
      <c r="AW17">
        <v>1</v>
      </c>
      <c r="AX17" t="s">
        <v>74</v>
      </c>
      <c r="AY17" t="s">
        <v>74</v>
      </c>
      <c r="AZ17" t="s">
        <v>74</v>
      </c>
      <c r="BA17" t="s">
        <v>74</v>
      </c>
      <c r="BB17" t="s">
        <v>74</v>
      </c>
      <c r="BC17" t="s">
        <v>74</v>
      </c>
      <c r="BD17">
        <v>2241279</v>
      </c>
      <c r="BE17" t="s">
        <v>364</v>
      </c>
      <c r="BF17" t="str">
        <f>HYPERLINK("http://dx.doi.org/10.1080/15230430.2023.2241279","http://dx.doi.org/10.1080/15230430.2023.2241279")</f>
        <v>http://dx.doi.org/10.1080/15230430.2023.2241279</v>
      </c>
      <c r="BG17" t="s">
        <v>74</v>
      </c>
      <c r="BH17" t="s">
        <v>74</v>
      </c>
      <c r="BI17">
        <v>18</v>
      </c>
      <c r="BJ17" t="s">
        <v>128</v>
      </c>
      <c r="BK17" t="s">
        <v>100</v>
      </c>
      <c r="BL17" t="s">
        <v>129</v>
      </c>
      <c r="BM17" t="s">
        <v>365</v>
      </c>
      <c r="BN17" t="s">
        <v>74</v>
      </c>
      <c r="BO17" t="s">
        <v>131</v>
      </c>
      <c r="BP17" t="s">
        <v>74</v>
      </c>
      <c r="BQ17" t="s">
        <v>74</v>
      </c>
      <c r="BR17" t="s">
        <v>104</v>
      </c>
      <c r="BS17" t="s">
        <v>366</v>
      </c>
      <c r="BT17" t="str">
        <f>HYPERLINK("https%3A%2F%2Fwww.webofscience.com%2Fwos%2Fwoscc%2Ffull-record%2FWOS:001054315100001","View Full Record in Web of Science")</f>
        <v>View Full Record in Web of Science</v>
      </c>
    </row>
    <row r="18" spans="1:72" x14ac:dyDescent="0.15">
      <c r="A18" t="s">
        <v>72</v>
      </c>
      <c r="B18" t="s">
        <v>367</v>
      </c>
      <c r="C18" t="s">
        <v>74</v>
      </c>
      <c r="D18" t="s">
        <v>74</v>
      </c>
      <c r="E18" t="s">
        <v>74</v>
      </c>
      <c r="F18" t="s">
        <v>368</v>
      </c>
      <c r="G18" t="s">
        <v>74</v>
      </c>
      <c r="H18" t="s">
        <v>74</v>
      </c>
      <c r="I18" t="s">
        <v>369</v>
      </c>
      <c r="J18" t="s">
        <v>370</v>
      </c>
      <c r="K18" t="s">
        <v>74</v>
      </c>
      <c r="L18" t="s">
        <v>74</v>
      </c>
      <c r="M18" t="s">
        <v>78</v>
      </c>
      <c r="N18" t="s">
        <v>79</v>
      </c>
      <c r="O18" t="s">
        <v>74</v>
      </c>
      <c r="P18" t="s">
        <v>74</v>
      </c>
      <c r="Q18" t="s">
        <v>74</v>
      </c>
      <c r="R18" t="s">
        <v>74</v>
      </c>
      <c r="S18" t="s">
        <v>74</v>
      </c>
      <c r="T18" t="s">
        <v>371</v>
      </c>
      <c r="U18" t="s">
        <v>372</v>
      </c>
      <c r="V18" t="s">
        <v>373</v>
      </c>
      <c r="W18" t="s">
        <v>374</v>
      </c>
      <c r="X18" t="s">
        <v>375</v>
      </c>
      <c r="Y18" t="s">
        <v>376</v>
      </c>
      <c r="Z18" t="s">
        <v>377</v>
      </c>
      <c r="AA18" t="s">
        <v>378</v>
      </c>
      <c r="AB18" t="s">
        <v>379</v>
      </c>
      <c r="AC18" t="s">
        <v>380</v>
      </c>
      <c r="AD18" t="s">
        <v>380</v>
      </c>
      <c r="AE18" t="s">
        <v>380</v>
      </c>
      <c r="AF18" t="s">
        <v>74</v>
      </c>
      <c r="AG18">
        <v>71</v>
      </c>
      <c r="AH18">
        <v>0</v>
      </c>
      <c r="AI18">
        <v>0</v>
      </c>
      <c r="AJ18">
        <v>10</v>
      </c>
      <c r="AK18">
        <v>17</v>
      </c>
      <c r="AL18" t="s">
        <v>119</v>
      </c>
      <c r="AM18" t="s">
        <v>120</v>
      </c>
      <c r="AN18" t="s">
        <v>121</v>
      </c>
      <c r="AO18" t="s">
        <v>381</v>
      </c>
      <c r="AP18" t="s">
        <v>382</v>
      </c>
      <c r="AQ18" t="s">
        <v>74</v>
      </c>
      <c r="AR18" t="s">
        <v>383</v>
      </c>
      <c r="AS18" t="s">
        <v>384</v>
      </c>
      <c r="AT18" t="s">
        <v>126</v>
      </c>
      <c r="AU18">
        <v>2023</v>
      </c>
      <c r="AV18">
        <v>16</v>
      </c>
      <c r="AW18">
        <v>1</v>
      </c>
      <c r="AX18" t="s">
        <v>74</v>
      </c>
      <c r="AY18" t="s">
        <v>74</v>
      </c>
      <c r="AZ18" t="s">
        <v>74</v>
      </c>
      <c r="BA18" t="s">
        <v>74</v>
      </c>
      <c r="BB18">
        <v>3295</v>
      </c>
      <c r="BC18">
        <v>3320</v>
      </c>
      <c r="BD18" t="s">
        <v>74</v>
      </c>
      <c r="BE18" t="s">
        <v>385</v>
      </c>
      <c r="BF18" t="str">
        <f>HYPERLINK("http://dx.doi.org/10.1080/17538947.2023.2246436","http://dx.doi.org/10.1080/17538947.2023.2246436")</f>
        <v>http://dx.doi.org/10.1080/17538947.2023.2246436</v>
      </c>
      <c r="BG18" t="s">
        <v>74</v>
      </c>
      <c r="BH18" t="s">
        <v>74</v>
      </c>
      <c r="BI18">
        <v>26</v>
      </c>
      <c r="BJ18" t="s">
        <v>386</v>
      </c>
      <c r="BK18" t="s">
        <v>100</v>
      </c>
      <c r="BL18" t="s">
        <v>387</v>
      </c>
      <c r="BM18" t="s">
        <v>388</v>
      </c>
      <c r="BN18" t="s">
        <v>74</v>
      </c>
      <c r="BO18" t="s">
        <v>131</v>
      </c>
      <c r="BP18" t="s">
        <v>74</v>
      </c>
      <c r="BQ18" t="s">
        <v>74</v>
      </c>
      <c r="BR18" t="s">
        <v>104</v>
      </c>
      <c r="BS18" t="s">
        <v>389</v>
      </c>
      <c r="BT18" t="str">
        <f>HYPERLINK("https%3A%2F%2Fwww.webofscience.com%2Fwos%2Fwoscc%2Ffull-record%2FWOS:001053292900001","View Full Record in Web of Science")</f>
        <v>View Full Record in Web of Science</v>
      </c>
    </row>
    <row r="19" spans="1:72" x14ac:dyDescent="0.15">
      <c r="A19" t="s">
        <v>72</v>
      </c>
      <c r="B19" t="s">
        <v>390</v>
      </c>
      <c r="C19" t="s">
        <v>74</v>
      </c>
      <c r="D19" t="s">
        <v>74</v>
      </c>
      <c r="E19" t="s">
        <v>74</v>
      </c>
      <c r="F19" t="s">
        <v>391</v>
      </c>
      <c r="G19" t="s">
        <v>74</v>
      </c>
      <c r="H19" t="s">
        <v>74</v>
      </c>
      <c r="I19" t="s">
        <v>392</v>
      </c>
      <c r="J19" t="s">
        <v>370</v>
      </c>
      <c r="K19" t="s">
        <v>74</v>
      </c>
      <c r="L19" t="s">
        <v>74</v>
      </c>
      <c r="M19" t="s">
        <v>78</v>
      </c>
      <c r="N19" t="s">
        <v>79</v>
      </c>
      <c r="O19" t="s">
        <v>74</v>
      </c>
      <c r="P19" t="s">
        <v>74</v>
      </c>
      <c r="Q19" t="s">
        <v>74</v>
      </c>
      <c r="R19" t="s">
        <v>74</v>
      </c>
      <c r="S19" t="s">
        <v>74</v>
      </c>
      <c r="T19" t="s">
        <v>393</v>
      </c>
      <c r="U19" t="s">
        <v>394</v>
      </c>
      <c r="V19" t="s">
        <v>395</v>
      </c>
      <c r="W19" t="s">
        <v>396</v>
      </c>
      <c r="X19" t="s">
        <v>397</v>
      </c>
      <c r="Y19" t="s">
        <v>398</v>
      </c>
      <c r="Z19" t="s">
        <v>399</v>
      </c>
      <c r="AA19" t="s">
        <v>74</v>
      </c>
      <c r="AB19" t="s">
        <v>400</v>
      </c>
      <c r="AC19" t="s">
        <v>401</v>
      </c>
      <c r="AD19" t="s">
        <v>402</v>
      </c>
      <c r="AE19" t="s">
        <v>403</v>
      </c>
      <c r="AF19" t="s">
        <v>74</v>
      </c>
      <c r="AG19">
        <v>43</v>
      </c>
      <c r="AH19">
        <v>0</v>
      </c>
      <c r="AI19">
        <v>0</v>
      </c>
      <c r="AJ19">
        <v>8</v>
      </c>
      <c r="AK19">
        <v>10</v>
      </c>
      <c r="AL19" t="s">
        <v>119</v>
      </c>
      <c r="AM19" t="s">
        <v>120</v>
      </c>
      <c r="AN19" t="s">
        <v>121</v>
      </c>
      <c r="AO19" t="s">
        <v>381</v>
      </c>
      <c r="AP19" t="s">
        <v>382</v>
      </c>
      <c r="AQ19" t="s">
        <v>74</v>
      </c>
      <c r="AR19" t="s">
        <v>383</v>
      </c>
      <c r="AS19" t="s">
        <v>384</v>
      </c>
      <c r="AT19" t="s">
        <v>126</v>
      </c>
      <c r="AU19">
        <v>2023</v>
      </c>
      <c r="AV19">
        <v>16</v>
      </c>
      <c r="AW19">
        <v>1</v>
      </c>
      <c r="AX19" t="s">
        <v>74</v>
      </c>
      <c r="AY19" t="s">
        <v>74</v>
      </c>
      <c r="AZ19" t="s">
        <v>74</v>
      </c>
      <c r="BA19" t="s">
        <v>74</v>
      </c>
      <c r="BB19">
        <v>3085</v>
      </c>
      <c r="BC19">
        <v>3104</v>
      </c>
      <c r="BD19" t="s">
        <v>74</v>
      </c>
      <c r="BE19" t="s">
        <v>404</v>
      </c>
      <c r="BF19" t="str">
        <f>HYPERLINK("http://dx.doi.org/10.1080/17538947.2023.2242326","http://dx.doi.org/10.1080/17538947.2023.2242326")</f>
        <v>http://dx.doi.org/10.1080/17538947.2023.2242326</v>
      </c>
      <c r="BG19" t="s">
        <v>74</v>
      </c>
      <c r="BH19" t="s">
        <v>74</v>
      </c>
      <c r="BI19">
        <v>20</v>
      </c>
      <c r="BJ19" t="s">
        <v>386</v>
      </c>
      <c r="BK19" t="s">
        <v>100</v>
      </c>
      <c r="BL19" t="s">
        <v>387</v>
      </c>
      <c r="BM19" t="s">
        <v>405</v>
      </c>
      <c r="BN19" t="s">
        <v>74</v>
      </c>
      <c r="BO19" t="s">
        <v>131</v>
      </c>
      <c r="BP19" t="s">
        <v>74</v>
      </c>
      <c r="BQ19" t="s">
        <v>74</v>
      </c>
      <c r="BR19" t="s">
        <v>104</v>
      </c>
      <c r="BS19" t="s">
        <v>406</v>
      </c>
      <c r="BT19" t="str">
        <f>HYPERLINK("https%3A%2F%2Fwww.webofscience.com%2Fwos%2Fwoscc%2Ffull-record%2FWOS:001046522100001","View Full Record in Web of Science")</f>
        <v>View Full Record in Web of Science</v>
      </c>
    </row>
    <row r="20" spans="1:72" x14ac:dyDescent="0.15">
      <c r="A20" t="s">
        <v>72</v>
      </c>
      <c r="B20" t="s">
        <v>407</v>
      </c>
      <c r="C20" t="s">
        <v>74</v>
      </c>
      <c r="D20" t="s">
        <v>74</v>
      </c>
      <c r="E20" t="s">
        <v>74</v>
      </c>
      <c r="F20" t="s">
        <v>408</v>
      </c>
      <c r="G20" t="s">
        <v>74</v>
      </c>
      <c r="H20" t="s">
        <v>74</v>
      </c>
      <c r="I20" t="s">
        <v>409</v>
      </c>
      <c r="J20" t="s">
        <v>109</v>
      </c>
      <c r="K20" t="s">
        <v>74</v>
      </c>
      <c r="L20" t="s">
        <v>74</v>
      </c>
      <c r="M20" t="s">
        <v>78</v>
      </c>
      <c r="N20" t="s">
        <v>79</v>
      </c>
      <c r="O20" t="s">
        <v>74</v>
      </c>
      <c r="P20" t="s">
        <v>74</v>
      </c>
      <c r="Q20" t="s">
        <v>74</v>
      </c>
      <c r="R20" t="s">
        <v>74</v>
      </c>
      <c r="S20" t="s">
        <v>74</v>
      </c>
      <c r="T20" t="s">
        <v>410</v>
      </c>
      <c r="U20" t="s">
        <v>411</v>
      </c>
      <c r="V20" t="s">
        <v>412</v>
      </c>
      <c r="W20" t="s">
        <v>413</v>
      </c>
      <c r="X20" t="s">
        <v>414</v>
      </c>
      <c r="Y20" t="s">
        <v>415</v>
      </c>
      <c r="Z20" t="s">
        <v>416</v>
      </c>
      <c r="AA20" t="s">
        <v>74</v>
      </c>
      <c r="AB20" t="s">
        <v>417</v>
      </c>
      <c r="AC20" t="s">
        <v>74</v>
      </c>
      <c r="AD20" t="s">
        <v>74</v>
      </c>
      <c r="AE20" t="s">
        <v>74</v>
      </c>
      <c r="AF20" t="s">
        <v>74</v>
      </c>
      <c r="AG20">
        <v>69</v>
      </c>
      <c r="AH20">
        <v>0</v>
      </c>
      <c r="AI20">
        <v>0</v>
      </c>
      <c r="AJ20">
        <v>4</v>
      </c>
      <c r="AK20">
        <v>9</v>
      </c>
      <c r="AL20" t="s">
        <v>119</v>
      </c>
      <c r="AM20" t="s">
        <v>120</v>
      </c>
      <c r="AN20" t="s">
        <v>121</v>
      </c>
      <c r="AO20" t="s">
        <v>122</v>
      </c>
      <c r="AP20" t="s">
        <v>123</v>
      </c>
      <c r="AQ20" t="s">
        <v>74</v>
      </c>
      <c r="AR20" t="s">
        <v>124</v>
      </c>
      <c r="AS20" t="s">
        <v>125</v>
      </c>
      <c r="AT20" t="s">
        <v>126</v>
      </c>
      <c r="AU20">
        <v>2023</v>
      </c>
      <c r="AV20">
        <v>55</v>
      </c>
      <c r="AW20">
        <v>1</v>
      </c>
      <c r="AX20" t="s">
        <v>74</v>
      </c>
      <c r="AY20" t="s">
        <v>74</v>
      </c>
      <c r="AZ20" t="s">
        <v>74</v>
      </c>
      <c r="BA20" t="s">
        <v>74</v>
      </c>
      <c r="BB20" t="s">
        <v>74</v>
      </c>
      <c r="BC20" t="s">
        <v>74</v>
      </c>
      <c r="BD20">
        <v>2223403</v>
      </c>
      <c r="BE20" t="s">
        <v>418</v>
      </c>
      <c r="BF20" t="str">
        <f>HYPERLINK("http://dx.doi.org/10.1080/15230430.2023.2223403","http://dx.doi.org/10.1080/15230430.2023.2223403")</f>
        <v>http://dx.doi.org/10.1080/15230430.2023.2223403</v>
      </c>
      <c r="BG20" t="s">
        <v>74</v>
      </c>
      <c r="BH20" t="s">
        <v>74</v>
      </c>
      <c r="BI20">
        <v>22</v>
      </c>
      <c r="BJ20" t="s">
        <v>128</v>
      </c>
      <c r="BK20" t="s">
        <v>100</v>
      </c>
      <c r="BL20" t="s">
        <v>129</v>
      </c>
      <c r="BM20" t="s">
        <v>419</v>
      </c>
      <c r="BN20" t="s">
        <v>74</v>
      </c>
      <c r="BO20" t="s">
        <v>200</v>
      </c>
      <c r="BP20" t="s">
        <v>74</v>
      </c>
      <c r="BQ20" t="s">
        <v>74</v>
      </c>
      <c r="BR20" t="s">
        <v>104</v>
      </c>
      <c r="BS20" t="s">
        <v>420</v>
      </c>
      <c r="BT20" t="str">
        <f>HYPERLINK("https%3A%2F%2Fwww.webofscience.com%2Fwos%2Fwoscc%2Ffull-record%2FWOS:001023820400001","View Full Record in Web of Science")</f>
        <v>View Full Record in Web of Science</v>
      </c>
    </row>
    <row r="21" spans="1:72" x14ac:dyDescent="0.15">
      <c r="A21" t="s">
        <v>72</v>
      </c>
      <c r="B21" t="s">
        <v>421</v>
      </c>
      <c r="C21" t="s">
        <v>74</v>
      </c>
      <c r="D21" t="s">
        <v>74</v>
      </c>
      <c r="E21" t="s">
        <v>74</v>
      </c>
      <c r="F21" t="s">
        <v>422</v>
      </c>
      <c r="G21" t="s">
        <v>74</v>
      </c>
      <c r="H21" t="s">
        <v>74</v>
      </c>
      <c r="I21" t="s">
        <v>423</v>
      </c>
      <c r="J21" t="s">
        <v>109</v>
      </c>
      <c r="K21" t="s">
        <v>74</v>
      </c>
      <c r="L21" t="s">
        <v>74</v>
      </c>
      <c r="M21" t="s">
        <v>78</v>
      </c>
      <c r="N21" t="s">
        <v>79</v>
      </c>
      <c r="O21" t="s">
        <v>74</v>
      </c>
      <c r="P21" t="s">
        <v>74</v>
      </c>
      <c r="Q21" t="s">
        <v>74</v>
      </c>
      <c r="R21" t="s">
        <v>74</v>
      </c>
      <c r="S21" t="s">
        <v>74</v>
      </c>
      <c r="T21" t="s">
        <v>424</v>
      </c>
      <c r="U21" t="s">
        <v>425</v>
      </c>
      <c r="V21" t="s">
        <v>426</v>
      </c>
      <c r="W21" t="s">
        <v>427</v>
      </c>
      <c r="X21" t="s">
        <v>428</v>
      </c>
      <c r="Y21" t="s">
        <v>429</v>
      </c>
      <c r="Z21" t="s">
        <v>430</v>
      </c>
      <c r="AA21" t="s">
        <v>431</v>
      </c>
      <c r="AB21" t="s">
        <v>74</v>
      </c>
      <c r="AC21" t="s">
        <v>432</v>
      </c>
      <c r="AD21" t="s">
        <v>432</v>
      </c>
      <c r="AE21" t="s">
        <v>433</v>
      </c>
      <c r="AF21" t="s">
        <v>74</v>
      </c>
      <c r="AG21">
        <v>91</v>
      </c>
      <c r="AH21">
        <v>0</v>
      </c>
      <c r="AI21">
        <v>0</v>
      </c>
      <c r="AJ21">
        <v>5</v>
      </c>
      <c r="AK21">
        <v>8</v>
      </c>
      <c r="AL21" t="s">
        <v>119</v>
      </c>
      <c r="AM21" t="s">
        <v>120</v>
      </c>
      <c r="AN21" t="s">
        <v>121</v>
      </c>
      <c r="AO21" t="s">
        <v>122</v>
      </c>
      <c r="AP21" t="s">
        <v>123</v>
      </c>
      <c r="AQ21" t="s">
        <v>74</v>
      </c>
      <c r="AR21" t="s">
        <v>124</v>
      </c>
      <c r="AS21" t="s">
        <v>125</v>
      </c>
      <c r="AT21" t="s">
        <v>126</v>
      </c>
      <c r="AU21">
        <v>2023</v>
      </c>
      <c r="AV21">
        <v>55</v>
      </c>
      <c r="AW21">
        <v>1</v>
      </c>
      <c r="AX21" t="s">
        <v>74</v>
      </c>
      <c r="AY21" t="s">
        <v>74</v>
      </c>
      <c r="AZ21" t="s">
        <v>74</v>
      </c>
      <c r="BA21" t="s">
        <v>74</v>
      </c>
      <c r="BB21" t="s">
        <v>74</v>
      </c>
      <c r="BC21" t="s">
        <v>74</v>
      </c>
      <c r="BD21">
        <v>2222034</v>
      </c>
      <c r="BE21" t="s">
        <v>434</v>
      </c>
      <c r="BF21" t="str">
        <f>HYPERLINK("http://dx.doi.org/10.1080/15230430.2023.2222034","http://dx.doi.org/10.1080/15230430.2023.2222034")</f>
        <v>http://dx.doi.org/10.1080/15230430.2023.2222034</v>
      </c>
      <c r="BG21" t="s">
        <v>74</v>
      </c>
      <c r="BH21" t="s">
        <v>74</v>
      </c>
      <c r="BI21">
        <v>19</v>
      </c>
      <c r="BJ21" t="s">
        <v>128</v>
      </c>
      <c r="BK21" t="s">
        <v>100</v>
      </c>
      <c r="BL21" t="s">
        <v>129</v>
      </c>
      <c r="BM21" t="s">
        <v>435</v>
      </c>
      <c r="BN21" t="s">
        <v>74</v>
      </c>
      <c r="BO21" t="s">
        <v>131</v>
      </c>
      <c r="BP21" t="s">
        <v>74</v>
      </c>
      <c r="BQ21" t="s">
        <v>74</v>
      </c>
      <c r="BR21" t="s">
        <v>104</v>
      </c>
      <c r="BS21" t="s">
        <v>436</v>
      </c>
      <c r="BT21" t="str">
        <f>HYPERLINK("https%3A%2F%2Fwww.webofscience.com%2Fwos%2Fwoscc%2Ffull-record%2FWOS:001030385100001","View Full Record in Web of Science")</f>
        <v>View Full Record in Web of Science</v>
      </c>
    </row>
    <row r="22" spans="1:72" x14ac:dyDescent="0.15">
      <c r="A22" t="s">
        <v>72</v>
      </c>
      <c r="B22" t="s">
        <v>437</v>
      </c>
      <c r="C22" t="s">
        <v>74</v>
      </c>
      <c r="D22" t="s">
        <v>74</v>
      </c>
      <c r="E22" t="s">
        <v>74</v>
      </c>
      <c r="F22" t="s">
        <v>438</v>
      </c>
      <c r="G22" t="s">
        <v>74</v>
      </c>
      <c r="H22" t="s">
        <v>74</v>
      </c>
      <c r="I22" t="s">
        <v>439</v>
      </c>
      <c r="J22" t="s">
        <v>440</v>
      </c>
      <c r="K22" t="s">
        <v>74</v>
      </c>
      <c r="L22" t="s">
        <v>74</v>
      </c>
      <c r="M22" t="s">
        <v>78</v>
      </c>
      <c r="N22" t="s">
        <v>441</v>
      </c>
      <c r="O22" t="s">
        <v>74</v>
      </c>
      <c r="P22" t="s">
        <v>74</v>
      </c>
      <c r="Q22" t="s">
        <v>74</v>
      </c>
      <c r="R22" t="s">
        <v>74</v>
      </c>
      <c r="S22" t="s">
        <v>74</v>
      </c>
      <c r="T22" t="s">
        <v>442</v>
      </c>
      <c r="U22" t="s">
        <v>74</v>
      </c>
      <c r="V22" t="s">
        <v>443</v>
      </c>
      <c r="W22" t="s">
        <v>444</v>
      </c>
      <c r="X22" t="s">
        <v>445</v>
      </c>
      <c r="Y22" t="s">
        <v>446</v>
      </c>
      <c r="Z22" t="s">
        <v>447</v>
      </c>
      <c r="AA22" t="s">
        <v>448</v>
      </c>
      <c r="AB22" t="s">
        <v>449</v>
      </c>
      <c r="AC22" t="s">
        <v>74</v>
      </c>
      <c r="AD22" t="s">
        <v>74</v>
      </c>
      <c r="AE22" t="s">
        <v>74</v>
      </c>
      <c r="AF22" t="s">
        <v>74</v>
      </c>
      <c r="AG22">
        <v>49</v>
      </c>
      <c r="AH22">
        <v>0</v>
      </c>
      <c r="AI22">
        <v>0</v>
      </c>
      <c r="AJ22">
        <v>4</v>
      </c>
      <c r="AK22">
        <v>4</v>
      </c>
      <c r="AL22" t="s">
        <v>119</v>
      </c>
      <c r="AM22" t="s">
        <v>120</v>
      </c>
      <c r="AN22" t="s">
        <v>121</v>
      </c>
      <c r="AO22" t="s">
        <v>450</v>
      </c>
      <c r="AP22" t="s">
        <v>451</v>
      </c>
      <c r="AQ22" t="s">
        <v>74</v>
      </c>
      <c r="AR22" t="s">
        <v>452</v>
      </c>
      <c r="AS22" t="s">
        <v>453</v>
      </c>
      <c r="AT22" t="s">
        <v>126</v>
      </c>
      <c r="AU22">
        <v>2023</v>
      </c>
      <c r="AV22">
        <v>82</v>
      </c>
      <c r="AW22">
        <v>1</v>
      </c>
      <c r="AX22" t="s">
        <v>74</v>
      </c>
      <c r="AY22" t="s">
        <v>74</v>
      </c>
      <c r="AZ22" t="s">
        <v>74</v>
      </c>
      <c r="BA22" t="s">
        <v>74</v>
      </c>
      <c r="BB22" t="s">
        <v>74</v>
      </c>
      <c r="BC22" t="s">
        <v>74</v>
      </c>
      <c r="BD22">
        <v>2235736</v>
      </c>
      <c r="BE22" t="s">
        <v>454</v>
      </c>
      <c r="BF22" t="str">
        <f>HYPERLINK("http://dx.doi.org/10.1080/22423982.2023.2235736","http://dx.doi.org/10.1080/22423982.2023.2235736")</f>
        <v>http://dx.doi.org/10.1080/22423982.2023.2235736</v>
      </c>
      <c r="BG22" t="s">
        <v>74</v>
      </c>
      <c r="BH22" t="s">
        <v>74</v>
      </c>
      <c r="BI22">
        <v>12</v>
      </c>
      <c r="BJ22" t="s">
        <v>455</v>
      </c>
      <c r="BK22" t="s">
        <v>456</v>
      </c>
      <c r="BL22" t="s">
        <v>455</v>
      </c>
      <c r="BM22" t="s">
        <v>457</v>
      </c>
      <c r="BN22">
        <v>37476913</v>
      </c>
      <c r="BO22" t="s">
        <v>265</v>
      </c>
      <c r="BP22" t="s">
        <v>74</v>
      </c>
      <c r="BQ22" t="s">
        <v>74</v>
      </c>
      <c r="BR22" t="s">
        <v>104</v>
      </c>
      <c r="BS22" t="s">
        <v>458</v>
      </c>
      <c r="BT22" t="str">
        <f>HYPERLINK("https%3A%2F%2Fwww.webofscience.com%2Fwos%2Fwoscc%2Ffull-record%2FWOS:001030305500001","View Full Record in Web of Science")</f>
        <v>View Full Record in Web of Science</v>
      </c>
    </row>
    <row r="23" spans="1:72" x14ac:dyDescent="0.15">
      <c r="A23" t="s">
        <v>72</v>
      </c>
      <c r="B23" t="s">
        <v>459</v>
      </c>
      <c r="C23" t="s">
        <v>74</v>
      </c>
      <c r="D23" t="s">
        <v>74</v>
      </c>
      <c r="E23" t="s">
        <v>74</v>
      </c>
      <c r="F23" t="s">
        <v>460</v>
      </c>
      <c r="G23" t="s">
        <v>74</v>
      </c>
      <c r="H23" t="s">
        <v>74</v>
      </c>
      <c r="I23" t="s">
        <v>461</v>
      </c>
      <c r="J23" t="s">
        <v>109</v>
      </c>
      <c r="K23" t="s">
        <v>74</v>
      </c>
      <c r="L23" t="s">
        <v>74</v>
      </c>
      <c r="M23" t="s">
        <v>78</v>
      </c>
      <c r="N23" t="s">
        <v>462</v>
      </c>
      <c r="O23" t="s">
        <v>74</v>
      </c>
      <c r="P23" t="s">
        <v>74</v>
      </c>
      <c r="Q23" t="s">
        <v>74</v>
      </c>
      <c r="R23" t="s">
        <v>74</v>
      </c>
      <c r="S23" t="s">
        <v>74</v>
      </c>
      <c r="T23" t="s">
        <v>74</v>
      </c>
      <c r="U23" t="s">
        <v>74</v>
      </c>
      <c r="V23" t="s">
        <v>74</v>
      </c>
      <c r="W23" t="s">
        <v>74</v>
      </c>
      <c r="X23" t="s">
        <v>74</v>
      </c>
      <c r="Y23" t="s">
        <v>74</v>
      </c>
      <c r="Z23" t="s">
        <v>74</v>
      </c>
      <c r="AA23" t="s">
        <v>463</v>
      </c>
      <c r="AB23" t="s">
        <v>464</v>
      </c>
      <c r="AC23" t="s">
        <v>74</v>
      </c>
      <c r="AD23" t="s">
        <v>74</v>
      </c>
      <c r="AE23" t="s">
        <v>74</v>
      </c>
      <c r="AF23" t="s">
        <v>74</v>
      </c>
      <c r="AG23">
        <v>1</v>
      </c>
      <c r="AH23">
        <v>0</v>
      </c>
      <c r="AI23">
        <v>0</v>
      </c>
      <c r="AJ23">
        <v>1</v>
      </c>
      <c r="AK23">
        <v>3</v>
      </c>
      <c r="AL23" t="s">
        <v>119</v>
      </c>
      <c r="AM23" t="s">
        <v>120</v>
      </c>
      <c r="AN23" t="s">
        <v>121</v>
      </c>
      <c r="AO23" t="s">
        <v>122</v>
      </c>
      <c r="AP23" t="s">
        <v>123</v>
      </c>
      <c r="AQ23" t="s">
        <v>74</v>
      </c>
      <c r="AR23" t="s">
        <v>124</v>
      </c>
      <c r="AS23" t="s">
        <v>125</v>
      </c>
      <c r="AT23" t="s">
        <v>126</v>
      </c>
      <c r="AU23">
        <v>2023</v>
      </c>
      <c r="AV23">
        <v>55</v>
      </c>
      <c r="AW23">
        <v>1</v>
      </c>
      <c r="AX23" t="s">
        <v>74</v>
      </c>
      <c r="AY23" t="s">
        <v>74</v>
      </c>
      <c r="AZ23" t="s">
        <v>74</v>
      </c>
      <c r="BA23" t="s">
        <v>74</v>
      </c>
      <c r="BB23" t="s">
        <v>74</v>
      </c>
      <c r="BC23" t="s">
        <v>74</v>
      </c>
      <c r="BD23">
        <v>2230052</v>
      </c>
      <c r="BE23" t="s">
        <v>465</v>
      </c>
      <c r="BF23" t="str">
        <f>HYPERLINK("http://dx.doi.org/10.1080/15230430.2023.2230052","http://dx.doi.org/10.1080/15230430.2023.2230052")</f>
        <v>http://dx.doi.org/10.1080/15230430.2023.2230052</v>
      </c>
      <c r="BG23" t="s">
        <v>74</v>
      </c>
      <c r="BH23" t="s">
        <v>74</v>
      </c>
      <c r="BI23">
        <v>1</v>
      </c>
      <c r="BJ23" t="s">
        <v>128</v>
      </c>
      <c r="BK23" t="s">
        <v>100</v>
      </c>
      <c r="BL23" t="s">
        <v>129</v>
      </c>
      <c r="BM23" t="s">
        <v>466</v>
      </c>
      <c r="BN23" t="s">
        <v>74</v>
      </c>
      <c r="BO23" t="s">
        <v>131</v>
      </c>
      <c r="BP23" t="s">
        <v>74</v>
      </c>
      <c r="BQ23" t="s">
        <v>74</v>
      </c>
      <c r="BR23" t="s">
        <v>104</v>
      </c>
      <c r="BS23" t="s">
        <v>467</v>
      </c>
      <c r="BT23" t="str">
        <f>HYPERLINK("https%3A%2F%2Fwww.webofscience.com%2Fwos%2Fwoscc%2Ffull-record%2FWOS:001021191100001","View Full Record in Web of Science")</f>
        <v>View Full Record in Web of Science</v>
      </c>
    </row>
    <row r="24" spans="1:72" x14ac:dyDescent="0.15">
      <c r="A24" t="s">
        <v>72</v>
      </c>
      <c r="B24" t="s">
        <v>468</v>
      </c>
      <c r="C24" t="s">
        <v>74</v>
      </c>
      <c r="D24" t="s">
        <v>74</v>
      </c>
      <c r="E24" t="s">
        <v>74</v>
      </c>
      <c r="F24" t="s">
        <v>469</v>
      </c>
      <c r="G24" t="s">
        <v>74</v>
      </c>
      <c r="H24" t="s">
        <v>74</v>
      </c>
      <c r="I24" t="s">
        <v>470</v>
      </c>
      <c r="J24" t="s">
        <v>109</v>
      </c>
      <c r="K24" t="s">
        <v>74</v>
      </c>
      <c r="L24" t="s">
        <v>74</v>
      </c>
      <c r="M24" t="s">
        <v>78</v>
      </c>
      <c r="N24" t="s">
        <v>79</v>
      </c>
      <c r="O24" t="s">
        <v>74</v>
      </c>
      <c r="P24" t="s">
        <v>74</v>
      </c>
      <c r="Q24" t="s">
        <v>74</v>
      </c>
      <c r="R24" t="s">
        <v>74</v>
      </c>
      <c r="S24" t="s">
        <v>74</v>
      </c>
      <c r="T24" t="s">
        <v>471</v>
      </c>
      <c r="U24" t="s">
        <v>472</v>
      </c>
      <c r="V24" t="s">
        <v>473</v>
      </c>
      <c r="W24" t="s">
        <v>474</v>
      </c>
      <c r="X24" t="s">
        <v>475</v>
      </c>
      <c r="Y24" t="s">
        <v>476</v>
      </c>
      <c r="Z24" t="s">
        <v>477</v>
      </c>
      <c r="AA24" t="s">
        <v>478</v>
      </c>
      <c r="AB24" t="s">
        <v>479</v>
      </c>
      <c r="AC24" t="s">
        <v>74</v>
      </c>
      <c r="AD24" t="s">
        <v>74</v>
      </c>
      <c r="AE24" t="s">
        <v>74</v>
      </c>
      <c r="AF24" t="s">
        <v>74</v>
      </c>
      <c r="AG24">
        <v>72</v>
      </c>
      <c r="AH24">
        <v>1</v>
      </c>
      <c r="AI24">
        <v>1</v>
      </c>
      <c r="AJ24">
        <v>6</v>
      </c>
      <c r="AK24">
        <v>12</v>
      </c>
      <c r="AL24" t="s">
        <v>119</v>
      </c>
      <c r="AM24" t="s">
        <v>120</v>
      </c>
      <c r="AN24" t="s">
        <v>121</v>
      </c>
      <c r="AO24" t="s">
        <v>122</v>
      </c>
      <c r="AP24" t="s">
        <v>123</v>
      </c>
      <c r="AQ24" t="s">
        <v>74</v>
      </c>
      <c r="AR24" t="s">
        <v>124</v>
      </c>
      <c r="AS24" t="s">
        <v>125</v>
      </c>
      <c r="AT24" t="s">
        <v>126</v>
      </c>
      <c r="AU24">
        <v>2023</v>
      </c>
      <c r="AV24">
        <v>55</v>
      </c>
      <c r="AW24">
        <v>1</v>
      </c>
      <c r="AX24" t="s">
        <v>74</v>
      </c>
      <c r="AY24" t="s">
        <v>74</v>
      </c>
      <c r="AZ24" t="s">
        <v>74</v>
      </c>
      <c r="BA24" t="s">
        <v>74</v>
      </c>
      <c r="BB24" t="s">
        <v>74</v>
      </c>
      <c r="BC24" t="s">
        <v>74</v>
      </c>
      <c r="BD24">
        <v>2220208</v>
      </c>
      <c r="BE24" t="s">
        <v>480</v>
      </c>
      <c r="BF24" t="str">
        <f>HYPERLINK("http://dx.doi.org/10.1080/15230430.2023.2220208","http://dx.doi.org/10.1080/15230430.2023.2220208")</f>
        <v>http://dx.doi.org/10.1080/15230430.2023.2220208</v>
      </c>
      <c r="BG24" t="s">
        <v>74</v>
      </c>
      <c r="BH24" t="s">
        <v>74</v>
      </c>
      <c r="BI24">
        <v>20</v>
      </c>
      <c r="BJ24" t="s">
        <v>128</v>
      </c>
      <c r="BK24" t="s">
        <v>100</v>
      </c>
      <c r="BL24" t="s">
        <v>129</v>
      </c>
      <c r="BM24" t="s">
        <v>481</v>
      </c>
      <c r="BN24" t="s">
        <v>74</v>
      </c>
      <c r="BO24" t="s">
        <v>349</v>
      </c>
      <c r="BP24" t="s">
        <v>74</v>
      </c>
      <c r="BQ24" t="s">
        <v>74</v>
      </c>
      <c r="BR24" t="s">
        <v>104</v>
      </c>
      <c r="BS24" t="s">
        <v>482</v>
      </c>
      <c r="BT24" t="str">
        <f>HYPERLINK("https%3A%2F%2Fwww.webofscience.com%2Fwos%2Fwoscc%2Ffull-record%2FWOS:001020131900001","View Full Record in Web of Science")</f>
        <v>View Full Record in Web of Science</v>
      </c>
    </row>
    <row r="25" spans="1:72" x14ac:dyDescent="0.15">
      <c r="A25" t="s">
        <v>72</v>
      </c>
      <c r="B25" t="s">
        <v>483</v>
      </c>
      <c r="C25" t="s">
        <v>74</v>
      </c>
      <c r="D25" t="s">
        <v>74</v>
      </c>
      <c r="E25" t="s">
        <v>74</v>
      </c>
      <c r="F25" t="s">
        <v>484</v>
      </c>
      <c r="G25" t="s">
        <v>74</v>
      </c>
      <c r="H25" t="s">
        <v>74</v>
      </c>
      <c r="I25" t="s">
        <v>485</v>
      </c>
      <c r="J25" t="s">
        <v>440</v>
      </c>
      <c r="K25" t="s">
        <v>74</v>
      </c>
      <c r="L25" t="s">
        <v>74</v>
      </c>
      <c r="M25" t="s">
        <v>78</v>
      </c>
      <c r="N25" t="s">
        <v>441</v>
      </c>
      <c r="O25" t="s">
        <v>74</v>
      </c>
      <c r="P25" t="s">
        <v>74</v>
      </c>
      <c r="Q25" t="s">
        <v>74</v>
      </c>
      <c r="R25" t="s">
        <v>74</v>
      </c>
      <c r="S25" t="s">
        <v>74</v>
      </c>
      <c r="T25" t="s">
        <v>486</v>
      </c>
      <c r="U25" t="s">
        <v>487</v>
      </c>
      <c r="V25" t="s">
        <v>488</v>
      </c>
      <c r="W25" t="s">
        <v>489</v>
      </c>
      <c r="X25" t="s">
        <v>490</v>
      </c>
      <c r="Y25" t="s">
        <v>491</v>
      </c>
      <c r="Z25" t="s">
        <v>492</v>
      </c>
      <c r="AA25" t="s">
        <v>493</v>
      </c>
      <c r="AB25" t="s">
        <v>494</v>
      </c>
      <c r="AC25" t="s">
        <v>495</v>
      </c>
      <c r="AD25" t="s">
        <v>495</v>
      </c>
      <c r="AE25" t="s">
        <v>496</v>
      </c>
      <c r="AF25" t="s">
        <v>74</v>
      </c>
      <c r="AG25">
        <v>26</v>
      </c>
      <c r="AH25">
        <v>2</v>
      </c>
      <c r="AI25">
        <v>2</v>
      </c>
      <c r="AJ25">
        <v>1</v>
      </c>
      <c r="AK25">
        <v>2</v>
      </c>
      <c r="AL25" t="s">
        <v>119</v>
      </c>
      <c r="AM25" t="s">
        <v>120</v>
      </c>
      <c r="AN25" t="s">
        <v>121</v>
      </c>
      <c r="AO25" t="s">
        <v>450</v>
      </c>
      <c r="AP25" t="s">
        <v>451</v>
      </c>
      <c r="AQ25" t="s">
        <v>74</v>
      </c>
      <c r="AR25" t="s">
        <v>452</v>
      </c>
      <c r="AS25" t="s">
        <v>453</v>
      </c>
      <c r="AT25" t="s">
        <v>126</v>
      </c>
      <c r="AU25">
        <v>2023</v>
      </c>
      <c r="AV25">
        <v>82</v>
      </c>
      <c r="AW25">
        <v>1</v>
      </c>
      <c r="AX25" t="s">
        <v>74</v>
      </c>
      <c r="AY25" t="s">
        <v>74</v>
      </c>
      <c r="AZ25" t="s">
        <v>74</v>
      </c>
      <c r="BA25" t="s">
        <v>74</v>
      </c>
      <c r="BB25" t="s">
        <v>74</v>
      </c>
      <c r="BC25" t="s">
        <v>74</v>
      </c>
      <c r="BD25">
        <v>2230633</v>
      </c>
      <c r="BE25" t="s">
        <v>497</v>
      </c>
      <c r="BF25" t="str">
        <f>HYPERLINK("http://dx.doi.org/10.1080/22423982.2023.2230633","http://dx.doi.org/10.1080/22423982.2023.2230633")</f>
        <v>http://dx.doi.org/10.1080/22423982.2023.2230633</v>
      </c>
      <c r="BG25" t="s">
        <v>74</v>
      </c>
      <c r="BH25" t="s">
        <v>74</v>
      </c>
      <c r="BI25">
        <v>9</v>
      </c>
      <c r="BJ25" t="s">
        <v>455</v>
      </c>
      <c r="BK25" t="s">
        <v>456</v>
      </c>
      <c r="BL25" t="s">
        <v>455</v>
      </c>
      <c r="BM25" t="s">
        <v>498</v>
      </c>
      <c r="BN25">
        <v>37389990</v>
      </c>
      <c r="BO25" t="s">
        <v>265</v>
      </c>
      <c r="BP25" t="s">
        <v>74</v>
      </c>
      <c r="BQ25" t="s">
        <v>74</v>
      </c>
      <c r="BR25" t="s">
        <v>104</v>
      </c>
      <c r="BS25" t="s">
        <v>499</v>
      </c>
      <c r="BT25" t="str">
        <f>HYPERLINK("https%3A%2F%2Fwww.webofscience.com%2Fwos%2Fwoscc%2Ffull-record%2FWOS:001019181600001","View Full Record in Web of Science")</f>
        <v>View Full Record in Web of Science</v>
      </c>
    </row>
    <row r="26" spans="1:72" x14ac:dyDescent="0.15">
      <c r="A26" t="s">
        <v>72</v>
      </c>
      <c r="B26" t="s">
        <v>500</v>
      </c>
      <c r="C26" t="s">
        <v>74</v>
      </c>
      <c r="D26" t="s">
        <v>74</v>
      </c>
      <c r="E26" t="s">
        <v>74</v>
      </c>
      <c r="F26" t="s">
        <v>501</v>
      </c>
      <c r="G26" t="s">
        <v>74</v>
      </c>
      <c r="H26" t="s">
        <v>74</v>
      </c>
      <c r="I26" t="s">
        <v>502</v>
      </c>
      <c r="J26" t="s">
        <v>370</v>
      </c>
      <c r="K26" t="s">
        <v>74</v>
      </c>
      <c r="L26" t="s">
        <v>74</v>
      </c>
      <c r="M26" t="s">
        <v>78</v>
      </c>
      <c r="N26" t="s">
        <v>79</v>
      </c>
      <c r="O26" t="s">
        <v>74</v>
      </c>
      <c r="P26" t="s">
        <v>74</v>
      </c>
      <c r="Q26" t="s">
        <v>74</v>
      </c>
      <c r="R26" t="s">
        <v>74</v>
      </c>
      <c r="S26" t="s">
        <v>74</v>
      </c>
      <c r="T26" t="s">
        <v>503</v>
      </c>
      <c r="U26" t="s">
        <v>504</v>
      </c>
      <c r="V26" t="s">
        <v>505</v>
      </c>
      <c r="W26" t="s">
        <v>506</v>
      </c>
      <c r="X26" t="s">
        <v>507</v>
      </c>
      <c r="Y26" t="s">
        <v>508</v>
      </c>
      <c r="Z26" t="s">
        <v>509</v>
      </c>
      <c r="AA26" t="s">
        <v>74</v>
      </c>
      <c r="AB26" t="s">
        <v>74</v>
      </c>
      <c r="AC26" t="s">
        <v>510</v>
      </c>
      <c r="AD26" t="s">
        <v>511</v>
      </c>
      <c r="AE26" t="s">
        <v>512</v>
      </c>
      <c r="AF26" t="s">
        <v>74</v>
      </c>
      <c r="AG26">
        <v>50</v>
      </c>
      <c r="AH26">
        <v>0</v>
      </c>
      <c r="AI26">
        <v>0</v>
      </c>
      <c r="AJ26">
        <v>11</v>
      </c>
      <c r="AK26">
        <v>28</v>
      </c>
      <c r="AL26" t="s">
        <v>119</v>
      </c>
      <c r="AM26" t="s">
        <v>120</v>
      </c>
      <c r="AN26" t="s">
        <v>121</v>
      </c>
      <c r="AO26" t="s">
        <v>381</v>
      </c>
      <c r="AP26" t="s">
        <v>382</v>
      </c>
      <c r="AQ26" t="s">
        <v>74</v>
      </c>
      <c r="AR26" t="s">
        <v>383</v>
      </c>
      <c r="AS26" t="s">
        <v>384</v>
      </c>
      <c r="AT26" t="s">
        <v>126</v>
      </c>
      <c r="AU26">
        <v>2023</v>
      </c>
      <c r="AV26">
        <v>16</v>
      </c>
      <c r="AW26">
        <v>1</v>
      </c>
      <c r="AX26" t="s">
        <v>74</v>
      </c>
      <c r="AY26" t="s">
        <v>74</v>
      </c>
      <c r="AZ26" t="s">
        <v>74</v>
      </c>
      <c r="BA26" t="s">
        <v>74</v>
      </c>
      <c r="BB26">
        <v>2467</v>
      </c>
      <c r="BC26">
        <v>2486</v>
      </c>
      <c r="BD26" t="s">
        <v>74</v>
      </c>
      <c r="BE26" t="s">
        <v>513</v>
      </c>
      <c r="BF26" t="str">
        <f>HYPERLINK("http://dx.doi.org/10.1080/17538947.2023.2229785","http://dx.doi.org/10.1080/17538947.2023.2229785")</f>
        <v>http://dx.doi.org/10.1080/17538947.2023.2229785</v>
      </c>
      <c r="BG26" t="s">
        <v>74</v>
      </c>
      <c r="BH26" t="s">
        <v>74</v>
      </c>
      <c r="BI26">
        <v>20</v>
      </c>
      <c r="BJ26" t="s">
        <v>386</v>
      </c>
      <c r="BK26" t="s">
        <v>100</v>
      </c>
      <c r="BL26" t="s">
        <v>387</v>
      </c>
      <c r="BM26" t="s">
        <v>514</v>
      </c>
      <c r="BN26" t="s">
        <v>74</v>
      </c>
      <c r="BO26" t="s">
        <v>131</v>
      </c>
      <c r="BP26" t="s">
        <v>74</v>
      </c>
      <c r="BQ26" t="s">
        <v>74</v>
      </c>
      <c r="BR26" t="s">
        <v>104</v>
      </c>
      <c r="BS26" t="s">
        <v>515</v>
      </c>
      <c r="BT26" t="str">
        <f>HYPERLINK("https%3A%2F%2Fwww.webofscience.com%2Fwos%2Fwoscc%2Ffull-record%2FWOS:001018673700001","View Full Record in Web of Science")</f>
        <v>View Full Record in Web of Science</v>
      </c>
    </row>
    <row r="27" spans="1:72" x14ac:dyDescent="0.15">
      <c r="A27" t="s">
        <v>72</v>
      </c>
      <c r="B27" t="s">
        <v>516</v>
      </c>
      <c r="C27" t="s">
        <v>74</v>
      </c>
      <c r="D27" t="s">
        <v>74</v>
      </c>
      <c r="E27" t="s">
        <v>74</v>
      </c>
      <c r="F27" t="s">
        <v>517</v>
      </c>
      <c r="G27" t="s">
        <v>74</v>
      </c>
      <c r="H27" t="s">
        <v>74</v>
      </c>
      <c r="I27" t="s">
        <v>518</v>
      </c>
      <c r="J27" t="s">
        <v>519</v>
      </c>
      <c r="K27" t="s">
        <v>74</v>
      </c>
      <c r="L27" t="s">
        <v>74</v>
      </c>
      <c r="M27" t="s">
        <v>78</v>
      </c>
      <c r="N27" t="s">
        <v>79</v>
      </c>
      <c r="O27" t="s">
        <v>74</v>
      </c>
      <c r="P27" t="s">
        <v>74</v>
      </c>
      <c r="Q27" t="s">
        <v>74</v>
      </c>
      <c r="R27" t="s">
        <v>74</v>
      </c>
      <c r="S27" t="s">
        <v>74</v>
      </c>
      <c r="T27" t="s">
        <v>520</v>
      </c>
      <c r="U27" t="s">
        <v>521</v>
      </c>
      <c r="V27" t="s">
        <v>522</v>
      </c>
      <c r="W27" t="s">
        <v>523</v>
      </c>
      <c r="X27" t="s">
        <v>524</v>
      </c>
      <c r="Y27" t="s">
        <v>525</v>
      </c>
      <c r="Z27" t="s">
        <v>526</v>
      </c>
      <c r="AA27" t="s">
        <v>527</v>
      </c>
      <c r="AB27" t="s">
        <v>528</v>
      </c>
      <c r="AC27" t="s">
        <v>529</v>
      </c>
      <c r="AD27" t="s">
        <v>530</v>
      </c>
      <c r="AE27" t="s">
        <v>531</v>
      </c>
      <c r="AF27" t="s">
        <v>74</v>
      </c>
      <c r="AG27">
        <v>85</v>
      </c>
      <c r="AH27">
        <v>0</v>
      </c>
      <c r="AI27">
        <v>0</v>
      </c>
      <c r="AJ27">
        <v>25</v>
      </c>
      <c r="AK27">
        <v>43</v>
      </c>
      <c r="AL27" t="s">
        <v>119</v>
      </c>
      <c r="AM27" t="s">
        <v>120</v>
      </c>
      <c r="AN27" t="s">
        <v>121</v>
      </c>
      <c r="AO27" t="s">
        <v>74</v>
      </c>
      <c r="AP27" t="s">
        <v>532</v>
      </c>
      <c r="AQ27" t="s">
        <v>74</v>
      </c>
      <c r="AR27" t="s">
        <v>519</v>
      </c>
      <c r="AS27" t="s">
        <v>533</v>
      </c>
      <c r="AT27" t="s">
        <v>126</v>
      </c>
      <c r="AU27">
        <v>2023</v>
      </c>
      <c r="AV27">
        <v>35</v>
      </c>
      <c r="AW27">
        <v>1</v>
      </c>
      <c r="AX27" t="s">
        <v>74</v>
      </c>
      <c r="AY27" t="s">
        <v>74</v>
      </c>
      <c r="AZ27" t="s">
        <v>74</v>
      </c>
      <c r="BA27" t="s">
        <v>74</v>
      </c>
      <c r="BB27">
        <v>168</v>
      </c>
      <c r="BC27">
        <v>182</v>
      </c>
      <c r="BD27" t="s">
        <v>74</v>
      </c>
      <c r="BE27" t="s">
        <v>534</v>
      </c>
      <c r="BF27" t="str">
        <f>HYPERLINK("http://dx.doi.org/10.1080/27669645.2023.2227488","http://dx.doi.org/10.1080/27669645.2023.2227488")</f>
        <v>http://dx.doi.org/10.1080/27669645.2023.2227488</v>
      </c>
      <c r="BG27" t="s">
        <v>74</v>
      </c>
      <c r="BH27" t="s">
        <v>74</v>
      </c>
      <c r="BI27">
        <v>15</v>
      </c>
      <c r="BJ27" t="s">
        <v>535</v>
      </c>
      <c r="BK27" t="s">
        <v>100</v>
      </c>
      <c r="BL27" t="s">
        <v>536</v>
      </c>
      <c r="BM27" t="s">
        <v>537</v>
      </c>
      <c r="BN27" t="s">
        <v>74</v>
      </c>
      <c r="BO27" t="s">
        <v>131</v>
      </c>
      <c r="BP27" t="s">
        <v>74</v>
      </c>
      <c r="BQ27" t="s">
        <v>74</v>
      </c>
      <c r="BR27" t="s">
        <v>104</v>
      </c>
      <c r="BS27" t="s">
        <v>538</v>
      </c>
      <c r="BT27" t="str">
        <f>HYPERLINK("https%3A%2F%2Fwww.webofscience.com%2Fwos%2Fwoscc%2Ffull-record%2FWOS:001016345700001","View Full Record in Web of Science")</f>
        <v>View Full Record in Web of Science</v>
      </c>
    </row>
    <row r="28" spans="1:72" x14ac:dyDescent="0.15">
      <c r="A28" t="s">
        <v>72</v>
      </c>
      <c r="B28" t="s">
        <v>539</v>
      </c>
      <c r="C28" t="s">
        <v>74</v>
      </c>
      <c r="D28" t="s">
        <v>74</v>
      </c>
      <c r="E28" t="s">
        <v>74</v>
      </c>
      <c r="F28" t="s">
        <v>540</v>
      </c>
      <c r="G28" t="s">
        <v>74</v>
      </c>
      <c r="H28" t="s">
        <v>74</v>
      </c>
      <c r="I28" t="s">
        <v>541</v>
      </c>
      <c r="J28" t="s">
        <v>109</v>
      </c>
      <c r="K28" t="s">
        <v>74</v>
      </c>
      <c r="L28" t="s">
        <v>74</v>
      </c>
      <c r="M28" t="s">
        <v>78</v>
      </c>
      <c r="N28" t="s">
        <v>79</v>
      </c>
      <c r="O28" t="s">
        <v>74</v>
      </c>
      <c r="P28" t="s">
        <v>74</v>
      </c>
      <c r="Q28" t="s">
        <v>74</v>
      </c>
      <c r="R28" t="s">
        <v>74</v>
      </c>
      <c r="S28" t="s">
        <v>74</v>
      </c>
      <c r="T28" t="s">
        <v>542</v>
      </c>
      <c r="U28" t="s">
        <v>543</v>
      </c>
      <c r="V28" t="s">
        <v>544</v>
      </c>
      <c r="W28" t="s">
        <v>545</v>
      </c>
      <c r="X28" t="s">
        <v>74</v>
      </c>
      <c r="Y28" t="s">
        <v>546</v>
      </c>
      <c r="Z28" t="s">
        <v>547</v>
      </c>
      <c r="AA28" t="s">
        <v>74</v>
      </c>
      <c r="AB28" t="s">
        <v>548</v>
      </c>
      <c r="AC28" t="s">
        <v>74</v>
      </c>
      <c r="AD28" t="s">
        <v>74</v>
      </c>
      <c r="AE28" t="s">
        <v>74</v>
      </c>
      <c r="AF28" t="s">
        <v>74</v>
      </c>
      <c r="AG28">
        <v>68</v>
      </c>
      <c r="AH28">
        <v>0</v>
      </c>
      <c r="AI28">
        <v>0</v>
      </c>
      <c r="AJ28">
        <v>53</v>
      </c>
      <c r="AK28">
        <v>95</v>
      </c>
      <c r="AL28" t="s">
        <v>119</v>
      </c>
      <c r="AM28" t="s">
        <v>120</v>
      </c>
      <c r="AN28" t="s">
        <v>121</v>
      </c>
      <c r="AO28" t="s">
        <v>122</v>
      </c>
      <c r="AP28" t="s">
        <v>123</v>
      </c>
      <c r="AQ28" t="s">
        <v>74</v>
      </c>
      <c r="AR28" t="s">
        <v>124</v>
      </c>
      <c r="AS28" t="s">
        <v>125</v>
      </c>
      <c r="AT28" t="s">
        <v>126</v>
      </c>
      <c r="AU28">
        <v>2023</v>
      </c>
      <c r="AV28">
        <v>55</v>
      </c>
      <c r="AW28">
        <v>1</v>
      </c>
      <c r="AX28" t="s">
        <v>74</v>
      </c>
      <c r="AY28" t="s">
        <v>74</v>
      </c>
      <c r="AZ28" t="s">
        <v>74</v>
      </c>
      <c r="BA28" t="s">
        <v>74</v>
      </c>
      <c r="BB28" t="s">
        <v>74</v>
      </c>
      <c r="BC28" t="s">
        <v>74</v>
      </c>
      <c r="BD28">
        <v>2209397</v>
      </c>
      <c r="BE28" t="s">
        <v>549</v>
      </c>
      <c r="BF28" t="str">
        <f>HYPERLINK("http://dx.doi.org/10.1080/15230430.2023.2209397","http://dx.doi.org/10.1080/15230430.2023.2209397")</f>
        <v>http://dx.doi.org/10.1080/15230430.2023.2209397</v>
      </c>
      <c r="BG28" t="s">
        <v>74</v>
      </c>
      <c r="BH28" t="s">
        <v>74</v>
      </c>
      <c r="BI28">
        <v>13</v>
      </c>
      <c r="BJ28" t="s">
        <v>128</v>
      </c>
      <c r="BK28" t="s">
        <v>100</v>
      </c>
      <c r="BL28" t="s">
        <v>129</v>
      </c>
      <c r="BM28" t="s">
        <v>550</v>
      </c>
      <c r="BN28" t="s">
        <v>74</v>
      </c>
      <c r="BO28" t="s">
        <v>131</v>
      </c>
      <c r="BP28" t="s">
        <v>74</v>
      </c>
      <c r="BQ28" t="s">
        <v>74</v>
      </c>
      <c r="BR28" t="s">
        <v>104</v>
      </c>
      <c r="BS28" t="s">
        <v>551</v>
      </c>
      <c r="BT28" t="str">
        <f>HYPERLINK("https%3A%2F%2Fwww.webofscience.com%2Fwos%2Fwoscc%2Ffull-record%2FWOS:000993269900001","View Full Record in Web of Science")</f>
        <v>View Full Record in Web of Science</v>
      </c>
    </row>
    <row r="29" spans="1:72" x14ac:dyDescent="0.15">
      <c r="A29" t="s">
        <v>72</v>
      </c>
      <c r="B29" t="s">
        <v>552</v>
      </c>
      <c r="C29" t="s">
        <v>74</v>
      </c>
      <c r="D29" t="s">
        <v>74</v>
      </c>
      <c r="E29" t="s">
        <v>74</v>
      </c>
      <c r="F29" t="s">
        <v>553</v>
      </c>
      <c r="G29" t="s">
        <v>74</v>
      </c>
      <c r="H29" t="s">
        <v>74</v>
      </c>
      <c r="I29" t="s">
        <v>554</v>
      </c>
      <c r="J29" t="s">
        <v>109</v>
      </c>
      <c r="K29" t="s">
        <v>74</v>
      </c>
      <c r="L29" t="s">
        <v>74</v>
      </c>
      <c r="M29" t="s">
        <v>78</v>
      </c>
      <c r="N29" t="s">
        <v>79</v>
      </c>
      <c r="O29" t="s">
        <v>74</v>
      </c>
      <c r="P29" t="s">
        <v>74</v>
      </c>
      <c r="Q29" t="s">
        <v>74</v>
      </c>
      <c r="R29" t="s">
        <v>74</v>
      </c>
      <c r="S29" t="s">
        <v>74</v>
      </c>
      <c r="T29" t="s">
        <v>555</v>
      </c>
      <c r="U29" t="s">
        <v>556</v>
      </c>
      <c r="V29" t="s">
        <v>557</v>
      </c>
      <c r="W29" t="s">
        <v>558</v>
      </c>
      <c r="X29" t="s">
        <v>559</v>
      </c>
      <c r="Y29" t="s">
        <v>560</v>
      </c>
      <c r="Z29" t="s">
        <v>561</v>
      </c>
      <c r="AA29" t="s">
        <v>74</v>
      </c>
      <c r="AB29" t="s">
        <v>562</v>
      </c>
      <c r="AC29" t="s">
        <v>563</v>
      </c>
      <c r="AD29" t="s">
        <v>564</v>
      </c>
      <c r="AE29" t="s">
        <v>565</v>
      </c>
      <c r="AF29" t="s">
        <v>74</v>
      </c>
      <c r="AG29">
        <v>60</v>
      </c>
      <c r="AH29">
        <v>2</v>
      </c>
      <c r="AI29">
        <v>2</v>
      </c>
      <c r="AJ29">
        <v>4</v>
      </c>
      <c r="AK29">
        <v>12</v>
      </c>
      <c r="AL29" t="s">
        <v>119</v>
      </c>
      <c r="AM29" t="s">
        <v>120</v>
      </c>
      <c r="AN29" t="s">
        <v>121</v>
      </c>
      <c r="AO29" t="s">
        <v>122</v>
      </c>
      <c r="AP29" t="s">
        <v>123</v>
      </c>
      <c r="AQ29" t="s">
        <v>74</v>
      </c>
      <c r="AR29" t="s">
        <v>124</v>
      </c>
      <c r="AS29" t="s">
        <v>125</v>
      </c>
      <c r="AT29" t="s">
        <v>126</v>
      </c>
      <c r="AU29">
        <v>2023</v>
      </c>
      <c r="AV29">
        <v>55</v>
      </c>
      <c r="AW29">
        <v>1</v>
      </c>
      <c r="AX29" t="s">
        <v>74</v>
      </c>
      <c r="AY29" t="s">
        <v>74</v>
      </c>
      <c r="AZ29" t="s">
        <v>74</v>
      </c>
      <c r="BA29" t="s">
        <v>74</v>
      </c>
      <c r="BB29" t="s">
        <v>74</v>
      </c>
      <c r="BC29" t="s">
        <v>74</v>
      </c>
      <c r="BD29">
        <v>2209394</v>
      </c>
      <c r="BE29" t="s">
        <v>566</v>
      </c>
      <c r="BF29" t="str">
        <f>HYPERLINK("http://dx.doi.org/10.1080/15230430.2023.2209394","http://dx.doi.org/10.1080/15230430.2023.2209394")</f>
        <v>http://dx.doi.org/10.1080/15230430.2023.2209394</v>
      </c>
      <c r="BG29" t="s">
        <v>74</v>
      </c>
      <c r="BH29" t="s">
        <v>74</v>
      </c>
      <c r="BI29">
        <v>13</v>
      </c>
      <c r="BJ29" t="s">
        <v>128</v>
      </c>
      <c r="BK29" t="s">
        <v>100</v>
      </c>
      <c r="BL29" t="s">
        <v>129</v>
      </c>
      <c r="BM29" t="s">
        <v>567</v>
      </c>
      <c r="BN29" t="s">
        <v>74</v>
      </c>
      <c r="BO29" t="s">
        <v>183</v>
      </c>
      <c r="BP29" t="s">
        <v>74</v>
      </c>
      <c r="BQ29" t="s">
        <v>74</v>
      </c>
      <c r="BR29" t="s">
        <v>104</v>
      </c>
      <c r="BS29" t="s">
        <v>568</v>
      </c>
      <c r="BT29" t="str">
        <f>HYPERLINK("https%3A%2F%2Fwww.webofscience.com%2Fwos%2Fwoscc%2Ffull-record%2FWOS:000994667800001","View Full Record in Web of Science")</f>
        <v>View Full Record in Web of Science</v>
      </c>
    </row>
    <row r="30" spans="1:72" x14ac:dyDescent="0.15">
      <c r="A30" t="s">
        <v>72</v>
      </c>
      <c r="B30" t="s">
        <v>483</v>
      </c>
      <c r="C30" t="s">
        <v>74</v>
      </c>
      <c r="D30" t="s">
        <v>74</v>
      </c>
      <c r="E30" t="s">
        <v>74</v>
      </c>
      <c r="F30" t="s">
        <v>484</v>
      </c>
      <c r="G30" t="s">
        <v>74</v>
      </c>
      <c r="H30" t="s">
        <v>74</v>
      </c>
      <c r="I30" t="s">
        <v>569</v>
      </c>
      <c r="J30" t="s">
        <v>440</v>
      </c>
      <c r="K30" t="s">
        <v>74</v>
      </c>
      <c r="L30" t="s">
        <v>74</v>
      </c>
      <c r="M30" t="s">
        <v>78</v>
      </c>
      <c r="N30" t="s">
        <v>441</v>
      </c>
      <c r="O30" t="s">
        <v>74</v>
      </c>
      <c r="P30" t="s">
        <v>74</v>
      </c>
      <c r="Q30" t="s">
        <v>74</v>
      </c>
      <c r="R30" t="s">
        <v>74</v>
      </c>
      <c r="S30" t="s">
        <v>74</v>
      </c>
      <c r="T30" t="s">
        <v>570</v>
      </c>
      <c r="U30" t="s">
        <v>571</v>
      </c>
      <c r="V30" t="s">
        <v>572</v>
      </c>
      <c r="W30" t="s">
        <v>573</v>
      </c>
      <c r="X30" t="s">
        <v>574</v>
      </c>
      <c r="Y30" t="s">
        <v>575</v>
      </c>
      <c r="Z30" t="s">
        <v>492</v>
      </c>
      <c r="AA30" t="s">
        <v>493</v>
      </c>
      <c r="AB30" t="s">
        <v>576</v>
      </c>
      <c r="AC30" t="s">
        <v>577</v>
      </c>
      <c r="AD30" t="s">
        <v>577</v>
      </c>
      <c r="AE30" t="s">
        <v>578</v>
      </c>
      <c r="AF30" t="s">
        <v>74</v>
      </c>
      <c r="AG30">
        <v>43</v>
      </c>
      <c r="AH30">
        <v>1</v>
      </c>
      <c r="AI30">
        <v>1</v>
      </c>
      <c r="AJ30">
        <v>0</v>
      </c>
      <c r="AK30">
        <v>2</v>
      </c>
      <c r="AL30" t="s">
        <v>119</v>
      </c>
      <c r="AM30" t="s">
        <v>120</v>
      </c>
      <c r="AN30" t="s">
        <v>121</v>
      </c>
      <c r="AO30" t="s">
        <v>450</v>
      </c>
      <c r="AP30" t="s">
        <v>451</v>
      </c>
      <c r="AQ30" t="s">
        <v>74</v>
      </c>
      <c r="AR30" t="s">
        <v>452</v>
      </c>
      <c r="AS30" t="s">
        <v>453</v>
      </c>
      <c r="AT30" t="s">
        <v>126</v>
      </c>
      <c r="AU30">
        <v>2023</v>
      </c>
      <c r="AV30">
        <v>82</v>
      </c>
      <c r="AW30">
        <v>1</v>
      </c>
      <c r="AX30" t="s">
        <v>74</v>
      </c>
      <c r="AY30" t="s">
        <v>74</v>
      </c>
      <c r="AZ30" t="s">
        <v>74</v>
      </c>
      <c r="BA30" t="s">
        <v>74</v>
      </c>
      <c r="BB30" t="s">
        <v>74</v>
      </c>
      <c r="BC30" t="s">
        <v>74</v>
      </c>
      <c r="BD30">
        <v>2210340</v>
      </c>
      <c r="BE30" t="s">
        <v>579</v>
      </c>
      <c r="BF30" t="str">
        <f>HYPERLINK("http://dx.doi.org/10.1080/22423982.2023.2210340","http://dx.doi.org/10.1080/22423982.2023.2210340")</f>
        <v>http://dx.doi.org/10.1080/22423982.2023.2210340</v>
      </c>
      <c r="BG30" t="s">
        <v>74</v>
      </c>
      <c r="BH30" t="s">
        <v>74</v>
      </c>
      <c r="BI30">
        <v>11</v>
      </c>
      <c r="BJ30" t="s">
        <v>455</v>
      </c>
      <c r="BK30" t="s">
        <v>456</v>
      </c>
      <c r="BL30" t="s">
        <v>455</v>
      </c>
      <c r="BM30" t="s">
        <v>580</v>
      </c>
      <c r="BN30">
        <v>37154780</v>
      </c>
      <c r="BO30" t="s">
        <v>200</v>
      </c>
      <c r="BP30" t="s">
        <v>74</v>
      </c>
      <c r="BQ30" t="s">
        <v>74</v>
      </c>
      <c r="BR30" t="s">
        <v>104</v>
      </c>
      <c r="BS30" t="s">
        <v>581</v>
      </c>
      <c r="BT30" t="str">
        <f>HYPERLINK("https%3A%2F%2Fwww.webofscience.com%2Fwos%2Fwoscc%2Ffull-record%2FWOS:000983476200001","View Full Record in Web of Science")</f>
        <v>View Full Record in Web of Science</v>
      </c>
    </row>
    <row r="31" spans="1:72" x14ac:dyDescent="0.15">
      <c r="A31" t="s">
        <v>72</v>
      </c>
      <c r="B31" t="s">
        <v>582</v>
      </c>
      <c r="C31" t="s">
        <v>74</v>
      </c>
      <c r="D31" t="s">
        <v>74</v>
      </c>
      <c r="E31" t="s">
        <v>74</v>
      </c>
      <c r="F31" t="s">
        <v>583</v>
      </c>
      <c r="G31" t="s">
        <v>74</v>
      </c>
      <c r="H31" t="s">
        <v>74</v>
      </c>
      <c r="I31" t="s">
        <v>584</v>
      </c>
      <c r="J31" t="s">
        <v>109</v>
      </c>
      <c r="K31" t="s">
        <v>74</v>
      </c>
      <c r="L31" t="s">
        <v>74</v>
      </c>
      <c r="M31" t="s">
        <v>78</v>
      </c>
      <c r="N31" t="s">
        <v>79</v>
      </c>
      <c r="O31" t="s">
        <v>74</v>
      </c>
      <c r="P31" t="s">
        <v>74</v>
      </c>
      <c r="Q31" t="s">
        <v>74</v>
      </c>
      <c r="R31" t="s">
        <v>74</v>
      </c>
      <c r="S31" t="s">
        <v>74</v>
      </c>
      <c r="T31" t="s">
        <v>585</v>
      </c>
      <c r="U31" t="s">
        <v>586</v>
      </c>
      <c r="V31" t="s">
        <v>587</v>
      </c>
      <c r="W31" t="s">
        <v>588</v>
      </c>
      <c r="X31" t="s">
        <v>589</v>
      </c>
      <c r="Y31" t="s">
        <v>590</v>
      </c>
      <c r="Z31" t="s">
        <v>591</v>
      </c>
      <c r="AA31" t="s">
        <v>592</v>
      </c>
      <c r="AB31" t="s">
        <v>593</v>
      </c>
      <c r="AC31" t="s">
        <v>594</v>
      </c>
      <c r="AD31" t="s">
        <v>595</v>
      </c>
      <c r="AE31" t="s">
        <v>596</v>
      </c>
      <c r="AF31" t="s">
        <v>74</v>
      </c>
      <c r="AG31">
        <v>57</v>
      </c>
      <c r="AH31">
        <v>1</v>
      </c>
      <c r="AI31">
        <v>1</v>
      </c>
      <c r="AJ31">
        <v>11</v>
      </c>
      <c r="AK31">
        <v>25</v>
      </c>
      <c r="AL31" t="s">
        <v>119</v>
      </c>
      <c r="AM31" t="s">
        <v>120</v>
      </c>
      <c r="AN31" t="s">
        <v>121</v>
      </c>
      <c r="AO31" t="s">
        <v>122</v>
      </c>
      <c r="AP31" t="s">
        <v>123</v>
      </c>
      <c r="AQ31" t="s">
        <v>74</v>
      </c>
      <c r="AR31" t="s">
        <v>124</v>
      </c>
      <c r="AS31" t="s">
        <v>125</v>
      </c>
      <c r="AT31" t="s">
        <v>126</v>
      </c>
      <c r="AU31">
        <v>2023</v>
      </c>
      <c r="AV31">
        <v>55</v>
      </c>
      <c r="AW31">
        <v>1</v>
      </c>
      <c r="AX31" t="s">
        <v>74</v>
      </c>
      <c r="AY31" t="s">
        <v>74</v>
      </c>
      <c r="AZ31" t="s">
        <v>74</v>
      </c>
      <c r="BA31" t="s">
        <v>74</v>
      </c>
      <c r="BB31" t="s">
        <v>74</v>
      </c>
      <c r="BC31" t="s">
        <v>74</v>
      </c>
      <c r="BD31">
        <v>2195518</v>
      </c>
      <c r="BE31" t="s">
        <v>597</v>
      </c>
      <c r="BF31" t="str">
        <f>HYPERLINK("http://dx.doi.org/10.1080/15230430.2023.2195518","http://dx.doi.org/10.1080/15230430.2023.2195518")</f>
        <v>http://dx.doi.org/10.1080/15230430.2023.2195518</v>
      </c>
      <c r="BG31" t="s">
        <v>74</v>
      </c>
      <c r="BH31" t="s">
        <v>74</v>
      </c>
      <c r="BI31">
        <v>16</v>
      </c>
      <c r="BJ31" t="s">
        <v>128</v>
      </c>
      <c r="BK31" t="s">
        <v>100</v>
      </c>
      <c r="BL31" t="s">
        <v>129</v>
      </c>
      <c r="BM31" t="s">
        <v>598</v>
      </c>
      <c r="BN31" t="s">
        <v>74</v>
      </c>
      <c r="BO31" t="s">
        <v>131</v>
      </c>
      <c r="BP31" t="s">
        <v>74</v>
      </c>
      <c r="BQ31" t="s">
        <v>74</v>
      </c>
      <c r="BR31" t="s">
        <v>104</v>
      </c>
      <c r="BS31" t="s">
        <v>599</v>
      </c>
      <c r="BT31" t="str">
        <f>HYPERLINK("https%3A%2F%2Fwww.webofscience.com%2Fwos%2Fwoscc%2Ffull-record%2FWOS:000980315400001","View Full Record in Web of Science")</f>
        <v>View Full Record in Web of Science</v>
      </c>
    </row>
    <row r="32" spans="1:72" x14ac:dyDescent="0.15">
      <c r="A32" t="s">
        <v>72</v>
      </c>
      <c r="B32" t="s">
        <v>600</v>
      </c>
      <c r="C32" t="s">
        <v>74</v>
      </c>
      <c r="D32" t="s">
        <v>74</v>
      </c>
      <c r="E32" t="s">
        <v>74</v>
      </c>
      <c r="F32" t="s">
        <v>601</v>
      </c>
      <c r="G32" t="s">
        <v>74</v>
      </c>
      <c r="H32" t="s">
        <v>74</v>
      </c>
      <c r="I32" t="s">
        <v>602</v>
      </c>
      <c r="J32" t="s">
        <v>109</v>
      </c>
      <c r="K32" t="s">
        <v>74</v>
      </c>
      <c r="L32" t="s">
        <v>74</v>
      </c>
      <c r="M32" t="s">
        <v>78</v>
      </c>
      <c r="N32" t="s">
        <v>79</v>
      </c>
      <c r="O32" t="s">
        <v>74</v>
      </c>
      <c r="P32" t="s">
        <v>74</v>
      </c>
      <c r="Q32" t="s">
        <v>74</v>
      </c>
      <c r="R32" t="s">
        <v>74</v>
      </c>
      <c r="S32" t="s">
        <v>74</v>
      </c>
      <c r="T32" t="s">
        <v>603</v>
      </c>
      <c r="U32" t="s">
        <v>604</v>
      </c>
      <c r="V32" t="s">
        <v>605</v>
      </c>
      <c r="W32" t="s">
        <v>606</v>
      </c>
      <c r="X32" t="s">
        <v>607</v>
      </c>
      <c r="Y32" t="s">
        <v>608</v>
      </c>
      <c r="Z32" t="s">
        <v>609</v>
      </c>
      <c r="AA32" t="s">
        <v>74</v>
      </c>
      <c r="AB32" t="s">
        <v>610</v>
      </c>
      <c r="AC32" t="s">
        <v>611</v>
      </c>
      <c r="AD32" t="s">
        <v>612</v>
      </c>
      <c r="AE32" t="s">
        <v>613</v>
      </c>
      <c r="AF32" t="s">
        <v>74</v>
      </c>
      <c r="AG32">
        <v>62</v>
      </c>
      <c r="AH32">
        <v>0</v>
      </c>
      <c r="AI32">
        <v>0</v>
      </c>
      <c r="AJ32">
        <v>2</v>
      </c>
      <c r="AK32">
        <v>7</v>
      </c>
      <c r="AL32" t="s">
        <v>119</v>
      </c>
      <c r="AM32" t="s">
        <v>120</v>
      </c>
      <c r="AN32" t="s">
        <v>121</v>
      </c>
      <c r="AO32" t="s">
        <v>122</v>
      </c>
      <c r="AP32" t="s">
        <v>123</v>
      </c>
      <c r="AQ32" t="s">
        <v>74</v>
      </c>
      <c r="AR32" t="s">
        <v>124</v>
      </c>
      <c r="AS32" t="s">
        <v>125</v>
      </c>
      <c r="AT32" t="s">
        <v>126</v>
      </c>
      <c r="AU32">
        <v>2023</v>
      </c>
      <c r="AV32">
        <v>55</v>
      </c>
      <c r="AW32">
        <v>1</v>
      </c>
      <c r="AX32" t="s">
        <v>74</v>
      </c>
      <c r="AY32" t="s">
        <v>74</v>
      </c>
      <c r="AZ32" t="s">
        <v>74</v>
      </c>
      <c r="BA32" t="s">
        <v>74</v>
      </c>
      <c r="BB32" t="s">
        <v>74</v>
      </c>
      <c r="BC32" t="s">
        <v>74</v>
      </c>
      <c r="BD32">
        <v>2194492</v>
      </c>
      <c r="BE32" t="s">
        <v>614</v>
      </c>
      <c r="BF32" t="str">
        <f>HYPERLINK("http://dx.doi.org/10.1080/15230430.2023.2194492","http://dx.doi.org/10.1080/15230430.2023.2194492")</f>
        <v>http://dx.doi.org/10.1080/15230430.2023.2194492</v>
      </c>
      <c r="BG32" t="s">
        <v>74</v>
      </c>
      <c r="BH32" t="s">
        <v>74</v>
      </c>
      <c r="BI32">
        <v>22</v>
      </c>
      <c r="BJ32" t="s">
        <v>128</v>
      </c>
      <c r="BK32" t="s">
        <v>100</v>
      </c>
      <c r="BL32" t="s">
        <v>129</v>
      </c>
      <c r="BM32" t="s">
        <v>615</v>
      </c>
      <c r="BN32" t="s">
        <v>74</v>
      </c>
      <c r="BO32" t="s">
        <v>200</v>
      </c>
      <c r="BP32" t="s">
        <v>74</v>
      </c>
      <c r="BQ32" t="s">
        <v>74</v>
      </c>
      <c r="BR32" t="s">
        <v>104</v>
      </c>
      <c r="BS32" t="s">
        <v>616</v>
      </c>
      <c r="BT32" t="str">
        <f>HYPERLINK("https%3A%2F%2Fwww.webofscience.com%2Fwos%2Fwoscc%2Ffull-record%2FWOS:000974732400001","View Full Record in Web of Science")</f>
        <v>View Full Record in Web of Science</v>
      </c>
    </row>
    <row r="33" spans="1:72" x14ac:dyDescent="0.15">
      <c r="A33" t="s">
        <v>72</v>
      </c>
      <c r="B33" t="s">
        <v>617</v>
      </c>
      <c r="C33" t="s">
        <v>74</v>
      </c>
      <c r="D33" t="s">
        <v>74</v>
      </c>
      <c r="E33" t="s">
        <v>74</v>
      </c>
      <c r="F33" t="s">
        <v>618</v>
      </c>
      <c r="G33" t="s">
        <v>74</v>
      </c>
      <c r="H33" t="s">
        <v>74</v>
      </c>
      <c r="I33" t="s">
        <v>619</v>
      </c>
      <c r="J33" t="s">
        <v>109</v>
      </c>
      <c r="K33" t="s">
        <v>74</v>
      </c>
      <c r="L33" t="s">
        <v>74</v>
      </c>
      <c r="M33" t="s">
        <v>78</v>
      </c>
      <c r="N33" t="s">
        <v>79</v>
      </c>
      <c r="O33" t="s">
        <v>74</v>
      </c>
      <c r="P33" t="s">
        <v>74</v>
      </c>
      <c r="Q33" t="s">
        <v>74</v>
      </c>
      <c r="R33" t="s">
        <v>74</v>
      </c>
      <c r="S33" t="s">
        <v>74</v>
      </c>
      <c r="T33" t="s">
        <v>620</v>
      </c>
      <c r="U33" t="s">
        <v>621</v>
      </c>
      <c r="V33" t="s">
        <v>622</v>
      </c>
      <c r="W33" t="s">
        <v>623</v>
      </c>
      <c r="X33" t="s">
        <v>624</v>
      </c>
      <c r="Y33" t="s">
        <v>625</v>
      </c>
      <c r="Z33" t="s">
        <v>626</v>
      </c>
      <c r="AA33" t="s">
        <v>627</v>
      </c>
      <c r="AB33" t="s">
        <v>628</v>
      </c>
      <c r="AC33" t="s">
        <v>74</v>
      </c>
      <c r="AD33" t="s">
        <v>74</v>
      </c>
      <c r="AE33" t="s">
        <v>74</v>
      </c>
      <c r="AF33" t="s">
        <v>74</v>
      </c>
      <c r="AG33">
        <v>40</v>
      </c>
      <c r="AH33">
        <v>4</v>
      </c>
      <c r="AI33">
        <v>4</v>
      </c>
      <c r="AJ33">
        <v>5</v>
      </c>
      <c r="AK33">
        <v>7</v>
      </c>
      <c r="AL33" t="s">
        <v>119</v>
      </c>
      <c r="AM33" t="s">
        <v>120</v>
      </c>
      <c r="AN33" t="s">
        <v>121</v>
      </c>
      <c r="AO33" t="s">
        <v>122</v>
      </c>
      <c r="AP33" t="s">
        <v>123</v>
      </c>
      <c r="AQ33" t="s">
        <v>74</v>
      </c>
      <c r="AR33" t="s">
        <v>124</v>
      </c>
      <c r="AS33" t="s">
        <v>125</v>
      </c>
      <c r="AT33" t="s">
        <v>126</v>
      </c>
      <c r="AU33">
        <v>2023</v>
      </c>
      <c r="AV33">
        <v>55</v>
      </c>
      <c r="AW33">
        <v>1</v>
      </c>
      <c r="AX33" t="s">
        <v>74</v>
      </c>
      <c r="AY33" t="s">
        <v>74</v>
      </c>
      <c r="AZ33" t="s">
        <v>74</v>
      </c>
      <c r="BA33" t="s">
        <v>74</v>
      </c>
      <c r="BB33" t="s">
        <v>74</v>
      </c>
      <c r="BC33" t="s">
        <v>74</v>
      </c>
      <c r="BD33">
        <v>2190057</v>
      </c>
      <c r="BE33" t="s">
        <v>629</v>
      </c>
      <c r="BF33" t="str">
        <f>HYPERLINK("http://dx.doi.org/10.1080/15230430.2023.2190057","http://dx.doi.org/10.1080/15230430.2023.2190057")</f>
        <v>http://dx.doi.org/10.1080/15230430.2023.2190057</v>
      </c>
      <c r="BG33" t="s">
        <v>74</v>
      </c>
      <c r="BH33" t="s">
        <v>74</v>
      </c>
      <c r="BI33">
        <v>13</v>
      </c>
      <c r="BJ33" t="s">
        <v>128</v>
      </c>
      <c r="BK33" t="s">
        <v>100</v>
      </c>
      <c r="BL33" t="s">
        <v>129</v>
      </c>
      <c r="BM33" t="s">
        <v>630</v>
      </c>
      <c r="BN33" t="s">
        <v>74</v>
      </c>
      <c r="BO33" t="s">
        <v>131</v>
      </c>
      <c r="BP33" t="s">
        <v>74</v>
      </c>
      <c r="BQ33" t="s">
        <v>74</v>
      </c>
      <c r="BR33" t="s">
        <v>104</v>
      </c>
      <c r="BS33" t="s">
        <v>631</v>
      </c>
      <c r="BT33" t="str">
        <f>HYPERLINK("https%3A%2F%2Fwww.webofscience.com%2Fwos%2Fwoscc%2Ffull-record%2FWOS:000963078800001","View Full Record in Web of Science")</f>
        <v>View Full Record in Web of Science</v>
      </c>
    </row>
    <row r="34" spans="1:72" x14ac:dyDescent="0.15">
      <c r="A34" t="s">
        <v>72</v>
      </c>
      <c r="B34" t="s">
        <v>632</v>
      </c>
      <c r="C34" t="s">
        <v>74</v>
      </c>
      <c r="D34" t="s">
        <v>74</v>
      </c>
      <c r="E34" t="s">
        <v>74</v>
      </c>
      <c r="F34" t="s">
        <v>633</v>
      </c>
      <c r="G34" t="s">
        <v>74</v>
      </c>
      <c r="H34" t="s">
        <v>74</v>
      </c>
      <c r="I34" t="s">
        <v>634</v>
      </c>
      <c r="J34" t="s">
        <v>109</v>
      </c>
      <c r="K34" t="s">
        <v>74</v>
      </c>
      <c r="L34" t="s">
        <v>74</v>
      </c>
      <c r="M34" t="s">
        <v>78</v>
      </c>
      <c r="N34" t="s">
        <v>79</v>
      </c>
      <c r="O34" t="s">
        <v>74</v>
      </c>
      <c r="P34" t="s">
        <v>74</v>
      </c>
      <c r="Q34" t="s">
        <v>74</v>
      </c>
      <c r="R34" t="s">
        <v>74</v>
      </c>
      <c r="S34" t="s">
        <v>74</v>
      </c>
      <c r="T34" t="s">
        <v>635</v>
      </c>
      <c r="U34" t="s">
        <v>636</v>
      </c>
      <c r="V34" t="s">
        <v>637</v>
      </c>
      <c r="W34" t="s">
        <v>638</v>
      </c>
      <c r="X34" t="s">
        <v>639</v>
      </c>
      <c r="Y34" t="s">
        <v>640</v>
      </c>
      <c r="Z34" t="s">
        <v>641</v>
      </c>
      <c r="AA34" t="s">
        <v>642</v>
      </c>
      <c r="AB34" t="s">
        <v>643</v>
      </c>
      <c r="AC34" t="s">
        <v>644</v>
      </c>
      <c r="AD34" t="s">
        <v>645</v>
      </c>
      <c r="AE34" t="s">
        <v>646</v>
      </c>
      <c r="AF34" t="s">
        <v>74</v>
      </c>
      <c r="AG34">
        <v>76</v>
      </c>
      <c r="AH34">
        <v>0</v>
      </c>
      <c r="AI34">
        <v>0</v>
      </c>
      <c r="AJ34">
        <v>7</v>
      </c>
      <c r="AK34">
        <v>26</v>
      </c>
      <c r="AL34" t="s">
        <v>119</v>
      </c>
      <c r="AM34" t="s">
        <v>120</v>
      </c>
      <c r="AN34" t="s">
        <v>121</v>
      </c>
      <c r="AO34" t="s">
        <v>122</v>
      </c>
      <c r="AP34" t="s">
        <v>123</v>
      </c>
      <c r="AQ34" t="s">
        <v>74</v>
      </c>
      <c r="AR34" t="s">
        <v>124</v>
      </c>
      <c r="AS34" t="s">
        <v>125</v>
      </c>
      <c r="AT34" t="s">
        <v>126</v>
      </c>
      <c r="AU34">
        <v>2023</v>
      </c>
      <c r="AV34">
        <v>55</v>
      </c>
      <c r="AW34">
        <v>1</v>
      </c>
      <c r="AX34" t="s">
        <v>74</v>
      </c>
      <c r="AY34" t="s">
        <v>74</v>
      </c>
      <c r="AZ34" t="s">
        <v>74</v>
      </c>
      <c r="BA34" t="s">
        <v>74</v>
      </c>
      <c r="BB34" t="s">
        <v>74</v>
      </c>
      <c r="BC34" t="s">
        <v>74</v>
      </c>
      <c r="BD34">
        <v>2183999</v>
      </c>
      <c r="BE34" t="s">
        <v>647</v>
      </c>
      <c r="BF34" t="str">
        <f>HYPERLINK("http://dx.doi.org/10.1080/15230430.2023.2183999","http://dx.doi.org/10.1080/15230430.2023.2183999")</f>
        <v>http://dx.doi.org/10.1080/15230430.2023.2183999</v>
      </c>
      <c r="BG34" t="s">
        <v>74</v>
      </c>
      <c r="BH34" t="s">
        <v>74</v>
      </c>
      <c r="BI34">
        <v>18</v>
      </c>
      <c r="BJ34" t="s">
        <v>128</v>
      </c>
      <c r="BK34" t="s">
        <v>100</v>
      </c>
      <c r="BL34" t="s">
        <v>129</v>
      </c>
      <c r="BM34" t="s">
        <v>648</v>
      </c>
      <c r="BN34" t="s">
        <v>74</v>
      </c>
      <c r="BO34" t="s">
        <v>649</v>
      </c>
      <c r="BP34" t="s">
        <v>74</v>
      </c>
      <c r="BQ34" t="s">
        <v>74</v>
      </c>
      <c r="BR34" t="s">
        <v>104</v>
      </c>
      <c r="BS34" t="s">
        <v>650</v>
      </c>
      <c r="BT34" t="str">
        <f>HYPERLINK("https%3A%2F%2Fwww.webofscience.com%2Fwos%2Fwoscc%2Ffull-record%2FWOS:000960252700001","View Full Record in Web of Science")</f>
        <v>View Full Record in Web of Science</v>
      </c>
    </row>
    <row r="35" spans="1:72" x14ac:dyDescent="0.15">
      <c r="A35" t="s">
        <v>72</v>
      </c>
      <c r="B35" t="s">
        <v>651</v>
      </c>
      <c r="C35" t="s">
        <v>74</v>
      </c>
      <c r="D35" t="s">
        <v>74</v>
      </c>
      <c r="E35" t="s">
        <v>74</v>
      </c>
      <c r="F35" t="s">
        <v>652</v>
      </c>
      <c r="G35" t="s">
        <v>74</v>
      </c>
      <c r="H35" t="s">
        <v>74</v>
      </c>
      <c r="I35" t="s">
        <v>653</v>
      </c>
      <c r="J35" t="s">
        <v>109</v>
      </c>
      <c r="K35" t="s">
        <v>74</v>
      </c>
      <c r="L35" t="s">
        <v>74</v>
      </c>
      <c r="M35" t="s">
        <v>78</v>
      </c>
      <c r="N35" t="s">
        <v>79</v>
      </c>
      <c r="O35" t="s">
        <v>74</v>
      </c>
      <c r="P35" t="s">
        <v>74</v>
      </c>
      <c r="Q35" t="s">
        <v>74</v>
      </c>
      <c r="R35" t="s">
        <v>74</v>
      </c>
      <c r="S35" t="s">
        <v>74</v>
      </c>
      <c r="T35" t="s">
        <v>654</v>
      </c>
      <c r="U35" t="s">
        <v>655</v>
      </c>
      <c r="V35" t="s">
        <v>656</v>
      </c>
      <c r="W35" t="s">
        <v>657</v>
      </c>
      <c r="X35" t="s">
        <v>658</v>
      </c>
      <c r="Y35" t="s">
        <v>659</v>
      </c>
      <c r="Z35" t="s">
        <v>660</v>
      </c>
      <c r="AA35" t="s">
        <v>661</v>
      </c>
      <c r="AB35" t="s">
        <v>662</v>
      </c>
      <c r="AC35" t="s">
        <v>663</v>
      </c>
      <c r="AD35" t="s">
        <v>663</v>
      </c>
      <c r="AE35" t="s">
        <v>664</v>
      </c>
      <c r="AF35" t="s">
        <v>74</v>
      </c>
      <c r="AG35">
        <v>61</v>
      </c>
      <c r="AH35">
        <v>0</v>
      </c>
      <c r="AI35">
        <v>0</v>
      </c>
      <c r="AJ35">
        <v>2</v>
      </c>
      <c r="AK35">
        <v>5</v>
      </c>
      <c r="AL35" t="s">
        <v>119</v>
      </c>
      <c r="AM35" t="s">
        <v>120</v>
      </c>
      <c r="AN35" t="s">
        <v>121</v>
      </c>
      <c r="AO35" t="s">
        <v>122</v>
      </c>
      <c r="AP35" t="s">
        <v>123</v>
      </c>
      <c r="AQ35" t="s">
        <v>74</v>
      </c>
      <c r="AR35" t="s">
        <v>124</v>
      </c>
      <c r="AS35" t="s">
        <v>125</v>
      </c>
      <c r="AT35" t="s">
        <v>126</v>
      </c>
      <c r="AU35">
        <v>2023</v>
      </c>
      <c r="AV35">
        <v>55</v>
      </c>
      <c r="AW35">
        <v>1</v>
      </c>
      <c r="AX35" t="s">
        <v>74</v>
      </c>
      <c r="AY35" t="s">
        <v>74</v>
      </c>
      <c r="AZ35" t="s">
        <v>74</v>
      </c>
      <c r="BA35" t="s">
        <v>74</v>
      </c>
      <c r="BB35" t="s">
        <v>74</v>
      </c>
      <c r="BC35" t="s">
        <v>74</v>
      </c>
      <c r="BD35">
        <v>2186485</v>
      </c>
      <c r="BE35" t="s">
        <v>665</v>
      </c>
      <c r="BF35" t="str">
        <f>HYPERLINK("http://dx.doi.org/10.1080/15230430.2023.2186485","http://dx.doi.org/10.1080/15230430.2023.2186485")</f>
        <v>http://dx.doi.org/10.1080/15230430.2023.2186485</v>
      </c>
      <c r="BG35" t="s">
        <v>74</v>
      </c>
      <c r="BH35" t="s">
        <v>74</v>
      </c>
      <c r="BI35">
        <v>21</v>
      </c>
      <c r="BJ35" t="s">
        <v>128</v>
      </c>
      <c r="BK35" t="s">
        <v>100</v>
      </c>
      <c r="BL35" t="s">
        <v>129</v>
      </c>
      <c r="BM35" t="s">
        <v>666</v>
      </c>
      <c r="BN35" t="s">
        <v>74</v>
      </c>
      <c r="BO35" t="s">
        <v>131</v>
      </c>
      <c r="BP35" t="s">
        <v>74</v>
      </c>
      <c r="BQ35" t="s">
        <v>74</v>
      </c>
      <c r="BR35" t="s">
        <v>104</v>
      </c>
      <c r="BS35" t="s">
        <v>667</v>
      </c>
      <c r="BT35" t="str">
        <f>HYPERLINK("https%3A%2F%2Fwww.webofscience.com%2Fwos%2Fwoscc%2Ffull-record%2FWOS:000960448700001","View Full Record in Web of Science")</f>
        <v>View Full Record in Web of Science</v>
      </c>
    </row>
    <row r="36" spans="1:72" x14ac:dyDescent="0.15">
      <c r="A36" t="s">
        <v>72</v>
      </c>
      <c r="B36" t="s">
        <v>668</v>
      </c>
      <c r="C36" t="s">
        <v>74</v>
      </c>
      <c r="D36" t="s">
        <v>74</v>
      </c>
      <c r="E36" t="s">
        <v>74</v>
      </c>
      <c r="F36" t="s">
        <v>669</v>
      </c>
      <c r="G36" t="s">
        <v>74</v>
      </c>
      <c r="H36" t="s">
        <v>74</v>
      </c>
      <c r="I36" t="s">
        <v>670</v>
      </c>
      <c r="J36" t="s">
        <v>109</v>
      </c>
      <c r="K36" t="s">
        <v>74</v>
      </c>
      <c r="L36" t="s">
        <v>74</v>
      </c>
      <c r="M36" t="s">
        <v>78</v>
      </c>
      <c r="N36" t="s">
        <v>79</v>
      </c>
      <c r="O36" t="s">
        <v>74</v>
      </c>
      <c r="P36" t="s">
        <v>74</v>
      </c>
      <c r="Q36" t="s">
        <v>74</v>
      </c>
      <c r="R36" t="s">
        <v>74</v>
      </c>
      <c r="S36" t="s">
        <v>74</v>
      </c>
      <c r="T36" t="s">
        <v>671</v>
      </c>
      <c r="U36" t="s">
        <v>672</v>
      </c>
      <c r="V36" t="s">
        <v>673</v>
      </c>
      <c r="W36" t="s">
        <v>674</v>
      </c>
      <c r="X36" t="s">
        <v>675</v>
      </c>
      <c r="Y36" t="s">
        <v>676</v>
      </c>
      <c r="Z36" t="s">
        <v>677</v>
      </c>
      <c r="AA36" t="s">
        <v>678</v>
      </c>
      <c r="AB36" t="s">
        <v>74</v>
      </c>
      <c r="AC36" t="s">
        <v>74</v>
      </c>
      <c r="AD36" t="s">
        <v>74</v>
      </c>
      <c r="AE36" t="s">
        <v>74</v>
      </c>
      <c r="AF36" t="s">
        <v>74</v>
      </c>
      <c r="AG36">
        <v>63</v>
      </c>
      <c r="AH36">
        <v>0</v>
      </c>
      <c r="AI36">
        <v>0</v>
      </c>
      <c r="AJ36">
        <v>8</v>
      </c>
      <c r="AK36">
        <v>21</v>
      </c>
      <c r="AL36" t="s">
        <v>119</v>
      </c>
      <c r="AM36" t="s">
        <v>120</v>
      </c>
      <c r="AN36" t="s">
        <v>121</v>
      </c>
      <c r="AO36" t="s">
        <v>122</v>
      </c>
      <c r="AP36" t="s">
        <v>123</v>
      </c>
      <c r="AQ36" t="s">
        <v>74</v>
      </c>
      <c r="AR36" t="s">
        <v>124</v>
      </c>
      <c r="AS36" t="s">
        <v>125</v>
      </c>
      <c r="AT36" t="s">
        <v>126</v>
      </c>
      <c r="AU36">
        <v>2023</v>
      </c>
      <c r="AV36">
        <v>55</v>
      </c>
      <c r="AW36">
        <v>1</v>
      </c>
      <c r="AX36" t="s">
        <v>74</v>
      </c>
      <c r="AY36" t="s">
        <v>74</v>
      </c>
      <c r="AZ36" t="s">
        <v>74</v>
      </c>
      <c r="BA36" t="s">
        <v>74</v>
      </c>
      <c r="BB36" t="s">
        <v>74</v>
      </c>
      <c r="BC36" t="s">
        <v>74</v>
      </c>
      <c r="BD36">
        <v>2188716</v>
      </c>
      <c r="BE36" t="s">
        <v>679</v>
      </c>
      <c r="BF36" t="str">
        <f>HYPERLINK("http://dx.doi.org/10.1080/15230430.2023.2188716","http://dx.doi.org/10.1080/15230430.2023.2188716")</f>
        <v>http://dx.doi.org/10.1080/15230430.2023.2188716</v>
      </c>
      <c r="BG36" t="s">
        <v>74</v>
      </c>
      <c r="BH36" t="s">
        <v>74</v>
      </c>
      <c r="BI36">
        <v>14</v>
      </c>
      <c r="BJ36" t="s">
        <v>128</v>
      </c>
      <c r="BK36" t="s">
        <v>100</v>
      </c>
      <c r="BL36" t="s">
        <v>129</v>
      </c>
      <c r="BM36" t="s">
        <v>680</v>
      </c>
      <c r="BN36" t="s">
        <v>74</v>
      </c>
      <c r="BO36" t="s">
        <v>131</v>
      </c>
      <c r="BP36" t="s">
        <v>74</v>
      </c>
      <c r="BQ36" t="s">
        <v>74</v>
      </c>
      <c r="BR36" t="s">
        <v>104</v>
      </c>
      <c r="BS36" t="s">
        <v>681</v>
      </c>
      <c r="BT36" t="str">
        <f>HYPERLINK("https%3A%2F%2Fwww.webofscience.com%2Fwos%2Fwoscc%2Ffull-record%2FWOS:000956177200001","View Full Record in Web of Science")</f>
        <v>View Full Record in Web of Science</v>
      </c>
    </row>
    <row r="37" spans="1:72" x14ac:dyDescent="0.15">
      <c r="A37" t="s">
        <v>72</v>
      </c>
      <c r="B37" t="s">
        <v>682</v>
      </c>
      <c r="C37" t="s">
        <v>74</v>
      </c>
      <c r="D37" t="s">
        <v>74</v>
      </c>
      <c r="E37" t="s">
        <v>74</v>
      </c>
      <c r="F37" t="s">
        <v>683</v>
      </c>
      <c r="G37" t="s">
        <v>74</v>
      </c>
      <c r="H37" t="s">
        <v>74</v>
      </c>
      <c r="I37" t="s">
        <v>684</v>
      </c>
      <c r="J37" t="s">
        <v>109</v>
      </c>
      <c r="K37" t="s">
        <v>74</v>
      </c>
      <c r="L37" t="s">
        <v>74</v>
      </c>
      <c r="M37" t="s">
        <v>78</v>
      </c>
      <c r="N37" t="s">
        <v>79</v>
      </c>
      <c r="O37" t="s">
        <v>74</v>
      </c>
      <c r="P37" t="s">
        <v>74</v>
      </c>
      <c r="Q37" t="s">
        <v>74</v>
      </c>
      <c r="R37" t="s">
        <v>74</v>
      </c>
      <c r="S37" t="s">
        <v>74</v>
      </c>
      <c r="T37" t="s">
        <v>685</v>
      </c>
      <c r="U37" t="s">
        <v>686</v>
      </c>
      <c r="V37" t="s">
        <v>687</v>
      </c>
      <c r="W37" t="s">
        <v>688</v>
      </c>
      <c r="X37" t="s">
        <v>689</v>
      </c>
      <c r="Y37" t="s">
        <v>690</v>
      </c>
      <c r="Z37" t="s">
        <v>691</v>
      </c>
      <c r="AA37" t="s">
        <v>74</v>
      </c>
      <c r="AB37" t="s">
        <v>74</v>
      </c>
      <c r="AC37" t="s">
        <v>74</v>
      </c>
      <c r="AD37" t="s">
        <v>74</v>
      </c>
      <c r="AE37" t="s">
        <v>74</v>
      </c>
      <c r="AF37" t="s">
        <v>74</v>
      </c>
      <c r="AG37">
        <v>91</v>
      </c>
      <c r="AH37">
        <v>1</v>
      </c>
      <c r="AI37">
        <v>1</v>
      </c>
      <c r="AJ37">
        <v>7</v>
      </c>
      <c r="AK37">
        <v>15</v>
      </c>
      <c r="AL37" t="s">
        <v>119</v>
      </c>
      <c r="AM37" t="s">
        <v>120</v>
      </c>
      <c r="AN37" t="s">
        <v>121</v>
      </c>
      <c r="AO37" t="s">
        <v>122</v>
      </c>
      <c r="AP37" t="s">
        <v>123</v>
      </c>
      <c r="AQ37" t="s">
        <v>74</v>
      </c>
      <c r="AR37" t="s">
        <v>124</v>
      </c>
      <c r="AS37" t="s">
        <v>125</v>
      </c>
      <c r="AT37" t="s">
        <v>126</v>
      </c>
      <c r="AU37">
        <v>2023</v>
      </c>
      <c r="AV37">
        <v>55</v>
      </c>
      <c r="AW37">
        <v>1</v>
      </c>
      <c r="AX37" t="s">
        <v>74</v>
      </c>
      <c r="AY37" t="s">
        <v>74</v>
      </c>
      <c r="AZ37" t="s">
        <v>74</v>
      </c>
      <c r="BA37" t="s">
        <v>74</v>
      </c>
      <c r="BB37" t="s">
        <v>74</v>
      </c>
      <c r="BC37" t="s">
        <v>74</v>
      </c>
      <c r="BD37">
        <v>2186456</v>
      </c>
      <c r="BE37" t="s">
        <v>692</v>
      </c>
      <c r="BF37" t="str">
        <f>HYPERLINK("http://dx.doi.org/10.1080/15230430.2023.2186456","http://dx.doi.org/10.1080/15230430.2023.2186456")</f>
        <v>http://dx.doi.org/10.1080/15230430.2023.2186456</v>
      </c>
      <c r="BG37" t="s">
        <v>74</v>
      </c>
      <c r="BH37" t="s">
        <v>74</v>
      </c>
      <c r="BI37">
        <v>22</v>
      </c>
      <c r="BJ37" t="s">
        <v>128</v>
      </c>
      <c r="BK37" t="s">
        <v>100</v>
      </c>
      <c r="BL37" t="s">
        <v>129</v>
      </c>
      <c r="BM37" t="s">
        <v>693</v>
      </c>
      <c r="BN37" t="s">
        <v>74</v>
      </c>
      <c r="BO37" t="s">
        <v>131</v>
      </c>
      <c r="BP37" t="s">
        <v>74</v>
      </c>
      <c r="BQ37" t="s">
        <v>74</v>
      </c>
      <c r="BR37" t="s">
        <v>104</v>
      </c>
      <c r="BS37" t="s">
        <v>694</v>
      </c>
      <c r="BT37" t="str">
        <f>HYPERLINK("https%3A%2F%2Fwww.webofscience.com%2Fwos%2Fwoscc%2Ffull-record%2FWOS:000954076000001","View Full Record in Web of Science")</f>
        <v>View Full Record in Web of Science</v>
      </c>
    </row>
    <row r="38" spans="1:72" x14ac:dyDescent="0.15">
      <c r="A38" t="s">
        <v>72</v>
      </c>
      <c r="B38" t="s">
        <v>695</v>
      </c>
      <c r="C38" t="s">
        <v>74</v>
      </c>
      <c r="D38" t="s">
        <v>74</v>
      </c>
      <c r="E38" t="s">
        <v>74</v>
      </c>
      <c r="F38" t="s">
        <v>696</v>
      </c>
      <c r="G38" t="s">
        <v>74</v>
      </c>
      <c r="H38" t="s">
        <v>74</v>
      </c>
      <c r="I38" t="s">
        <v>697</v>
      </c>
      <c r="J38" t="s">
        <v>109</v>
      </c>
      <c r="K38" t="s">
        <v>74</v>
      </c>
      <c r="L38" t="s">
        <v>74</v>
      </c>
      <c r="M38" t="s">
        <v>78</v>
      </c>
      <c r="N38" t="s">
        <v>79</v>
      </c>
      <c r="O38" t="s">
        <v>74</v>
      </c>
      <c r="P38" t="s">
        <v>74</v>
      </c>
      <c r="Q38" t="s">
        <v>74</v>
      </c>
      <c r="R38" t="s">
        <v>74</v>
      </c>
      <c r="S38" t="s">
        <v>74</v>
      </c>
      <c r="T38" t="s">
        <v>698</v>
      </c>
      <c r="U38" t="s">
        <v>699</v>
      </c>
      <c r="V38" t="s">
        <v>700</v>
      </c>
      <c r="W38" t="s">
        <v>701</v>
      </c>
      <c r="X38" t="s">
        <v>702</v>
      </c>
      <c r="Y38" t="s">
        <v>703</v>
      </c>
      <c r="Z38" t="s">
        <v>704</v>
      </c>
      <c r="AA38" t="s">
        <v>705</v>
      </c>
      <c r="AB38" t="s">
        <v>706</v>
      </c>
      <c r="AC38" t="s">
        <v>74</v>
      </c>
      <c r="AD38" t="s">
        <v>74</v>
      </c>
      <c r="AE38" t="s">
        <v>74</v>
      </c>
      <c r="AF38" t="s">
        <v>74</v>
      </c>
      <c r="AG38">
        <v>56</v>
      </c>
      <c r="AH38">
        <v>3</v>
      </c>
      <c r="AI38">
        <v>4</v>
      </c>
      <c r="AJ38">
        <v>8</v>
      </c>
      <c r="AK38">
        <v>26</v>
      </c>
      <c r="AL38" t="s">
        <v>119</v>
      </c>
      <c r="AM38" t="s">
        <v>120</v>
      </c>
      <c r="AN38" t="s">
        <v>121</v>
      </c>
      <c r="AO38" t="s">
        <v>122</v>
      </c>
      <c r="AP38" t="s">
        <v>123</v>
      </c>
      <c r="AQ38" t="s">
        <v>74</v>
      </c>
      <c r="AR38" t="s">
        <v>124</v>
      </c>
      <c r="AS38" t="s">
        <v>125</v>
      </c>
      <c r="AT38" t="s">
        <v>126</v>
      </c>
      <c r="AU38">
        <v>2023</v>
      </c>
      <c r="AV38">
        <v>55</v>
      </c>
      <c r="AW38">
        <v>1</v>
      </c>
      <c r="AX38" t="s">
        <v>74</v>
      </c>
      <c r="AY38" t="s">
        <v>74</v>
      </c>
      <c r="AZ38" t="s">
        <v>74</v>
      </c>
      <c r="BA38" t="s">
        <v>74</v>
      </c>
      <c r="BB38" t="s">
        <v>74</v>
      </c>
      <c r="BC38" t="s">
        <v>74</v>
      </c>
      <c r="BD38">
        <v>2181298</v>
      </c>
      <c r="BE38" t="s">
        <v>707</v>
      </c>
      <c r="BF38" t="str">
        <f>HYPERLINK("http://dx.doi.org/10.1080/15230430.2023.2181298","http://dx.doi.org/10.1080/15230430.2023.2181298")</f>
        <v>http://dx.doi.org/10.1080/15230430.2023.2181298</v>
      </c>
      <c r="BG38" t="s">
        <v>74</v>
      </c>
      <c r="BH38" t="s">
        <v>74</v>
      </c>
      <c r="BI38">
        <v>10</v>
      </c>
      <c r="BJ38" t="s">
        <v>128</v>
      </c>
      <c r="BK38" t="s">
        <v>100</v>
      </c>
      <c r="BL38" t="s">
        <v>129</v>
      </c>
      <c r="BM38" t="s">
        <v>708</v>
      </c>
      <c r="BN38" t="s">
        <v>74</v>
      </c>
      <c r="BO38" t="s">
        <v>131</v>
      </c>
      <c r="BP38" t="s">
        <v>74</v>
      </c>
      <c r="BQ38" t="s">
        <v>74</v>
      </c>
      <c r="BR38" t="s">
        <v>104</v>
      </c>
      <c r="BS38" t="s">
        <v>709</v>
      </c>
      <c r="BT38" t="str">
        <f>HYPERLINK("https%3A%2F%2Fwww.webofscience.com%2Fwos%2Fwoscc%2Ffull-record%2FWOS:000949607400001","View Full Record in Web of Science")</f>
        <v>View Full Record in Web of Science</v>
      </c>
    </row>
    <row r="39" spans="1:72" x14ac:dyDescent="0.15">
      <c r="A39" t="s">
        <v>72</v>
      </c>
      <c r="B39" t="s">
        <v>710</v>
      </c>
      <c r="C39" t="s">
        <v>74</v>
      </c>
      <c r="D39" t="s">
        <v>74</v>
      </c>
      <c r="E39" t="s">
        <v>74</v>
      </c>
      <c r="F39" t="s">
        <v>711</v>
      </c>
      <c r="G39" t="s">
        <v>74</v>
      </c>
      <c r="H39" t="s">
        <v>74</v>
      </c>
      <c r="I39" t="s">
        <v>712</v>
      </c>
      <c r="J39" t="s">
        <v>109</v>
      </c>
      <c r="K39" t="s">
        <v>74</v>
      </c>
      <c r="L39" t="s">
        <v>74</v>
      </c>
      <c r="M39" t="s">
        <v>78</v>
      </c>
      <c r="N39" t="s">
        <v>79</v>
      </c>
      <c r="O39" t="s">
        <v>74</v>
      </c>
      <c r="P39" t="s">
        <v>74</v>
      </c>
      <c r="Q39" t="s">
        <v>74</v>
      </c>
      <c r="R39" t="s">
        <v>74</v>
      </c>
      <c r="S39" t="s">
        <v>74</v>
      </c>
      <c r="T39" t="s">
        <v>713</v>
      </c>
      <c r="U39" t="s">
        <v>714</v>
      </c>
      <c r="V39" t="s">
        <v>715</v>
      </c>
      <c r="W39" t="s">
        <v>716</v>
      </c>
      <c r="X39" t="s">
        <v>717</v>
      </c>
      <c r="Y39" t="s">
        <v>718</v>
      </c>
      <c r="Z39" t="s">
        <v>719</v>
      </c>
      <c r="AA39" t="s">
        <v>74</v>
      </c>
      <c r="AB39" t="s">
        <v>720</v>
      </c>
      <c r="AC39" t="s">
        <v>721</v>
      </c>
      <c r="AD39" t="s">
        <v>722</v>
      </c>
      <c r="AE39" t="s">
        <v>723</v>
      </c>
      <c r="AF39" t="s">
        <v>74</v>
      </c>
      <c r="AG39">
        <v>165</v>
      </c>
      <c r="AH39">
        <v>0</v>
      </c>
      <c r="AI39">
        <v>0</v>
      </c>
      <c r="AJ39">
        <v>4</v>
      </c>
      <c r="AK39">
        <v>46</v>
      </c>
      <c r="AL39" t="s">
        <v>119</v>
      </c>
      <c r="AM39" t="s">
        <v>120</v>
      </c>
      <c r="AN39" t="s">
        <v>121</v>
      </c>
      <c r="AO39" t="s">
        <v>122</v>
      </c>
      <c r="AP39" t="s">
        <v>123</v>
      </c>
      <c r="AQ39" t="s">
        <v>74</v>
      </c>
      <c r="AR39" t="s">
        <v>124</v>
      </c>
      <c r="AS39" t="s">
        <v>125</v>
      </c>
      <c r="AT39" t="s">
        <v>126</v>
      </c>
      <c r="AU39">
        <v>2023</v>
      </c>
      <c r="AV39">
        <v>55</v>
      </c>
      <c r="AW39">
        <v>1</v>
      </c>
      <c r="AX39" t="s">
        <v>74</v>
      </c>
      <c r="AY39" t="s">
        <v>74</v>
      </c>
      <c r="AZ39" t="s">
        <v>74</v>
      </c>
      <c r="BA39" t="s">
        <v>74</v>
      </c>
      <c r="BB39" t="s">
        <v>74</v>
      </c>
      <c r="BC39" t="s">
        <v>74</v>
      </c>
      <c r="BD39">
        <v>2178149</v>
      </c>
      <c r="BE39" t="s">
        <v>724</v>
      </c>
      <c r="BF39" t="str">
        <f>HYPERLINK("http://dx.doi.org/10.1080/15230430.2023.2178149","http://dx.doi.org/10.1080/15230430.2023.2178149")</f>
        <v>http://dx.doi.org/10.1080/15230430.2023.2178149</v>
      </c>
      <c r="BG39" t="s">
        <v>74</v>
      </c>
      <c r="BH39" t="s">
        <v>74</v>
      </c>
      <c r="BI39">
        <v>25</v>
      </c>
      <c r="BJ39" t="s">
        <v>128</v>
      </c>
      <c r="BK39" t="s">
        <v>100</v>
      </c>
      <c r="BL39" t="s">
        <v>129</v>
      </c>
      <c r="BM39" t="s">
        <v>725</v>
      </c>
      <c r="BN39" t="s">
        <v>74</v>
      </c>
      <c r="BO39" t="s">
        <v>131</v>
      </c>
      <c r="BP39" t="s">
        <v>74</v>
      </c>
      <c r="BQ39" t="s">
        <v>74</v>
      </c>
      <c r="BR39" t="s">
        <v>104</v>
      </c>
      <c r="BS39" t="s">
        <v>726</v>
      </c>
      <c r="BT39" t="str">
        <f>HYPERLINK("https%3A%2F%2Fwww.webofscience.com%2Fwos%2Fwoscc%2Ffull-record%2FWOS:000949975400001","View Full Record in Web of Science")</f>
        <v>View Full Record in Web of Science</v>
      </c>
    </row>
    <row r="40" spans="1:72" x14ac:dyDescent="0.15">
      <c r="A40" t="s">
        <v>72</v>
      </c>
      <c r="B40" t="s">
        <v>727</v>
      </c>
      <c r="C40" t="s">
        <v>74</v>
      </c>
      <c r="D40" t="s">
        <v>74</v>
      </c>
      <c r="E40" t="s">
        <v>74</v>
      </c>
      <c r="F40" t="s">
        <v>728</v>
      </c>
      <c r="G40" t="s">
        <v>74</v>
      </c>
      <c r="H40" t="s">
        <v>74</v>
      </c>
      <c r="I40" t="s">
        <v>729</v>
      </c>
      <c r="J40" t="s">
        <v>109</v>
      </c>
      <c r="K40" t="s">
        <v>74</v>
      </c>
      <c r="L40" t="s">
        <v>74</v>
      </c>
      <c r="M40" t="s">
        <v>78</v>
      </c>
      <c r="N40" t="s">
        <v>79</v>
      </c>
      <c r="O40" t="s">
        <v>74</v>
      </c>
      <c r="P40" t="s">
        <v>74</v>
      </c>
      <c r="Q40" t="s">
        <v>74</v>
      </c>
      <c r="R40" t="s">
        <v>74</v>
      </c>
      <c r="S40" t="s">
        <v>74</v>
      </c>
      <c r="T40" t="s">
        <v>730</v>
      </c>
      <c r="U40" t="s">
        <v>731</v>
      </c>
      <c r="V40" t="s">
        <v>732</v>
      </c>
      <c r="W40" t="s">
        <v>733</v>
      </c>
      <c r="X40" t="s">
        <v>734</v>
      </c>
      <c r="Y40" t="s">
        <v>735</v>
      </c>
      <c r="Z40" t="s">
        <v>736</v>
      </c>
      <c r="AA40" t="s">
        <v>737</v>
      </c>
      <c r="AB40" t="s">
        <v>738</v>
      </c>
      <c r="AC40" t="s">
        <v>74</v>
      </c>
      <c r="AD40" t="s">
        <v>74</v>
      </c>
      <c r="AE40" t="s">
        <v>74</v>
      </c>
      <c r="AF40" t="s">
        <v>74</v>
      </c>
      <c r="AG40">
        <v>59</v>
      </c>
      <c r="AH40">
        <v>0</v>
      </c>
      <c r="AI40">
        <v>0</v>
      </c>
      <c r="AJ40">
        <v>25</v>
      </c>
      <c r="AK40">
        <v>53</v>
      </c>
      <c r="AL40" t="s">
        <v>119</v>
      </c>
      <c r="AM40" t="s">
        <v>120</v>
      </c>
      <c r="AN40" t="s">
        <v>121</v>
      </c>
      <c r="AO40" t="s">
        <v>122</v>
      </c>
      <c r="AP40" t="s">
        <v>123</v>
      </c>
      <c r="AQ40" t="s">
        <v>74</v>
      </c>
      <c r="AR40" t="s">
        <v>124</v>
      </c>
      <c r="AS40" t="s">
        <v>125</v>
      </c>
      <c r="AT40" t="s">
        <v>126</v>
      </c>
      <c r="AU40">
        <v>2023</v>
      </c>
      <c r="AV40">
        <v>55</v>
      </c>
      <c r="AW40">
        <v>1</v>
      </c>
      <c r="AX40" t="s">
        <v>74</v>
      </c>
      <c r="AY40" t="s">
        <v>74</v>
      </c>
      <c r="AZ40" t="s">
        <v>74</v>
      </c>
      <c r="BA40" t="s">
        <v>74</v>
      </c>
      <c r="BB40" t="s">
        <v>74</v>
      </c>
      <c r="BC40" t="s">
        <v>74</v>
      </c>
      <c r="BD40">
        <v>2178428</v>
      </c>
      <c r="BE40" t="s">
        <v>739</v>
      </c>
      <c r="BF40" t="str">
        <f>HYPERLINK("http://dx.doi.org/10.1080/15230430.2023.2178428","http://dx.doi.org/10.1080/15230430.2023.2178428")</f>
        <v>http://dx.doi.org/10.1080/15230430.2023.2178428</v>
      </c>
      <c r="BG40" t="s">
        <v>74</v>
      </c>
      <c r="BH40" t="s">
        <v>74</v>
      </c>
      <c r="BI40">
        <v>12</v>
      </c>
      <c r="BJ40" t="s">
        <v>128</v>
      </c>
      <c r="BK40" t="s">
        <v>100</v>
      </c>
      <c r="BL40" t="s">
        <v>129</v>
      </c>
      <c r="BM40" t="s">
        <v>740</v>
      </c>
      <c r="BN40" t="s">
        <v>74</v>
      </c>
      <c r="BO40" t="s">
        <v>131</v>
      </c>
      <c r="BP40" t="s">
        <v>74</v>
      </c>
      <c r="BQ40" t="s">
        <v>74</v>
      </c>
      <c r="BR40" t="s">
        <v>104</v>
      </c>
      <c r="BS40" t="s">
        <v>741</v>
      </c>
      <c r="BT40" t="str">
        <f>HYPERLINK("https%3A%2F%2Fwww.webofscience.com%2Fwos%2Fwoscc%2Ffull-record%2FWOS:000951294200001","View Full Record in Web of Science")</f>
        <v>View Full Record in Web of Science</v>
      </c>
    </row>
    <row r="41" spans="1:72" x14ac:dyDescent="0.15">
      <c r="A41" t="s">
        <v>72</v>
      </c>
      <c r="B41" t="s">
        <v>742</v>
      </c>
      <c r="C41" t="s">
        <v>74</v>
      </c>
      <c r="D41" t="s">
        <v>74</v>
      </c>
      <c r="E41" t="s">
        <v>74</v>
      </c>
      <c r="F41" t="s">
        <v>743</v>
      </c>
      <c r="G41" t="s">
        <v>74</v>
      </c>
      <c r="H41" t="s">
        <v>74</v>
      </c>
      <c r="I41" t="s">
        <v>744</v>
      </c>
      <c r="J41" t="s">
        <v>109</v>
      </c>
      <c r="K41" t="s">
        <v>74</v>
      </c>
      <c r="L41" t="s">
        <v>74</v>
      </c>
      <c r="M41" t="s">
        <v>78</v>
      </c>
      <c r="N41" t="s">
        <v>79</v>
      </c>
      <c r="O41" t="s">
        <v>74</v>
      </c>
      <c r="P41" t="s">
        <v>74</v>
      </c>
      <c r="Q41" t="s">
        <v>74</v>
      </c>
      <c r="R41" t="s">
        <v>74</v>
      </c>
      <c r="S41" t="s">
        <v>74</v>
      </c>
      <c r="T41" t="s">
        <v>745</v>
      </c>
      <c r="U41" t="s">
        <v>746</v>
      </c>
      <c r="V41" t="s">
        <v>747</v>
      </c>
      <c r="W41" t="s">
        <v>748</v>
      </c>
      <c r="X41" t="s">
        <v>749</v>
      </c>
      <c r="Y41" t="s">
        <v>750</v>
      </c>
      <c r="Z41" t="s">
        <v>751</v>
      </c>
      <c r="AA41" t="s">
        <v>752</v>
      </c>
      <c r="AB41" t="s">
        <v>753</v>
      </c>
      <c r="AC41" t="s">
        <v>754</v>
      </c>
      <c r="AD41" t="s">
        <v>754</v>
      </c>
      <c r="AE41" t="s">
        <v>755</v>
      </c>
      <c r="AF41" t="s">
        <v>74</v>
      </c>
      <c r="AG41">
        <v>79</v>
      </c>
      <c r="AH41">
        <v>0</v>
      </c>
      <c r="AI41">
        <v>0</v>
      </c>
      <c r="AJ41">
        <v>6</v>
      </c>
      <c r="AK41">
        <v>14</v>
      </c>
      <c r="AL41" t="s">
        <v>119</v>
      </c>
      <c r="AM41" t="s">
        <v>120</v>
      </c>
      <c r="AN41" t="s">
        <v>121</v>
      </c>
      <c r="AO41" t="s">
        <v>122</v>
      </c>
      <c r="AP41" t="s">
        <v>123</v>
      </c>
      <c r="AQ41" t="s">
        <v>74</v>
      </c>
      <c r="AR41" t="s">
        <v>124</v>
      </c>
      <c r="AS41" t="s">
        <v>125</v>
      </c>
      <c r="AT41" t="s">
        <v>126</v>
      </c>
      <c r="AU41">
        <v>2023</v>
      </c>
      <c r="AV41">
        <v>55</v>
      </c>
      <c r="AW41">
        <v>1</v>
      </c>
      <c r="AX41" t="s">
        <v>74</v>
      </c>
      <c r="AY41" t="s">
        <v>74</v>
      </c>
      <c r="AZ41" t="s">
        <v>74</v>
      </c>
      <c r="BA41" t="s">
        <v>74</v>
      </c>
      <c r="BB41" t="s">
        <v>74</v>
      </c>
      <c r="BC41" t="s">
        <v>74</v>
      </c>
      <c r="BD41">
        <v>2178151</v>
      </c>
      <c r="BE41" t="s">
        <v>756</v>
      </c>
      <c r="BF41" t="str">
        <f>HYPERLINK("http://dx.doi.org/10.1080/15230430.2023.2178151","http://dx.doi.org/10.1080/15230430.2023.2178151")</f>
        <v>http://dx.doi.org/10.1080/15230430.2023.2178151</v>
      </c>
      <c r="BG41" t="s">
        <v>74</v>
      </c>
      <c r="BH41" t="s">
        <v>74</v>
      </c>
      <c r="BI41">
        <v>22</v>
      </c>
      <c r="BJ41" t="s">
        <v>128</v>
      </c>
      <c r="BK41" t="s">
        <v>100</v>
      </c>
      <c r="BL41" t="s">
        <v>129</v>
      </c>
      <c r="BM41" t="s">
        <v>757</v>
      </c>
      <c r="BN41" t="s">
        <v>74</v>
      </c>
      <c r="BO41" t="s">
        <v>131</v>
      </c>
      <c r="BP41" t="s">
        <v>74</v>
      </c>
      <c r="BQ41" t="s">
        <v>74</v>
      </c>
      <c r="BR41" t="s">
        <v>104</v>
      </c>
      <c r="BS41" t="s">
        <v>758</v>
      </c>
      <c r="BT41" t="str">
        <f>HYPERLINK("https%3A%2F%2Fwww.webofscience.com%2Fwos%2Fwoscc%2Ffull-record%2FWOS:000949067400001","View Full Record in Web of Science")</f>
        <v>View Full Record in Web of Science</v>
      </c>
    </row>
    <row r="42" spans="1:72" x14ac:dyDescent="0.15">
      <c r="A42" t="s">
        <v>72</v>
      </c>
      <c r="B42" t="s">
        <v>759</v>
      </c>
      <c r="C42" t="s">
        <v>74</v>
      </c>
      <c r="D42" t="s">
        <v>74</v>
      </c>
      <c r="E42" t="s">
        <v>74</v>
      </c>
      <c r="F42" t="s">
        <v>760</v>
      </c>
      <c r="G42" t="s">
        <v>74</v>
      </c>
      <c r="H42" t="s">
        <v>74</v>
      </c>
      <c r="I42" t="s">
        <v>761</v>
      </c>
      <c r="J42" t="s">
        <v>109</v>
      </c>
      <c r="K42" t="s">
        <v>74</v>
      </c>
      <c r="L42" t="s">
        <v>74</v>
      </c>
      <c r="M42" t="s">
        <v>78</v>
      </c>
      <c r="N42" t="s">
        <v>79</v>
      </c>
      <c r="O42" t="s">
        <v>74</v>
      </c>
      <c r="P42" t="s">
        <v>74</v>
      </c>
      <c r="Q42" t="s">
        <v>74</v>
      </c>
      <c r="R42" t="s">
        <v>74</v>
      </c>
      <c r="S42" t="s">
        <v>74</v>
      </c>
      <c r="T42" t="s">
        <v>762</v>
      </c>
      <c r="U42" t="s">
        <v>763</v>
      </c>
      <c r="V42" t="s">
        <v>764</v>
      </c>
      <c r="W42" t="s">
        <v>765</v>
      </c>
      <c r="X42" t="s">
        <v>766</v>
      </c>
      <c r="Y42" t="s">
        <v>767</v>
      </c>
      <c r="Z42" t="s">
        <v>768</v>
      </c>
      <c r="AA42" t="s">
        <v>74</v>
      </c>
      <c r="AB42" t="s">
        <v>74</v>
      </c>
      <c r="AC42" t="s">
        <v>74</v>
      </c>
      <c r="AD42" t="s">
        <v>74</v>
      </c>
      <c r="AE42" t="s">
        <v>74</v>
      </c>
      <c r="AF42" t="s">
        <v>74</v>
      </c>
      <c r="AG42">
        <v>72</v>
      </c>
      <c r="AH42">
        <v>2</v>
      </c>
      <c r="AI42">
        <v>2</v>
      </c>
      <c r="AJ42">
        <v>4</v>
      </c>
      <c r="AK42">
        <v>12</v>
      </c>
      <c r="AL42" t="s">
        <v>119</v>
      </c>
      <c r="AM42" t="s">
        <v>120</v>
      </c>
      <c r="AN42" t="s">
        <v>121</v>
      </c>
      <c r="AO42" t="s">
        <v>122</v>
      </c>
      <c r="AP42" t="s">
        <v>123</v>
      </c>
      <c r="AQ42" t="s">
        <v>74</v>
      </c>
      <c r="AR42" t="s">
        <v>124</v>
      </c>
      <c r="AS42" t="s">
        <v>125</v>
      </c>
      <c r="AT42" t="s">
        <v>126</v>
      </c>
      <c r="AU42">
        <v>2023</v>
      </c>
      <c r="AV42">
        <v>55</v>
      </c>
      <c r="AW42">
        <v>1</v>
      </c>
      <c r="AX42" t="s">
        <v>74</v>
      </c>
      <c r="AY42" t="s">
        <v>74</v>
      </c>
      <c r="AZ42" t="s">
        <v>74</v>
      </c>
      <c r="BA42" t="s">
        <v>74</v>
      </c>
      <c r="BB42" t="s">
        <v>74</v>
      </c>
      <c r="BC42" t="s">
        <v>74</v>
      </c>
      <c r="BD42">
        <v>2170086</v>
      </c>
      <c r="BE42" t="s">
        <v>769</v>
      </c>
      <c r="BF42" t="str">
        <f>HYPERLINK("http://dx.doi.org/10.1080/15230430.2023.2170086","http://dx.doi.org/10.1080/15230430.2023.2170086")</f>
        <v>http://dx.doi.org/10.1080/15230430.2023.2170086</v>
      </c>
      <c r="BG42" t="s">
        <v>74</v>
      </c>
      <c r="BH42" t="s">
        <v>74</v>
      </c>
      <c r="BI42">
        <v>18</v>
      </c>
      <c r="BJ42" t="s">
        <v>128</v>
      </c>
      <c r="BK42" t="s">
        <v>100</v>
      </c>
      <c r="BL42" t="s">
        <v>129</v>
      </c>
      <c r="BM42" t="s">
        <v>770</v>
      </c>
      <c r="BN42" t="s">
        <v>74</v>
      </c>
      <c r="BO42" t="s">
        <v>131</v>
      </c>
      <c r="BP42" t="s">
        <v>74</v>
      </c>
      <c r="BQ42" t="s">
        <v>74</v>
      </c>
      <c r="BR42" t="s">
        <v>104</v>
      </c>
      <c r="BS42" t="s">
        <v>771</v>
      </c>
      <c r="BT42" t="str">
        <f>HYPERLINK("https%3A%2F%2Fwww.webofscience.com%2Fwos%2Fwoscc%2Ffull-record%2FWOS:000945645000001","View Full Record in Web of Science")</f>
        <v>View Full Record in Web of Science</v>
      </c>
    </row>
    <row r="43" spans="1:72" x14ac:dyDescent="0.15">
      <c r="A43" t="s">
        <v>72</v>
      </c>
      <c r="B43" t="s">
        <v>772</v>
      </c>
      <c r="C43" t="s">
        <v>74</v>
      </c>
      <c r="D43" t="s">
        <v>74</v>
      </c>
      <c r="E43" t="s">
        <v>74</v>
      </c>
      <c r="F43" t="s">
        <v>773</v>
      </c>
      <c r="G43" t="s">
        <v>74</v>
      </c>
      <c r="H43" t="s">
        <v>74</v>
      </c>
      <c r="I43" t="s">
        <v>774</v>
      </c>
      <c r="J43" t="s">
        <v>109</v>
      </c>
      <c r="K43" t="s">
        <v>74</v>
      </c>
      <c r="L43" t="s">
        <v>74</v>
      </c>
      <c r="M43" t="s">
        <v>78</v>
      </c>
      <c r="N43" t="s">
        <v>79</v>
      </c>
      <c r="O43" t="s">
        <v>74</v>
      </c>
      <c r="P43" t="s">
        <v>74</v>
      </c>
      <c r="Q43" t="s">
        <v>74</v>
      </c>
      <c r="R43" t="s">
        <v>74</v>
      </c>
      <c r="S43" t="s">
        <v>74</v>
      </c>
      <c r="T43" t="s">
        <v>775</v>
      </c>
      <c r="U43" t="s">
        <v>776</v>
      </c>
      <c r="V43" t="s">
        <v>777</v>
      </c>
      <c r="W43" t="s">
        <v>778</v>
      </c>
      <c r="X43" t="s">
        <v>779</v>
      </c>
      <c r="Y43" t="s">
        <v>780</v>
      </c>
      <c r="Z43" t="s">
        <v>781</v>
      </c>
      <c r="AA43" t="s">
        <v>782</v>
      </c>
      <c r="AB43" t="s">
        <v>783</v>
      </c>
      <c r="AC43" t="s">
        <v>74</v>
      </c>
      <c r="AD43" t="s">
        <v>74</v>
      </c>
      <c r="AE43" t="s">
        <v>74</v>
      </c>
      <c r="AF43" t="s">
        <v>74</v>
      </c>
      <c r="AG43">
        <v>93</v>
      </c>
      <c r="AH43">
        <v>1</v>
      </c>
      <c r="AI43">
        <v>1</v>
      </c>
      <c r="AJ43">
        <v>14</v>
      </c>
      <c r="AK43">
        <v>49</v>
      </c>
      <c r="AL43" t="s">
        <v>119</v>
      </c>
      <c r="AM43" t="s">
        <v>120</v>
      </c>
      <c r="AN43" t="s">
        <v>121</v>
      </c>
      <c r="AO43" t="s">
        <v>122</v>
      </c>
      <c r="AP43" t="s">
        <v>123</v>
      </c>
      <c r="AQ43" t="s">
        <v>74</v>
      </c>
      <c r="AR43" t="s">
        <v>124</v>
      </c>
      <c r="AS43" t="s">
        <v>125</v>
      </c>
      <c r="AT43" t="s">
        <v>126</v>
      </c>
      <c r="AU43">
        <v>2023</v>
      </c>
      <c r="AV43">
        <v>55</v>
      </c>
      <c r="AW43">
        <v>1</v>
      </c>
      <c r="AX43" t="s">
        <v>74</v>
      </c>
      <c r="AY43" t="s">
        <v>74</v>
      </c>
      <c r="AZ43" t="s">
        <v>74</v>
      </c>
      <c r="BA43" t="s">
        <v>74</v>
      </c>
      <c r="BB43" t="s">
        <v>74</v>
      </c>
      <c r="BC43" t="s">
        <v>74</v>
      </c>
      <c r="BD43">
        <v>2174282</v>
      </c>
      <c r="BE43" t="s">
        <v>784</v>
      </c>
      <c r="BF43" t="str">
        <f>HYPERLINK("http://dx.doi.org/10.1080/15230430.2023.2174282","http://dx.doi.org/10.1080/15230430.2023.2174282")</f>
        <v>http://dx.doi.org/10.1080/15230430.2023.2174282</v>
      </c>
      <c r="BG43" t="s">
        <v>74</v>
      </c>
      <c r="BH43" t="s">
        <v>74</v>
      </c>
      <c r="BI43">
        <v>15</v>
      </c>
      <c r="BJ43" t="s">
        <v>128</v>
      </c>
      <c r="BK43" t="s">
        <v>100</v>
      </c>
      <c r="BL43" t="s">
        <v>129</v>
      </c>
      <c r="BM43" t="s">
        <v>785</v>
      </c>
      <c r="BN43" t="s">
        <v>74</v>
      </c>
      <c r="BO43" t="s">
        <v>131</v>
      </c>
      <c r="BP43" t="s">
        <v>74</v>
      </c>
      <c r="BQ43" t="s">
        <v>74</v>
      </c>
      <c r="BR43" t="s">
        <v>104</v>
      </c>
      <c r="BS43" t="s">
        <v>786</v>
      </c>
      <c r="BT43" t="str">
        <f>HYPERLINK("https%3A%2F%2Fwww.webofscience.com%2Fwos%2Fwoscc%2Ffull-record%2FWOS:000945652600001","View Full Record in Web of Science")</f>
        <v>View Full Record in Web of Science</v>
      </c>
    </row>
    <row r="44" spans="1:72" x14ac:dyDescent="0.15">
      <c r="A44" t="s">
        <v>72</v>
      </c>
      <c r="B44" t="s">
        <v>459</v>
      </c>
      <c r="C44" t="s">
        <v>74</v>
      </c>
      <c r="D44" t="s">
        <v>74</v>
      </c>
      <c r="E44" t="s">
        <v>74</v>
      </c>
      <c r="F44" t="s">
        <v>460</v>
      </c>
      <c r="G44" t="s">
        <v>74</v>
      </c>
      <c r="H44" t="s">
        <v>74</v>
      </c>
      <c r="I44" t="s">
        <v>787</v>
      </c>
      <c r="J44" t="s">
        <v>109</v>
      </c>
      <c r="K44" t="s">
        <v>74</v>
      </c>
      <c r="L44" t="s">
        <v>74</v>
      </c>
      <c r="M44" t="s">
        <v>78</v>
      </c>
      <c r="N44" t="s">
        <v>79</v>
      </c>
      <c r="O44" t="s">
        <v>74</v>
      </c>
      <c r="P44" t="s">
        <v>74</v>
      </c>
      <c r="Q44" t="s">
        <v>74</v>
      </c>
      <c r="R44" t="s">
        <v>74</v>
      </c>
      <c r="S44" t="s">
        <v>74</v>
      </c>
      <c r="T44" t="s">
        <v>788</v>
      </c>
      <c r="U44" t="s">
        <v>789</v>
      </c>
      <c r="V44" t="s">
        <v>790</v>
      </c>
      <c r="W44" t="s">
        <v>791</v>
      </c>
      <c r="X44" t="s">
        <v>792</v>
      </c>
      <c r="Y44" t="s">
        <v>793</v>
      </c>
      <c r="Z44" t="s">
        <v>794</v>
      </c>
      <c r="AA44" t="s">
        <v>463</v>
      </c>
      <c r="AB44" t="s">
        <v>464</v>
      </c>
      <c r="AC44" t="s">
        <v>74</v>
      </c>
      <c r="AD44" t="s">
        <v>74</v>
      </c>
      <c r="AE44" t="s">
        <v>74</v>
      </c>
      <c r="AF44" t="s">
        <v>74</v>
      </c>
      <c r="AG44">
        <v>54</v>
      </c>
      <c r="AH44">
        <v>3</v>
      </c>
      <c r="AI44">
        <v>3</v>
      </c>
      <c r="AJ44">
        <v>1</v>
      </c>
      <c r="AK44">
        <v>10</v>
      </c>
      <c r="AL44" t="s">
        <v>119</v>
      </c>
      <c r="AM44" t="s">
        <v>120</v>
      </c>
      <c r="AN44" t="s">
        <v>121</v>
      </c>
      <c r="AO44" t="s">
        <v>122</v>
      </c>
      <c r="AP44" t="s">
        <v>123</v>
      </c>
      <c r="AQ44" t="s">
        <v>74</v>
      </c>
      <c r="AR44" t="s">
        <v>124</v>
      </c>
      <c r="AS44" t="s">
        <v>125</v>
      </c>
      <c r="AT44" t="s">
        <v>126</v>
      </c>
      <c r="AU44">
        <v>2023</v>
      </c>
      <c r="AV44">
        <v>55</v>
      </c>
      <c r="AW44">
        <v>1</v>
      </c>
      <c r="AX44" t="s">
        <v>74</v>
      </c>
      <c r="AY44" t="s">
        <v>74</v>
      </c>
      <c r="AZ44" t="s">
        <v>74</v>
      </c>
      <c r="BA44" t="s">
        <v>74</v>
      </c>
      <c r="BB44" t="s">
        <v>74</v>
      </c>
      <c r="BC44" t="s">
        <v>74</v>
      </c>
      <c r="BD44">
        <v>2173138</v>
      </c>
      <c r="BE44" t="s">
        <v>795</v>
      </c>
      <c r="BF44" t="str">
        <f>HYPERLINK("http://dx.doi.org/10.1080/15230430.2023.2173138","http://dx.doi.org/10.1080/15230430.2023.2173138")</f>
        <v>http://dx.doi.org/10.1080/15230430.2023.2173138</v>
      </c>
      <c r="BG44" t="s">
        <v>74</v>
      </c>
      <c r="BH44" t="s">
        <v>74</v>
      </c>
      <c r="BI44">
        <v>16</v>
      </c>
      <c r="BJ44" t="s">
        <v>128</v>
      </c>
      <c r="BK44" t="s">
        <v>100</v>
      </c>
      <c r="BL44" t="s">
        <v>129</v>
      </c>
      <c r="BM44" t="s">
        <v>796</v>
      </c>
      <c r="BN44" t="s">
        <v>74</v>
      </c>
      <c r="BO44" t="s">
        <v>131</v>
      </c>
      <c r="BP44" t="s">
        <v>74</v>
      </c>
      <c r="BQ44" t="s">
        <v>74</v>
      </c>
      <c r="BR44" t="s">
        <v>104</v>
      </c>
      <c r="BS44" t="s">
        <v>797</v>
      </c>
      <c r="BT44" t="str">
        <f>HYPERLINK("https%3A%2F%2Fwww.webofscience.com%2Fwos%2Fwoscc%2Ffull-record%2FWOS:000948592300001","View Full Record in Web of Science")</f>
        <v>View Full Record in Web of Science</v>
      </c>
    </row>
    <row r="45" spans="1:72" x14ac:dyDescent="0.15">
      <c r="A45" t="s">
        <v>72</v>
      </c>
      <c r="B45" t="s">
        <v>798</v>
      </c>
      <c r="C45" t="s">
        <v>74</v>
      </c>
      <c r="D45" t="s">
        <v>74</v>
      </c>
      <c r="E45" t="s">
        <v>74</v>
      </c>
      <c r="F45" t="s">
        <v>799</v>
      </c>
      <c r="G45" t="s">
        <v>74</v>
      </c>
      <c r="H45" t="s">
        <v>74</v>
      </c>
      <c r="I45" t="s">
        <v>800</v>
      </c>
      <c r="J45" t="s">
        <v>370</v>
      </c>
      <c r="K45" t="s">
        <v>74</v>
      </c>
      <c r="L45" t="s">
        <v>74</v>
      </c>
      <c r="M45" t="s">
        <v>78</v>
      </c>
      <c r="N45" t="s">
        <v>79</v>
      </c>
      <c r="O45" t="s">
        <v>74</v>
      </c>
      <c r="P45" t="s">
        <v>74</v>
      </c>
      <c r="Q45" t="s">
        <v>74</v>
      </c>
      <c r="R45" t="s">
        <v>74</v>
      </c>
      <c r="S45" t="s">
        <v>74</v>
      </c>
      <c r="T45" t="s">
        <v>801</v>
      </c>
      <c r="U45" t="s">
        <v>802</v>
      </c>
      <c r="V45" t="s">
        <v>803</v>
      </c>
      <c r="W45" t="s">
        <v>804</v>
      </c>
      <c r="X45" t="s">
        <v>805</v>
      </c>
      <c r="Y45" t="s">
        <v>806</v>
      </c>
      <c r="Z45" t="s">
        <v>807</v>
      </c>
      <c r="AA45" t="s">
        <v>808</v>
      </c>
      <c r="AB45" t="s">
        <v>809</v>
      </c>
      <c r="AC45" t="s">
        <v>810</v>
      </c>
      <c r="AD45" t="s">
        <v>811</v>
      </c>
      <c r="AE45" t="s">
        <v>812</v>
      </c>
      <c r="AF45" t="s">
        <v>74</v>
      </c>
      <c r="AG45">
        <v>62</v>
      </c>
      <c r="AH45">
        <v>3</v>
      </c>
      <c r="AI45">
        <v>3</v>
      </c>
      <c r="AJ45">
        <v>19</v>
      </c>
      <c r="AK45">
        <v>48</v>
      </c>
      <c r="AL45" t="s">
        <v>119</v>
      </c>
      <c r="AM45" t="s">
        <v>120</v>
      </c>
      <c r="AN45" t="s">
        <v>121</v>
      </c>
      <c r="AO45" t="s">
        <v>381</v>
      </c>
      <c r="AP45" t="s">
        <v>382</v>
      </c>
      <c r="AQ45" t="s">
        <v>74</v>
      </c>
      <c r="AR45" t="s">
        <v>383</v>
      </c>
      <c r="AS45" t="s">
        <v>384</v>
      </c>
      <c r="AT45" t="s">
        <v>126</v>
      </c>
      <c r="AU45">
        <v>2023</v>
      </c>
      <c r="AV45">
        <v>16</v>
      </c>
      <c r="AW45">
        <v>1</v>
      </c>
      <c r="AX45" t="s">
        <v>74</v>
      </c>
      <c r="AY45" t="s">
        <v>74</v>
      </c>
      <c r="AZ45" t="s">
        <v>74</v>
      </c>
      <c r="BA45" t="s">
        <v>74</v>
      </c>
      <c r="BB45">
        <v>826</v>
      </c>
      <c r="BC45">
        <v>847</v>
      </c>
      <c r="BD45" t="s">
        <v>74</v>
      </c>
      <c r="BE45" t="s">
        <v>813</v>
      </c>
      <c r="BF45" t="str">
        <f>HYPERLINK("http://dx.doi.org/10.1080/17538947.2023.2181991","http://dx.doi.org/10.1080/17538947.2023.2181991")</f>
        <v>http://dx.doi.org/10.1080/17538947.2023.2181991</v>
      </c>
      <c r="BG45" t="s">
        <v>74</v>
      </c>
      <c r="BH45" t="s">
        <v>74</v>
      </c>
      <c r="BI45">
        <v>22</v>
      </c>
      <c r="BJ45" t="s">
        <v>386</v>
      </c>
      <c r="BK45" t="s">
        <v>100</v>
      </c>
      <c r="BL45" t="s">
        <v>387</v>
      </c>
      <c r="BM45" t="s">
        <v>814</v>
      </c>
      <c r="BN45" t="s">
        <v>74</v>
      </c>
      <c r="BO45" t="s">
        <v>131</v>
      </c>
      <c r="BP45" t="s">
        <v>74</v>
      </c>
      <c r="BQ45" t="s">
        <v>74</v>
      </c>
      <c r="BR45" t="s">
        <v>104</v>
      </c>
      <c r="BS45" t="s">
        <v>815</v>
      </c>
      <c r="BT45" t="str">
        <f>HYPERLINK("https%3A%2F%2Fwww.webofscience.com%2Fwos%2Fwoscc%2Ffull-record%2FWOS:000942567100001","View Full Record in Web of Science")</f>
        <v>View Full Record in Web of Science</v>
      </c>
    </row>
    <row r="46" spans="1:72" x14ac:dyDescent="0.15">
      <c r="A46" t="s">
        <v>72</v>
      </c>
      <c r="B46" t="s">
        <v>816</v>
      </c>
      <c r="C46" t="s">
        <v>74</v>
      </c>
      <c r="D46" t="s">
        <v>74</v>
      </c>
      <c r="E46" t="s">
        <v>74</v>
      </c>
      <c r="F46" t="s">
        <v>817</v>
      </c>
      <c r="G46" t="s">
        <v>74</v>
      </c>
      <c r="H46" t="s">
        <v>74</v>
      </c>
      <c r="I46" t="s">
        <v>818</v>
      </c>
      <c r="J46" t="s">
        <v>819</v>
      </c>
      <c r="K46" t="s">
        <v>74</v>
      </c>
      <c r="L46" t="s">
        <v>74</v>
      </c>
      <c r="M46" t="s">
        <v>78</v>
      </c>
      <c r="N46" t="s">
        <v>79</v>
      </c>
      <c r="O46" t="s">
        <v>74</v>
      </c>
      <c r="P46" t="s">
        <v>74</v>
      </c>
      <c r="Q46" t="s">
        <v>74</v>
      </c>
      <c r="R46" t="s">
        <v>74</v>
      </c>
      <c r="S46" t="s">
        <v>74</v>
      </c>
      <c r="T46" t="s">
        <v>820</v>
      </c>
      <c r="U46" t="s">
        <v>821</v>
      </c>
      <c r="V46" t="s">
        <v>822</v>
      </c>
      <c r="W46" t="s">
        <v>823</v>
      </c>
      <c r="X46" t="s">
        <v>824</v>
      </c>
      <c r="Y46" t="s">
        <v>825</v>
      </c>
      <c r="Z46" t="s">
        <v>826</v>
      </c>
      <c r="AA46" t="s">
        <v>74</v>
      </c>
      <c r="AB46" t="s">
        <v>74</v>
      </c>
      <c r="AC46" t="s">
        <v>827</v>
      </c>
      <c r="AD46" t="s">
        <v>828</v>
      </c>
      <c r="AE46" t="s">
        <v>829</v>
      </c>
      <c r="AF46" t="s">
        <v>74</v>
      </c>
      <c r="AG46">
        <v>62</v>
      </c>
      <c r="AH46">
        <v>0</v>
      </c>
      <c r="AI46">
        <v>0</v>
      </c>
      <c r="AJ46">
        <v>5</v>
      </c>
      <c r="AK46">
        <v>28</v>
      </c>
      <c r="AL46" t="s">
        <v>830</v>
      </c>
      <c r="AM46" t="s">
        <v>831</v>
      </c>
      <c r="AN46" t="s">
        <v>832</v>
      </c>
      <c r="AO46" t="s">
        <v>833</v>
      </c>
      <c r="AP46" t="s">
        <v>834</v>
      </c>
      <c r="AQ46" t="s">
        <v>74</v>
      </c>
      <c r="AR46" t="s">
        <v>835</v>
      </c>
      <c r="AS46" t="s">
        <v>836</v>
      </c>
      <c r="AT46" t="s">
        <v>126</v>
      </c>
      <c r="AU46">
        <v>2023</v>
      </c>
      <c r="AV46">
        <v>18</v>
      </c>
      <c r="AW46">
        <v>1</v>
      </c>
      <c r="AX46" t="s">
        <v>74</v>
      </c>
      <c r="AY46" t="s">
        <v>74</v>
      </c>
      <c r="AZ46" t="s">
        <v>74</v>
      </c>
      <c r="BA46" t="s">
        <v>74</v>
      </c>
      <c r="BB46" t="s">
        <v>74</v>
      </c>
      <c r="BC46" t="s">
        <v>74</v>
      </c>
      <c r="BD46">
        <v>2184588</v>
      </c>
      <c r="BE46" t="s">
        <v>837</v>
      </c>
      <c r="BF46" t="str">
        <f>HYPERLINK("http://dx.doi.org/10.1080/15592324.2023.2184588","http://dx.doi.org/10.1080/15592324.2023.2184588")</f>
        <v>http://dx.doi.org/10.1080/15592324.2023.2184588</v>
      </c>
      <c r="BG46" t="s">
        <v>74</v>
      </c>
      <c r="BH46" t="s">
        <v>74</v>
      </c>
      <c r="BI46">
        <v>10</v>
      </c>
      <c r="BJ46" t="s">
        <v>838</v>
      </c>
      <c r="BK46" t="s">
        <v>100</v>
      </c>
      <c r="BL46" t="s">
        <v>838</v>
      </c>
      <c r="BM46" t="s">
        <v>839</v>
      </c>
      <c r="BN46">
        <v>38126947</v>
      </c>
      <c r="BO46" t="s">
        <v>265</v>
      </c>
      <c r="BP46" t="s">
        <v>74</v>
      </c>
      <c r="BQ46" t="s">
        <v>74</v>
      </c>
      <c r="BR46" t="s">
        <v>104</v>
      </c>
      <c r="BS46" t="s">
        <v>840</v>
      </c>
      <c r="BT46" t="str">
        <f>HYPERLINK("https%3A%2F%2Fwww.webofscience.com%2Fwos%2Fwoscc%2Ffull-record%2FWOS:000946395700001","View Full Record in Web of Science")</f>
        <v>View Full Record in Web of Science</v>
      </c>
    </row>
    <row r="47" spans="1:72" x14ac:dyDescent="0.15">
      <c r="A47" t="s">
        <v>72</v>
      </c>
      <c r="B47" t="s">
        <v>841</v>
      </c>
      <c r="C47" t="s">
        <v>74</v>
      </c>
      <c r="D47" t="s">
        <v>74</v>
      </c>
      <c r="E47" t="s">
        <v>74</v>
      </c>
      <c r="F47" t="s">
        <v>842</v>
      </c>
      <c r="G47" t="s">
        <v>74</v>
      </c>
      <c r="H47" t="s">
        <v>74</v>
      </c>
      <c r="I47" t="s">
        <v>843</v>
      </c>
      <c r="J47" t="s">
        <v>109</v>
      </c>
      <c r="K47" t="s">
        <v>74</v>
      </c>
      <c r="L47" t="s">
        <v>74</v>
      </c>
      <c r="M47" t="s">
        <v>78</v>
      </c>
      <c r="N47" t="s">
        <v>79</v>
      </c>
      <c r="O47" t="s">
        <v>74</v>
      </c>
      <c r="P47" t="s">
        <v>74</v>
      </c>
      <c r="Q47" t="s">
        <v>74</v>
      </c>
      <c r="R47" t="s">
        <v>74</v>
      </c>
      <c r="S47" t="s">
        <v>74</v>
      </c>
      <c r="T47" t="s">
        <v>844</v>
      </c>
      <c r="U47" t="s">
        <v>845</v>
      </c>
      <c r="V47" t="s">
        <v>846</v>
      </c>
      <c r="W47" t="s">
        <v>847</v>
      </c>
      <c r="X47" t="s">
        <v>848</v>
      </c>
      <c r="Y47" t="s">
        <v>849</v>
      </c>
      <c r="Z47" t="s">
        <v>850</v>
      </c>
      <c r="AA47" t="s">
        <v>851</v>
      </c>
      <c r="AB47" t="s">
        <v>852</v>
      </c>
      <c r="AC47" t="s">
        <v>853</v>
      </c>
      <c r="AD47" t="s">
        <v>854</v>
      </c>
      <c r="AE47" t="s">
        <v>855</v>
      </c>
      <c r="AF47" t="s">
        <v>74</v>
      </c>
      <c r="AG47">
        <v>81</v>
      </c>
      <c r="AH47">
        <v>0</v>
      </c>
      <c r="AI47">
        <v>0</v>
      </c>
      <c r="AJ47">
        <v>9</v>
      </c>
      <c r="AK47">
        <v>18</v>
      </c>
      <c r="AL47" t="s">
        <v>119</v>
      </c>
      <c r="AM47" t="s">
        <v>120</v>
      </c>
      <c r="AN47" t="s">
        <v>121</v>
      </c>
      <c r="AO47" t="s">
        <v>122</v>
      </c>
      <c r="AP47" t="s">
        <v>123</v>
      </c>
      <c r="AQ47" t="s">
        <v>74</v>
      </c>
      <c r="AR47" t="s">
        <v>124</v>
      </c>
      <c r="AS47" t="s">
        <v>125</v>
      </c>
      <c r="AT47" t="s">
        <v>126</v>
      </c>
      <c r="AU47">
        <v>2023</v>
      </c>
      <c r="AV47">
        <v>55</v>
      </c>
      <c r="AW47">
        <v>1</v>
      </c>
      <c r="AX47" t="s">
        <v>74</v>
      </c>
      <c r="AY47" t="s">
        <v>74</v>
      </c>
      <c r="AZ47" t="s">
        <v>74</v>
      </c>
      <c r="BA47" t="s">
        <v>74</v>
      </c>
      <c r="BB47" t="s">
        <v>74</v>
      </c>
      <c r="BC47" t="s">
        <v>74</v>
      </c>
      <c r="BD47">
        <v>2167358</v>
      </c>
      <c r="BE47" t="s">
        <v>856</v>
      </c>
      <c r="BF47" t="str">
        <f>HYPERLINK("http://dx.doi.org/10.1080/15230430.2023.2167358","http://dx.doi.org/10.1080/15230430.2023.2167358")</f>
        <v>http://dx.doi.org/10.1080/15230430.2023.2167358</v>
      </c>
      <c r="BG47" t="s">
        <v>74</v>
      </c>
      <c r="BH47" t="s">
        <v>74</v>
      </c>
      <c r="BI47">
        <v>19</v>
      </c>
      <c r="BJ47" t="s">
        <v>128</v>
      </c>
      <c r="BK47" t="s">
        <v>100</v>
      </c>
      <c r="BL47" t="s">
        <v>129</v>
      </c>
      <c r="BM47" t="s">
        <v>857</v>
      </c>
      <c r="BN47" t="s">
        <v>74</v>
      </c>
      <c r="BO47" t="s">
        <v>131</v>
      </c>
      <c r="BP47" t="s">
        <v>74</v>
      </c>
      <c r="BQ47" t="s">
        <v>74</v>
      </c>
      <c r="BR47" t="s">
        <v>104</v>
      </c>
      <c r="BS47" t="s">
        <v>858</v>
      </c>
      <c r="BT47" t="str">
        <f>HYPERLINK("https%3A%2F%2Fwww.webofscience.com%2Fwos%2Fwoscc%2Ffull-record%2FWOS:000940234500001","View Full Record in Web of Science")</f>
        <v>View Full Record in Web of Science</v>
      </c>
    </row>
    <row r="48" spans="1:72" x14ac:dyDescent="0.15">
      <c r="A48" t="s">
        <v>72</v>
      </c>
      <c r="B48" t="s">
        <v>859</v>
      </c>
      <c r="C48" t="s">
        <v>74</v>
      </c>
      <c r="D48" t="s">
        <v>74</v>
      </c>
      <c r="E48" t="s">
        <v>74</v>
      </c>
      <c r="F48" t="s">
        <v>860</v>
      </c>
      <c r="G48" t="s">
        <v>74</v>
      </c>
      <c r="H48" t="s">
        <v>74</v>
      </c>
      <c r="I48" t="s">
        <v>861</v>
      </c>
      <c r="J48" t="s">
        <v>109</v>
      </c>
      <c r="K48" t="s">
        <v>74</v>
      </c>
      <c r="L48" t="s">
        <v>74</v>
      </c>
      <c r="M48" t="s">
        <v>78</v>
      </c>
      <c r="N48" t="s">
        <v>79</v>
      </c>
      <c r="O48" t="s">
        <v>74</v>
      </c>
      <c r="P48" t="s">
        <v>74</v>
      </c>
      <c r="Q48" t="s">
        <v>74</v>
      </c>
      <c r="R48" t="s">
        <v>74</v>
      </c>
      <c r="S48" t="s">
        <v>74</v>
      </c>
      <c r="T48" t="s">
        <v>862</v>
      </c>
      <c r="U48" t="s">
        <v>863</v>
      </c>
      <c r="V48" t="s">
        <v>864</v>
      </c>
      <c r="W48" t="s">
        <v>865</v>
      </c>
      <c r="X48" t="s">
        <v>866</v>
      </c>
      <c r="Y48" t="s">
        <v>867</v>
      </c>
      <c r="Z48" t="s">
        <v>868</v>
      </c>
      <c r="AA48" t="s">
        <v>869</v>
      </c>
      <c r="AB48" t="s">
        <v>870</v>
      </c>
      <c r="AC48" t="s">
        <v>871</v>
      </c>
      <c r="AD48" t="s">
        <v>871</v>
      </c>
      <c r="AE48" t="s">
        <v>872</v>
      </c>
      <c r="AF48" t="s">
        <v>74</v>
      </c>
      <c r="AG48">
        <v>124</v>
      </c>
      <c r="AH48">
        <v>0</v>
      </c>
      <c r="AI48">
        <v>0</v>
      </c>
      <c r="AJ48">
        <v>5</v>
      </c>
      <c r="AK48">
        <v>29</v>
      </c>
      <c r="AL48" t="s">
        <v>119</v>
      </c>
      <c r="AM48" t="s">
        <v>120</v>
      </c>
      <c r="AN48" t="s">
        <v>121</v>
      </c>
      <c r="AO48" t="s">
        <v>122</v>
      </c>
      <c r="AP48" t="s">
        <v>123</v>
      </c>
      <c r="AQ48" t="s">
        <v>74</v>
      </c>
      <c r="AR48" t="s">
        <v>124</v>
      </c>
      <c r="AS48" t="s">
        <v>125</v>
      </c>
      <c r="AT48" t="s">
        <v>126</v>
      </c>
      <c r="AU48">
        <v>2023</v>
      </c>
      <c r="AV48">
        <v>55</v>
      </c>
      <c r="AW48">
        <v>1</v>
      </c>
      <c r="AX48" t="s">
        <v>74</v>
      </c>
      <c r="AY48" t="s">
        <v>74</v>
      </c>
      <c r="AZ48" t="s">
        <v>74</v>
      </c>
      <c r="BA48" t="s">
        <v>74</v>
      </c>
      <c r="BB48" t="s">
        <v>74</v>
      </c>
      <c r="BC48" t="s">
        <v>74</v>
      </c>
      <c r="BD48">
        <v>2164999</v>
      </c>
      <c r="BE48" t="s">
        <v>873</v>
      </c>
      <c r="BF48" t="str">
        <f>HYPERLINK("http://dx.doi.org/10.1080/15230430.2023.2164999","http://dx.doi.org/10.1080/15230430.2023.2164999")</f>
        <v>http://dx.doi.org/10.1080/15230430.2023.2164999</v>
      </c>
      <c r="BG48" t="s">
        <v>74</v>
      </c>
      <c r="BH48" t="s">
        <v>74</v>
      </c>
      <c r="BI48">
        <v>17</v>
      </c>
      <c r="BJ48" t="s">
        <v>128</v>
      </c>
      <c r="BK48" t="s">
        <v>100</v>
      </c>
      <c r="BL48" t="s">
        <v>129</v>
      </c>
      <c r="BM48" t="s">
        <v>874</v>
      </c>
      <c r="BN48" t="s">
        <v>74</v>
      </c>
      <c r="BO48" t="s">
        <v>200</v>
      </c>
      <c r="BP48" t="s">
        <v>74</v>
      </c>
      <c r="BQ48" t="s">
        <v>74</v>
      </c>
      <c r="BR48" t="s">
        <v>104</v>
      </c>
      <c r="BS48" t="s">
        <v>875</v>
      </c>
      <c r="BT48" t="str">
        <f>HYPERLINK("https%3A%2F%2Fwww.webofscience.com%2Fwos%2Fwoscc%2Ffull-record%2FWOS:000939152600001","View Full Record in Web of Science")</f>
        <v>View Full Record in Web of Science</v>
      </c>
    </row>
    <row r="49" spans="1:72" x14ac:dyDescent="0.15">
      <c r="A49" t="s">
        <v>72</v>
      </c>
      <c r="B49" t="s">
        <v>876</v>
      </c>
      <c r="C49" t="s">
        <v>74</v>
      </c>
      <c r="D49" t="s">
        <v>74</v>
      </c>
      <c r="E49" t="s">
        <v>74</v>
      </c>
      <c r="F49" t="s">
        <v>877</v>
      </c>
      <c r="G49" t="s">
        <v>74</v>
      </c>
      <c r="H49" t="s">
        <v>74</v>
      </c>
      <c r="I49" t="s">
        <v>878</v>
      </c>
      <c r="J49" t="s">
        <v>440</v>
      </c>
      <c r="K49" t="s">
        <v>74</v>
      </c>
      <c r="L49" t="s">
        <v>74</v>
      </c>
      <c r="M49" t="s">
        <v>78</v>
      </c>
      <c r="N49" t="s">
        <v>79</v>
      </c>
      <c r="O49" t="s">
        <v>74</v>
      </c>
      <c r="P49" t="s">
        <v>74</v>
      </c>
      <c r="Q49" t="s">
        <v>74</v>
      </c>
      <c r="R49" t="s">
        <v>74</v>
      </c>
      <c r="S49" t="s">
        <v>74</v>
      </c>
      <c r="T49" t="s">
        <v>879</v>
      </c>
      <c r="U49" t="s">
        <v>880</v>
      </c>
      <c r="V49" t="s">
        <v>881</v>
      </c>
      <c r="W49" t="s">
        <v>882</v>
      </c>
      <c r="X49" t="s">
        <v>883</v>
      </c>
      <c r="Y49" t="s">
        <v>884</v>
      </c>
      <c r="Z49" t="s">
        <v>885</v>
      </c>
      <c r="AA49" t="s">
        <v>74</v>
      </c>
      <c r="AB49" t="s">
        <v>74</v>
      </c>
      <c r="AC49" t="s">
        <v>886</v>
      </c>
      <c r="AD49" t="s">
        <v>887</v>
      </c>
      <c r="AE49" t="s">
        <v>888</v>
      </c>
      <c r="AF49" t="s">
        <v>74</v>
      </c>
      <c r="AG49">
        <v>24</v>
      </c>
      <c r="AH49">
        <v>1</v>
      </c>
      <c r="AI49">
        <v>1</v>
      </c>
      <c r="AJ49">
        <v>0</v>
      </c>
      <c r="AK49">
        <v>10</v>
      </c>
      <c r="AL49" t="s">
        <v>119</v>
      </c>
      <c r="AM49" t="s">
        <v>120</v>
      </c>
      <c r="AN49" t="s">
        <v>121</v>
      </c>
      <c r="AO49" t="s">
        <v>450</v>
      </c>
      <c r="AP49" t="s">
        <v>451</v>
      </c>
      <c r="AQ49" t="s">
        <v>74</v>
      </c>
      <c r="AR49" t="s">
        <v>452</v>
      </c>
      <c r="AS49" t="s">
        <v>453</v>
      </c>
      <c r="AT49" t="s">
        <v>126</v>
      </c>
      <c r="AU49">
        <v>2023</v>
      </c>
      <c r="AV49">
        <v>82</v>
      </c>
      <c r="AW49">
        <v>1</v>
      </c>
      <c r="AX49" t="s">
        <v>74</v>
      </c>
      <c r="AY49" t="s">
        <v>74</v>
      </c>
      <c r="AZ49" t="s">
        <v>74</v>
      </c>
      <c r="BA49" t="s">
        <v>74</v>
      </c>
      <c r="BB49" t="s">
        <v>74</v>
      </c>
      <c r="BC49" t="s">
        <v>74</v>
      </c>
      <c r="BD49">
        <v>2179453</v>
      </c>
      <c r="BE49" t="s">
        <v>889</v>
      </c>
      <c r="BF49" t="str">
        <f>HYPERLINK("http://dx.doi.org/10.1080/22423982.2023.2179453","http://dx.doi.org/10.1080/22423982.2023.2179453")</f>
        <v>http://dx.doi.org/10.1080/22423982.2023.2179453</v>
      </c>
      <c r="BG49" t="s">
        <v>74</v>
      </c>
      <c r="BH49" t="s">
        <v>74</v>
      </c>
      <c r="BI49">
        <v>7</v>
      </c>
      <c r="BJ49" t="s">
        <v>455</v>
      </c>
      <c r="BK49" t="s">
        <v>456</v>
      </c>
      <c r="BL49" t="s">
        <v>455</v>
      </c>
      <c r="BM49" t="s">
        <v>890</v>
      </c>
      <c r="BN49">
        <v>36871248</v>
      </c>
      <c r="BO49" t="s">
        <v>265</v>
      </c>
      <c r="BP49" t="s">
        <v>74</v>
      </c>
      <c r="BQ49" t="s">
        <v>74</v>
      </c>
      <c r="BR49" t="s">
        <v>104</v>
      </c>
      <c r="BS49" t="s">
        <v>891</v>
      </c>
      <c r="BT49" t="str">
        <f>HYPERLINK("https%3A%2F%2Fwww.webofscience.com%2Fwos%2Fwoscc%2Ffull-record%2FWOS:000943669800001","View Full Record in Web of Science")</f>
        <v>View Full Record in Web of Science</v>
      </c>
    </row>
    <row r="50" spans="1:72" x14ac:dyDescent="0.15">
      <c r="A50" t="s">
        <v>72</v>
      </c>
      <c r="B50" t="s">
        <v>892</v>
      </c>
      <c r="C50" t="s">
        <v>74</v>
      </c>
      <c r="D50" t="s">
        <v>74</v>
      </c>
      <c r="E50" t="s">
        <v>74</v>
      </c>
      <c r="F50" t="s">
        <v>893</v>
      </c>
      <c r="G50" t="s">
        <v>74</v>
      </c>
      <c r="H50" t="s">
        <v>74</v>
      </c>
      <c r="I50" t="s">
        <v>894</v>
      </c>
      <c r="J50" t="s">
        <v>895</v>
      </c>
      <c r="K50" t="s">
        <v>74</v>
      </c>
      <c r="L50" t="s">
        <v>74</v>
      </c>
      <c r="M50" t="s">
        <v>78</v>
      </c>
      <c r="N50" t="s">
        <v>79</v>
      </c>
      <c r="O50" t="s">
        <v>74</v>
      </c>
      <c r="P50" t="s">
        <v>74</v>
      </c>
      <c r="Q50" t="s">
        <v>74</v>
      </c>
      <c r="R50" t="s">
        <v>74</v>
      </c>
      <c r="S50" t="s">
        <v>74</v>
      </c>
      <c r="T50" t="s">
        <v>896</v>
      </c>
      <c r="U50" t="s">
        <v>897</v>
      </c>
      <c r="V50" t="s">
        <v>898</v>
      </c>
      <c r="W50" t="s">
        <v>899</v>
      </c>
      <c r="X50" t="s">
        <v>900</v>
      </c>
      <c r="Y50" t="s">
        <v>901</v>
      </c>
      <c r="Z50" t="s">
        <v>902</v>
      </c>
      <c r="AA50" t="s">
        <v>903</v>
      </c>
      <c r="AB50" t="s">
        <v>904</v>
      </c>
      <c r="AC50" t="s">
        <v>905</v>
      </c>
      <c r="AD50" t="s">
        <v>905</v>
      </c>
      <c r="AE50" t="s">
        <v>906</v>
      </c>
      <c r="AF50" t="s">
        <v>74</v>
      </c>
      <c r="AG50">
        <v>86</v>
      </c>
      <c r="AH50">
        <v>6</v>
      </c>
      <c r="AI50">
        <v>6</v>
      </c>
      <c r="AJ50">
        <v>0</v>
      </c>
      <c r="AK50">
        <v>8</v>
      </c>
      <c r="AL50" t="s">
        <v>119</v>
      </c>
      <c r="AM50" t="s">
        <v>120</v>
      </c>
      <c r="AN50" t="s">
        <v>121</v>
      </c>
      <c r="AO50" t="s">
        <v>74</v>
      </c>
      <c r="AP50" t="s">
        <v>907</v>
      </c>
      <c r="AQ50" t="s">
        <v>74</v>
      </c>
      <c r="AR50" t="s">
        <v>908</v>
      </c>
      <c r="AS50" t="s">
        <v>909</v>
      </c>
      <c r="AT50" t="s">
        <v>126</v>
      </c>
      <c r="AU50">
        <v>2023</v>
      </c>
      <c r="AV50">
        <v>19</v>
      </c>
      <c r="AW50">
        <v>1</v>
      </c>
      <c r="AX50" t="s">
        <v>74</v>
      </c>
      <c r="AY50" t="s">
        <v>74</v>
      </c>
      <c r="AZ50" t="s">
        <v>74</v>
      </c>
      <c r="BA50" t="s">
        <v>74</v>
      </c>
      <c r="BB50" t="s">
        <v>74</v>
      </c>
      <c r="BC50" t="s">
        <v>74</v>
      </c>
      <c r="BD50">
        <v>2164798</v>
      </c>
      <c r="BE50" t="s">
        <v>910</v>
      </c>
      <c r="BF50" t="str">
        <f>HYPERLINK("http://dx.doi.org/10.1080/26395916.2022.2164798","http://dx.doi.org/10.1080/26395916.2022.2164798")</f>
        <v>http://dx.doi.org/10.1080/26395916.2022.2164798</v>
      </c>
      <c r="BG50" t="s">
        <v>74</v>
      </c>
      <c r="BH50" t="s">
        <v>74</v>
      </c>
      <c r="BI50">
        <v>16</v>
      </c>
      <c r="BJ50" t="s">
        <v>911</v>
      </c>
      <c r="BK50" t="s">
        <v>912</v>
      </c>
      <c r="BL50" t="s">
        <v>913</v>
      </c>
      <c r="BM50" t="s">
        <v>914</v>
      </c>
      <c r="BN50" t="s">
        <v>74</v>
      </c>
      <c r="BO50" t="s">
        <v>131</v>
      </c>
      <c r="BP50" t="s">
        <v>74</v>
      </c>
      <c r="BQ50" t="s">
        <v>74</v>
      </c>
      <c r="BR50" t="s">
        <v>104</v>
      </c>
      <c r="BS50" t="s">
        <v>915</v>
      </c>
      <c r="BT50" t="str">
        <f>HYPERLINK("https%3A%2F%2Fwww.webofscience.com%2Fwos%2Fwoscc%2Ffull-record%2FWOS:000919673600001","View Full Record in Web of Science")</f>
        <v>View Full Record in Web of Science</v>
      </c>
    </row>
    <row r="51" spans="1:72" x14ac:dyDescent="0.15">
      <c r="A51" t="s">
        <v>72</v>
      </c>
      <c r="B51" t="s">
        <v>916</v>
      </c>
      <c r="C51" t="s">
        <v>74</v>
      </c>
      <c r="D51" t="s">
        <v>74</v>
      </c>
      <c r="E51" t="s">
        <v>74</v>
      </c>
      <c r="F51" t="s">
        <v>917</v>
      </c>
      <c r="G51" t="s">
        <v>74</v>
      </c>
      <c r="H51" t="s">
        <v>74</v>
      </c>
      <c r="I51" t="s">
        <v>918</v>
      </c>
      <c r="J51" t="s">
        <v>919</v>
      </c>
      <c r="K51" t="s">
        <v>74</v>
      </c>
      <c r="L51" t="s">
        <v>74</v>
      </c>
      <c r="M51" t="s">
        <v>78</v>
      </c>
      <c r="N51" t="s">
        <v>920</v>
      </c>
      <c r="O51" t="s">
        <v>74</v>
      </c>
      <c r="P51" t="s">
        <v>74</v>
      </c>
      <c r="Q51" t="s">
        <v>74</v>
      </c>
      <c r="R51" t="s">
        <v>74</v>
      </c>
      <c r="S51" t="s">
        <v>74</v>
      </c>
      <c r="T51" t="s">
        <v>74</v>
      </c>
      <c r="U51" t="s">
        <v>74</v>
      </c>
      <c r="V51" t="s">
        <v>74</v>
      </c>
      <c r="W51" t="s">
        <v>921</v>
      </c>
      <c r="X51" t="s">
        <v>922</v>
      </c>
      <c r="Y51" t="s">
        <v>923</v>
      </c>
      <c r="Z51" t="s">
        <v>924</v>
      </c>
      <c r="AA51" t="s">
        <v>925</v>
      </c>
      <c r="AB51" t="s">
        <v>74</v>
      </c>
      <c r="AC51" t="s">
        <v>74</v>
      </c>
      <c r="AD51" t="s">
        <v>74</v>
      </c>
      <c r="AE51" t="s">
        <v>74</v>
      </c>
      <c r="AF51" t="s">
        <v>74</v>
      </c>
      <c r="AG51">
        <v>0</v>
      </c>
      <c r="AH51">
        <v>0</v>
      </c>
      <c r="AI51">
        <v>0</v>
      </c>
      <c r="AJ51">
        <v>4</v>
      </c>
      <c r="AK51">
        <v>7</v>
      </c>
      <c r="AL51" t="s">
        <v>830</v>
      </c>
      <c r="AM51" t="s">
        <v>831</v>
      </c>
      <c r="AN51" t="s">
        <v>832</v>
      </c>
      <c r="AO51" t="s">
        <v>926</v>
      </c>
      <c r="AP51" t="s">
        <v>927</v>
      </c>
      <c r="AQ51" t="s">
        <v>74</v>
      </c>
      <c r="AR51" t="s">
        <v>919</v>
      </c>
      <c r="AS51" t="s">
        <v>928</v>
      </c>
      <c r="AT51" t="s">
        <v>126</v>
      </c>
      <c r="AU51">
        <v>2023</v>
      </c>
      <c r="AV51">
        <v>17</v>
      </c>
      <c r="AW51">
        <v>1</v>
      </c>
      <c r="AX51" t="s">
        <v>74</v>
      </c>
      <c r="AY51" t="s">
        <v>74</v>
      </c>
      <c r="AZ51" t="s">
        <v>74</v>
      </c>
      <c r="BA51" t="s">
        <v>74</v>
      </c>
      <c r="BB51" t="s">
        <v>74</v>
      </c>
      <c r="BC51" t="s">
        <v>74</v>
      </c>
      <c r="BD51">
        <v>2162603</v>
      </c>
      <c r="BE51" t="s">
        <v>929</v>
      </c>
      <c r="BF51" t="str">
        <f>HYPERLINK("http://dx.doi.org/10.1080/19336934.2022.2162603","http://dx.doi.org/10.1080/19336934.2022.2162603")</f>
        <v>http://dx.doi.org/10.1080/19336934.2022.2162603</v>
      </c>
      <c r="BG51" t="s">
        <v>74</v>
      </c>
      <c r="BH51" t="s">
        <v>74</v>
      </c>
      <c r="BI51">
        <v>3</v>
      </c>
      <c r="BJ51" t="s">
        <v>930</v>
      </c>
      <c r="BK51" t="s">
        <v>100</v>
      </c>
      <c r="BL51" t="s">
        <v>930</v>
      </c>
      <c r="BM51" t="s">
        <v>931</v>
      </c>
      <c r="BN51">
        <v>36577738</v>
      </c>
      <c r="BO51" t="s">
        <v>265</v>
      </c>
      <c r="BP51" t="s">
        <v>74</v>
      </c>
      <c r="BQ51" t="s">
        <v>74</v>
      </c>
      <c r="BR51" t="s">
        <v>104</v>
      </c>
      <c r="BS51" t="s">
        <v>932</v>
      </c>
      <c r="BT51" t="str">
        <f>HYPERLINK("https%3A%2F%2Fwww.webofscience.com%2Fwos%2Fwoscc%2Ffull-record%2FWOS:000905538100001","View Full Record in Web of Science")</f>
        <v>View Full Record in Web of Science</v>
      </c>
    </row>
    <row r="52" spans="1:72" x14ac:dyDescent="0.15">
      <c r="A52" t="s">
        <v>72</v>
      </c>
      <c r="B52" t="s">
        <v>933</v>
      </c>
      <c r="C52" t="s">
        <v>74</v>
      </c>
      <c r="D52" t="s">
        <v>74</v>
      </c>
      <c r="E52" t="s">
        <v>74</v>
      </c>
      <c r="F52" t="s">
        <v>934</v>
      </c>
      <c r="G52" t="s">
        <v>74</v>
      </c>
      <c r="H52" t="s">
        <v>74</v>
      </c>
      <c r="I52" t="s">
        <v>935</v>
      </c>
      <c r="J52" t="s">
        <v>936</v>
      </c>
      <c r="K52" t="s">
        <v>74</v>
      </c>
      <c r="L52" t="s">
        <v>74</v>
      </c>
      <c r="M52" t="s">
        <v>78</v>
      </c>
      <c r="N52" t="s">
        <v>79</v>
      </c>
      <c r="O52" t="s">
        <v>74</v>
      </c>
      <c r="P52" t="s">
        <v>74</v>
      </c>
      <c r="Q52" t="s">
        <v>74</v>
      </c>
      <c r="R52" t="s">
        <v>74</v>
      </c>
      <c r="S52" t="s">
        <v>74</v>
      </c>
      <c r="T52" t="s">
        <v>937</v>
      </c>
      <c r="U52" t="s">
        <v>938</v>
      </c>
      <c r="V52" t="s">
        <v>939</v>
      </c>
      <c r="W52" t="s">
        <v>940</v>
      </c>
      <c r="X52" t="s">
        <v>941</v>
      </c>
      <c r="Y52" t="s">
        <v>942</v>
      </c>
      <c r="Z52" t="s">
        <v>943</v>
      </c>
      <c r="AA52" t="s">
        <v>74</v>
      </c>
      <c r="AB52" t="s">
        <v>74</v>
      </c>
      <c r="AC52" t="s">
        <v>944</v>
      </c>
      <c r="AD52" t="s">
        <v>945</v>
      </c>
      <c r="AE52" t="s">
        <v>946</v>
      </c>
      <c r="AF52" t="s">
        <v>74</v>
      </c>
      <c r="AG52">
        <v>31</v>
      </c>
      <c r="AH52">
        <v>0</v>
      </c>
      <c r="AI52">
        <v>0</v>
      </c>
      <c r="AJ52">
        <v>3</v>
      </c>
      <c r="AK52">
        <v>3</v>
      </c>
      <c r="AL52" t="s">
        <v>947</v>
      </c>
      <c r="AM52" t="s">
        <v>948</v>
      </c>
      <c r="AN52" t="s">
        <v>949</v>
      </c>
      <c r="AO52" t="s">
        <v>950</v>
      </c>
      <c r="AP52" t="s">
        <v>951</v>
      </c>
      <c r="AQ52" t="s">
        <v>74</v>
      </c>
      <c r="AR52" t="s">
        <v>952</v>
      </c>
      <c r="AS52" t="s">
        <v>953</v>
      </c>
      <c r="AT52" t="s">
        <v>954</v>
      </c>
      <c r="AU52">
        <v>2024</v>
      </c>
      <c r="AV52">
        <v>158</v>
      </c>
      <c r="AW52" t="s">
        <v>74</v>
      </c>
      <c r="AX52" t="s">
        <v>74</v>
      </c>
      <c r="AY52" t="s">
        <v>74</v>
      </c>
      <c r="AZ52" t="s">
        <v>74</v>
      </c>
      <c r="BA52" t="s">
        <v>74</v>
      </c>
      <c r="BB52" t="s">
        <v>74</v>
      </c>
      <c r="BC52" t="s">
        <v>74</v>
      </c>
      <c r="BD52">
        <v>111484</v>
      </c>
      <c r="BE52" t="s">
        <v>955</v>
      </c>
      <c r="BF52" t="str">
        <f>HYPERLINK("http://dx.doi.org/10.1016/j.ecolind.2023.111484","http://dx.doi.org/10.1016/j.ecolind.2023.111484")</f>
        <v>http://dx.doi.org/10.1016/j.ecolind.2023.111484</v>
      </c>
      <c r="BG52" t="s">
        <v>74</v>
      </c>
      <c r="BH52" t="s">
        <v>98</v>
      </c>
      <c r="BI52">
        <v>10</v>
      </c>
      <c r="BJ52" t="s">
        <v>956</v>
      </c>
      <c r="BK52" t="s">
        <v>100</v>
      </c>
      <c r="BL52" t="s">
        <v>913</v>
      </c>
      <c r="BM52" t="s">
        <v>957</v>
      </c>
      <c r="BN52" t="s">
        <v>74</v>
      </c>
      <c r="BO52" t="s">
        <v>131</v>
      </c>
      <c r="BP52" t="s">
        <v>74</v>
      </c>
      <c r="BQ52" t="s">
        <v>74</v>
      </c>
      <c r="BR52" t="s">
        <v>104</v>
      </c>
      <c r="BS52" t="s">
        <v>958</v>
      </c>
      <c r="BT52" t="str">
        <f>HYPERLINK("https%3A%2F%2Fwww.webofscience.com%2Fwos%2Fwoscc%2Ffull-record%2FWOS:001165037200001","View Full Record in Web of Science")</f>
        <v>View Full Record in Web of Science</v>
      </c>
    </row>
    <row r="53" spans="1:72" x14ac:dyDescent="0.15">
      <c r="A53" t="s">
        <v>72</v>
      </c>
      <c r="B53" t="s">
        <v>959</v>
      </c>
      <c r="C53" t="s">
        <v>74</v>
      </c>
      <c r="D53" t="s">
        <v>74</v>
      </c>
      <c r="E53" t="s">
        <v>74</v>
      </c>
      <c r="F53" t="s">
        <v>960</v>
      </c>
      <c r="G53" t="s">
        <v>74</v>
      </c>
      <c r="H53" t="s">
        <v>74</v>
      </c>
      <c r="I53" t="s">
        <v>961</v>
      </c>
      <c r="J53" t="s">
        <v>962</v>
      </c>
      <c r="K53" t="s">
        <v>74</v>
      </c>
      <c r="L53" t="s">
        <v>74</v>
      </c>
      <c r="M53" t="s">
        <v>78</v>
      </c>
      <c r="N53" t="s">
        <v>79</v>
      </c>
      <c r="O53" t="s">
        <v>74</v>
      </c>
      <c r="P53" t="s">
        <v>74</v>
      </c>
      <c r="Q53" t="s">
        <v>74</v>
      </c>
      <c r="R53" t="s">
        <v>74</v>
      </c>
      <c r="S53" t="s">
        <v>74</v>
      </c>
      <c r="T53" t="s">
        <v>963</v>
      </c>
      <c r="U53" t="s">
        <v>964</v>
      </c>
      <c r="V53" t="s">
        <v>965</v>
      </c>
      <c r="W53" t="s">
        <v>966</v>
      </c>
      <c r="X53" t="s">
        <v>967</v>
      </c>
      <c r="Y53" t="s">
        <v>968</v>
      </c>
      <c r="Z53" t="s">
        <v>969</v>
      </c>
      <c r="AA53" t="s">
        <v>970</v>
      </c>
      <c r="AB53" t="s">
        <v>971</v>
      </c>
      <c r="AC53" t="s">
        <v>972</v>
      </c>
      <c r="AD53" t="s">
        <v>973</v>
      </c>
      <c r="AE53" t="s">
        <v>974</v>
      </c>
      <c r="AF53" t="s">
        <v>74</v>
      </c>
      <c r="AG53">
        <v>89</v>
      </c>
      <c r="AH53">
        <v>0</v>
      </c>
      <c r="AI53">
        <v>0</v>
      </c>
      <c r="AJ53">
        <v>2</v>
      </c>
      <c r="AK53">
        <v>2</v>
      </c>
      <c r="AL53" t="s">
        <v>975</v>
      </c>
      <c r="AM53" t="s">
        <v>976</v>
      </c>
      <c r="AN53" t="s">
        <v>977</v>
      </c>
      <c r="AO53" t="s">
        <v>978</v>
      </c>
      <c r="AP53" t="s">
        <v>979</v>
      </c>
      <c r="AQ53" t="s">
        <v>74</v>
      </c>
      <c r="AR53" t="s">
        <v>980</v>
      </c>
      <c r="AS53" t="s">
        <v>981</v>
      </c>
      <c r="AT53" t="s">
        <v>982</v>
      </c>
      <c r="AU53">
        <v>2024</v>
      </c>
      <c r="AV53">
        <v>325</v>
      </c>
      <c r="AW53" t="s">
        <v>74</v>
      </c>
      <c r="AX53" t="s">
        <v>74</v>
      </c>
      <c r="AY53" t="s">
        <v>74</v>
      </c>
      <c r="AZ53" t="s">
        <v>74</v>
      </c>
      <c r="BA53" t="s">
        <v>74</v>
      </c>
      <c r="BB53" t="s">
        <v>74</v>
      </c>
      <c r="BC53" t="s">
        <v>74</v>
      </c>
      <c r="BD53">
        <v>108485</v>
      </c>
      <c r="BE53" t="s">
        <v>983</v>
      </c>
      <c r="BF53" t="str">
        <f>HYPERLINK("http://dx.doi.org/10.1016/j.quascirev.2023.108485","http://dx.doi.org/10.1016/j.quascirev.2023.108485")</f>
        <v>http://dx.doi.org/10.1016/j.quascirev.2023.108485</v>
      </c>
      <c r="BG53" t="s">
        <v>74</v>
      </c>
      <c r="BH53" t="s">
        <v>98</v>
      </c>
      <c r="BI53">
        <v>15</v>
      </c>
      <c r="BJ53" t="s">
        <v>984</v>
      </c>
      <c r="BK53" t="s">
        <v>100</v>
      </c>
      <c r="BL53" t="s">
        <v>985</v>
      </c>
      <c r="BM53" t="s">
        <v>986</v>
      </c>
      <c r="BN53" t="s">
        <v>74</v>
      </c>
      <c r="BO53" t="s">
        <v>103</v>
      </c>
      <c r="BP53" t="s">
        <v>74</v>
      </c>
      <c r="BQ53" t="s">
        <v>74</v>
      </c>
      <c r="BR53" t="s">
        <v>104</v>
      </c>
      <c r="BS53" t="s">
        <v>987</v>
      </c>
      <c r="BT53" t="str">
        <f>HYPERLINK("https%3A%2F%2Fwww.webofscience.com%2Fwos%2Fwoscc%2Ffull-record%2FWOS:001151216100001","View Full Record in Web of Science")</f>
        <v>View Full Record in Web of Science</v>
      </c>
    </row>
    <row r="54" spans="1:72" x14ac:dyDescent="0.15">
      <c r="A54" t="s">
        <v>72</v>
      </c>
      <c r="B54" t="s">
        <v>988</v>
      </c>
      <c r="C54" t="s">
        <v>74</v>
      </c>
      <c r="D54" t="s">
        <v>74</v>
      </c>
      <c r="E54" t="s">
        <v>74</v>
      </c>
      <c r="F54" t="s">
        <v>989</v>
      </c>
      <c r="G54" t="s">
        <v>74</v>
      </c>
      <c r="H54" t="s">
        <v>74</v>
      </c>
      <c r="I54" t="s">
        <v>990</v>
      </c>
      <c r="J54" t="s">
        <v>991</v>
      </c>
      <c r="K54" t="s">
        <v>74</v>
      </c>
      <c r="L54" t="s">
        <v>74</v>
      </c>
      <c r="M54" t="s">
        <v>78</v>
      </c>
      <c r="N54" t="s">
        <v>79</v>
      </c>
      <c r="O54" t="s">
        <v>74</v>
      </c>
      <c r="P54" t="s">
        <v>74</v>
      </c>
      <c r="Q54" t="s">
        <v>74</v>
      </c>
      <c r="R54" t="s">
        <v>74</v>
      </c>
      <c r="S54" t="s">
        <v>74</v>
      </c>
      <c r="T54" t="s">
        <v>992</v>
      </c>
      <c r="U54" t="s">
        <v>993</v>
      </c>
      <c r="V54" t="s">
        <v>994</v>
      </c>
      <c r="W54" t="s">
        <v>995</v>
      </c>
      <c r="X54" t="s">
        <v>996</v>
      </c>
      <c r="Y54" t="s">
        <v>997</v>
      </c>
      <c r="Z54" t="s">
        <v>998</v>
      </c>
      <c r="AA54" t="s">
        <v>999</v>
      </c>
      <c r="AB54" t="s">
        <v>1000</v>
      </c>
      <c r="AC54" t="s">
        <v>1001</v>
      </c>
      <c r="AD54" t="s">
        <v>1002</v>
      </c>
      <c r="AE54" t="s">
        <v>1003</v>
      </c>
      <c r="AF54" t="s">
        <v>74</v>
      </c>
      <c r="AG54">
        <v>59</v>
      </c>
      <c r="AH54">
        <v>0</v>
      </c>
      <c r="AI54">
        <v>0</v>
      </c>
      <c r="AJ54">
        <v>5</v>
      </c>
      <c r="AK54">
        <v>5</v>
      </c>
      <c r="AL54" t="s">
        <v>947</v>
      </c>
      <c r="AM54" t="s">
        <v>948</v>
      </c>
      <c r="AN54" t="s">
        <v>949</v>
      </c>
      <c r="AO54" t="s">
        <v>1004</v>
      </c>
      <c r="AP54" t="s">
        <v>1005</v>
      </c>
      <c r="AQ54" t="s">
        <v>74</v>
      </c>
      <c r="AR54" t="s">
        <v>1006</v>
      </c>
      <c r="AS54" t="s">
        <v>1007</v>
      </c>
      <c r="AT54" t="s">
        <v>1008</v>
      </c>
      <c r="AU54">
        <v>2024</v>
      </c>
      <c r="AV54">
        <v>912</v>
      </c>
      <c r="AW54" t="s">
        <v>74</v>
      </c>
      <c r="AX54" t="s">
        <v>74</v>
      </c>
      <c r="AY54" t="s">
        <v>74</v>
      </c>
      <c r="AZ54" t="s">
        <v>74</v>
      </c>
      <c r="BA54" t="s">
        <v>74</v>
      </c>
      <c r="BB54" t="s">
        <v>74</v>
      </c>
      <c r="BC54" t="s">
        <v>74</v>
      </c>
      <c r="BD54">
        <v>169431</v>
      </c>
      <c r="BE54" t="s">
        <v>1009</v>
      </c>
      <c r="BF54" t="str">
        <f>HYPERLINK("http://dx.doi.org/10.1016/j.scitotenv.2023.169431","http://dx.doi.org/10.1016/j.scitotenv.2023.169431")</f>
        <v>http://dx.doi.org/10.1016/j.scitotenv.2023.169431</v>
      </c>
      <c r="BG54" t="s">
        <v>74</v>
      </c>
      <c r="BH54" t="s">
        <v>98</v>
      </c>
      <c r="BI54">
        <v>13</v>
      </c>
      <c r="BJ54" t="s">
        <v>1010</v>
      </c>
      <c r="BK54" t="s">
        <v>100</v>
      </c>
      <c r="BL54" t="s">
        <v>1011</v>
      </c>
      <c r="BM54" t="s">
        <v>1012</v>
      </c>
      <c r="BN54">
        <v>38142989</v>
      </c>
      <c r="BO54" t="s">
        <v>74</v>
      </c>
      <c r="BP54" t="s">
        <v>74</v>
      </c>
      <c r="BQ54" t="s">
        <v>74</v>
      </c>
      <c r="BR54" t="s">
        <v>104</v>
      </c>
      <c r="BS54" t="s">
        <v>1013</v>
      </c>
      <c r="BT54" t="str">
        <f>HYPERLINK("https%3A%2F%2Fwww.webofscience.com%2Fwos%2Fwoscc%2Ffull-record%2FWOS:001152748500001","View Full Record in Web of Science")</f>
        <v>View Full Record in Web of Science</v>
      </c>
    </row>
    <row r="55" spans="1:72" x14ac:dyDescent="0.15">
      <c r="A55" t="s">
        <v>72</v>
      </c>
      <c r="B55" t="s">
        <v>1014</v>
      </c>
      <c r="C55" t="s">
        <v>74</v>
      </c>
      <c r="D55" t="s">
        <v>74</v>
      </c>
      <c r="E55" t="s">
        <v>74</v>
      </c>
      <c r="F55" t="s">
        <v>1015</v>
      </c>
      <c r="G55" t="s">
        <v>74</v>
      </c>
      <c r="H55" t="s">
        <v>74</v>
      </c>
      <c r="I55" t="s">
        <v>1016</v>
      </c>
      <c r="J55" t="s">
        <v>1017</v>
      </c>
      <c r="K55" t="s">
        <v>74</v>
      </c>
      <c r="L55" t="s">
        <v>74</v>
      </c>
      <c r="M55" t="s">
        <v>78</v>
      </c>
      <c r="N55" t="s">
        <v>79</v>
      </c>
      <c r="O55" t="s">
        <v>74</v>
      </c>
      <c r="P55" t="s">
        <v>74</v>
      </c>
      <c r="Q55" t="s">
        <v>74</v>
      </c>
      <c r="R55" t="s">
        <v>74</v>
      </c>
      <c r="S55" t="s">
        <v>74</v>
      </c>
      <c r="T55" t="s">
        <v>74</v>
      </c>
      <c r="U55" t="s">
        <v>1018</v>
      </c>
      <c r="V55" t="s">
        <v>1019</v>
      </c>
      <c r="W55" t="s">
        <v>1020</v>
      </c>
      <c r="X55" t="s">
        <v>1021</v>
      </c>
      <c r="Y55" t="s">
        <v>1022</v>
      </c>
      <c r="Z55" t="s">
        <v>1023</v>
      </c>
      <c r="AA55" t="s">
        <v>74</v>
      </c>
      <c r="AB55" t="s">
        <v>74</v>
      </c>
      <c r="AC55" t="s">
        <v>1024</v>
      </c>
      <c r="AD55" t="s">
        <v>1025</v>
      </c>
      <c r="AE55" t="s">
        <v>1026</v>
      </c>
      <c r="AF55" t="s">
        <v>74</v>
      </c>
      <c r="AG55">
        <v>69</v>
      </c>
      <c r="AH55">
        <v>0</v>
      </c>
      <c r="AI55">
        <v>0</v>
      </c>
      <c r="AJ55">
        <v>0</v>
      </c>
      <c r="AK55">
        <v>0</v>
      </c>
      <c r="AL55" t="s">
        <v>1027</v>
      </c>
      <c r="AM55" t="s">
        <v>1028</v>
      </c>
      <c r="AN55" t="s">
        <v>1029</v>
      </c>
      <c r="AO55" t="s">
        <v>1030</v>
      </c>
      <c r="AP55" t="s">
        <v>74</v>
      </c>
      <c r="AQ55" t="s">
        <v>74</v>
      </c>
      <c r="AR55" t="s">
        <v>1017</v>
      </c>
      <c r="AS55" t="s">
        <v>1031</v>
      </c>
      <c r="AT55" t="s">
        <v>1032</v>
      </c>
      <c r="AU55">
        <v>2023</v>
      </c>
      <c r="AV55">
        <v>18</v>
      </c>
      <c r="AW55">
        <v>12</v>
      </c>
      <c r="AX55" t="s">
        <v>74</v>
      </c>
      <c r="AY55" t="s">
        <v>74</v>
      </c>
      <c r="AZ55" t="s">
        <v>74</v>
      </c>
      <c r="BA55" t="s">
        <v>74</v>
      </c>
      <c r="BB55" t="s">
        <v>74</v>
      </c>
      <c r="BC55" t="s">
        <v>74</v>
      </c>
      <c r="BD55" t="s">
        <v>1033</v>
      </c>
      <c r="BE55" t="s">
        <v>1034</v>
      </c>
      <c r="BF55" t="str">
        <f>HYPERLINK("http://dx.doi.org/10.1371/journal.pone.0295677","http://dx.doi.org/10.1371/journal.pone.0295677")</f>
        <v>http://dx.doi.org/10.1371/journal.pone.0295677</v>
      </c>
      <c r="BG55" t="s">
        <v>74</v>
      </c>
      <c r="BH55" t="s">
        <v>74</v>
      </c>
      <c r="BI55">
        <v>20</v>
      </c>
      <c r="BJ55" t="s">
        <v>1035</v>
      </c>
      <c r="BK55" t="s">
        <v>100</v>
      </c>
      <c r="BL55" t="s">
        <v>1036</v>
      </c>
      <c r="BM55" t="s">
        <v>1037</v>
      </c>
      <c r="BN55">
        <v>38157351</v>
      </c>
      <c r="BO55" t="s">
        <v>200</v>
      </c>
      <c r="BP55" t="s">
        <v>74</v>
      </c>
      <c r="BQ55" t="s">
        <v>74</v>
      </c>
      <c r="BR55" t="s">
        <v>104</v>
      </c>
      <c r="BS55" t="s">
        <v>1038</v>
      </c>
      <c r="BT55" t="str">
        <f>HYPERLINK("https%3A%2F%2Fwww.webofscience.com%2Fwos%2Fwoscc%2Ffull-record%2FWOS:001135936500037","View Full Record in Web of Science")</f>
        <v>View Full Record in Web of Science</v>
      </c>
    </row>
    <row r="56" spans="1:72" x14ac:dyDescent="0.15">
      <c r="A56" t="s">
        <v>72</v>
      </c>
      <c r="B56" t="s">
        <v>1039</v>
      </c>
      <c r="C56" t="s">
        <v>74</v>
      </c>
      <c r="D56" t="s">
        <v>74</v>
      </c>
      <c r="E56" t="s">
        <v>74</v>
      </c>
      <c r="F56" t="s">
        <v>1040</v>
      </c>
      <c r="G56" t="s">
        <v>74</v>
      </c>
      <c r="H56" t="s">
        <v>74</v>
      </c>
      <c r="I56" t="s">
        <v>1041</v>
      </c>
      <c r="J56" t="s">
        <v>1042</v>
      </c>
      <c r="K56" t="s">
        <v>74</v>
      </c>
      <c r="L56" t="s">
        <v>74</v>
      </c>
      <c r="M56" t="s">
        <v>78</v>
      </c>
      <c r="N56" t="s">
        <v>79</v>
      </c>
      <c r="O56" t="s">
        <v>74</v>
      </c>
      <c r="P56" t="s">
        <v>74</v>
      </c>
      <c r="Q56" t="s">
        <v>74</v>
      </c>
      <c r="R56" t="s">
        <v>74</v>
      </c>
      <c r="S56" t="s">
        <v>74</v>
      </c>
      <c r="T56" t="s">
        <v>1043</v>
      </c>
      <c r="U56" t="s">
        <v>1044</v>
      </c>
      <c r="V56" t="s">
        <v>1045</v>
      </c>
      <c r="W56" t="s">
        <v>1046</v>
      </c>
      <c r="X56" t="s">
        <v>1047</v>
      </c>
      <c r="Y56" t="s">
        <v>1048</v>
      </c>
      <c r="Z56" t="s">
        <v>1049</v>
      </c>
      <c r="AA56" t="s">
        <v>74</v>
      </c>
      <c r="AB56" t="s">
        <v>74</v>
      </c>
      <c r="AC56" t="s">
        <v>1050</v>
      </c>
      <c r="AD56" t="s">
        <v>1051</v>
      </c>
      <c r="AE56" t="s">
        <v>1052</v>
      </c>
      <c r="AF56" t="s">
        <v>74</v>
      </c>
      <c r="AG56">
        <v>46</v>
      </c>
      <c r="AH56">
        <v>0</v>
      </c>
      <c r="AI56">
        <v>0</v>
      </c>
      <c r="AJ56">
        <v>0</v>
      </c>
      <c r="AK56">
        <v>0</v>
      </c>
      <c r="AL56" t="s">
        <v>119</v>
      </c>
      <c r="AM56" t="s">
        <v>120</v>
      </c>
      <c r="AN56" t="s">
        <v>121</v>
      </c>
      <c r="AO56" t="s">
        <v>1053</v>
      </c>
      <c r="AP56" t="s">
        <v>1054</v>
      </c>
      <c r="AQ56" t="s">
        <v>74</v>
      </c>
      <c r="AR56" t="s">
        <v>1042</v>
      </c>
      <c r="AS56" t="s">
        <v>1055</v>
      </c>
      <c r="AT56" t="s">
        <v>1056</v>
      </c>
      <c r="AU56">
        <v>2024</v>
      </c>
      <c r="AV56">
        <v>63</v>
      </c>
      <c r="AW56">
        <v>1</v>
      </c>
      <c r="AX56" t="s">
        <v>74</v>
      </c>
      <c r="AY56" t="s">
        <v>74</v>
      </c>
      <c r="AZ56" t="s">
        <v>74</v>
      </c>
      <c r="BA56" t="s">
        <v>74</v>
      </c>
      <c r="BB56">
        <v>107</v>
      </c>
      <c r="BC56">
        <v>119</v>
      </c>
      <c r="BD56" t="s">
        <v>74</v>
      </c>
      <c r="BE56" t="s">
        <v>1057</v>
      </c>
      <c r="BF56" t="str">
        <f>HYPERLINK("http://dx.doi.org/10.1080/00318884.2023.2296823","http://dx.doi.org/10.1080/00318884.2023.2296823")</f>
        <v>http://dx.doi.org/10.1080/00318884.2023.2296823</v>
      </c>
      <c r="BG56" t="s">
        <v>74</v>
      </c>
      <c r="BH56" t="s">
        <v>98</v>
      </c>
      <c r="BI56">
        <v>13</v>
      </c>
      <c r="BJ56" t="s">
        <v>1058</v>
      </c>
      <c r="BK56" t="s">
        <v>100</v>
      </c>
      <c r="BL56" t="s">
        <v>1058</v>
      </c>
      <c r="BM56" t="s">
        <v>1059</v>
      </c>
      <c r="BN56" t="s">
        <v>74</v>
      </c>
      <c r="BO56" t="s">
        <v>74</v>
      </c>
      <c r="BP56" t="s">
        <v>74</v>
      </c>
      <c r="BQ56" t="s">
        <v>74</v>
      </c>
      <c r="BR56" t="s">
        <v>104</v>
      </c>
      <c r="BS56" t="s">
        <v>1060</v>
      </c>
      <c r="BT56" t="str">
        <f>HYPERLINK("https%3A%2F%2Fwww.webofscience.com%2Fwos%2Fwoscc%2Ffull-record%2FWOS:001136415300001","View Full Record in Web of Science")</f>
        <v>View Full Record in Web of Science</v>
      </c>
    </row>
    <row r="57" spans="1:72" x14ac:dyDescent="0.15">
      <c r="A57" t="s">
        <v>72</v>
      </c>
      <c r="B57" t="s">
        <v>1061</v>
      </c>
      <c r="C57" t="s">
        <v>74</v>
      </c>
      <c r="D57" t="s">
        <v>74</v>
      </c>
      <c r="E57" t="s">
        <v>74</v>
      </c>
      <c r="F57" t="s">
        <v>1062</v>
      </c>
      <c r="G57" t="s">
        <v>74</v>
      </c>
      <c r="H57" t="s">
        <v>74</v>
      </c>
      <c r="I57" t="s">
        <v>1063</v>
      </c>
      <c r="J57" t="s">
        <v>1064</v>
      </c>
      <c r="K57" t="s">
        <v>74</v>
      </c>
      <c r="L57" t="s">
        <v>74</v>
      </c>
      <c r="M57" t="s">
        <v>78</v>
      </c>
      <c r="N57" t="s">
        <v>79</v>
      </c>
      <c r="O57" t="s">
        <v>74</v>
      </c>
      <c r="P57" t="s">
        <v>74</v>
      </c>
      <c r="Q57" t="s">
        <v>74</v>
      </c>
      <c r="R57" t="s">
        <v>74</v>
      </c>
      <c r="S57" t="s">
        <v>74</v>
      </c>
      <c r="T57" t="s">
        <v>1065</v>
      </c>
      <c r="U57" t="s">
        <v>1066</v>
      </c>
      <c r="V57" t="s">
        <v>1067</v>
      </c>
      <c r="W57" t="s">
        <v>1068</v>
      </c>
      <c r="X57" t="s">
        <v>1069</v>
      </c>
      <c r="Y57" t="s">
        <v>1070</v>
      </c>
      <c r="Z57" t="s">
        <v>1071</v>
      </c>
      <c r="AA57" t="s">
        <v>74</v>
      </c>
      <c r="AB57" t="s">
        <v>74</v>
      </c>
      <c r="AC57" t="s">
        <v>1072</v>
      </c>
      <c r="AD57" t="s">
        <v>1073</v>
      </c>
      <c r="AE57" t="s">
        <v>1074</v>
      </c>
      <c r="AF57" t="s">
        <v>74</v>
      </c>
      <c r="AG57">
        <v>66</v>
      </c>
      <c r="AH57">
        <v>1</v>
      </c>
      <c r="AI57">
        <v>1</v>
      </c>
      <c r="AJ57">
        <v>0</v>
      </c>
      <c r="AK57">
        <v>0</v>
      </c>
      <c r="AL57" t="s">
        <v>1075</v>
      </c>
      <c r="AM57" t="s">
        <v>1076</v>
      </c>
      <c r="AN57" t="s">
        <v>1077</v>
      </c>
      <c r="AO57" t="s">
        <v>1078</v>
      </c>
      <c r="AP57" t="s">
        <v>1079</v>
      </c>
      <c r="AQ57" t="s">
        <v>74</v>
      </c>
      <c r="AR57" t="s">
        <v>1080</v>
      </c>
      <c r="AS57" t="s">
        <v>1081</v>
      </c>
      <c r="AT57" t="s">
        <v>1082</v>
      </c>
      <c r="AU57">
        <v>2024</v>
      </c>
      <c r="AV57">
        <v>55</v>
      </c>
      <c r="AW57">
        <v>1</v>
      </c>
      <c r="AX57" t="s">
        <v>74</v>
      </c>
      <c r="AY57" t="s">
        <v>74</v>
      </c>
      <c r="AZ57" t="s">
        <v>74</v>
      </c>
      <c r="BA57" t="s">
        <v>74</v>
      </c>
      <c r="BB57">
        <v>487</v>
      </c>
      <c r="BC57">
        <v>497</v>
      </c>
      <c r="BD57" t="s">
        <v>74</v>
      </c>
      <c r="BE57" t="s">
        <v>1083</v>
      </c>
      <c r="BF57" t="str">
        <f>HYPERLINK("http://dx.doi.org/10.1007/s42770-023-01200-1","http://dx.doi.org/10.1007/s42770-023-01200-1")</f>
        <v>http://dx.doi.org/10.1007/s42770-023-01200-1</v>
      </c>
      <c r="BG57" t="s">
        <v>74</v>
      </c>
      <c r="BH57" t="s">
        <v>98</v>
      </c>
      <c r="BI57">
        <v>11</v>
      </c>
      <c r="BJ57" t="s">
        <v>1084</v>
      </c>
      <c r="BK57" t="s">
        <v>100</v>
      </c>
      <c r="BL57" t="s">
        <v>1084</v>
      </c>
      <c r="BM57" t="s">
        <v>1085</v>
      </c>
      <c r="BN57">
        <v>38157148</v>
      </c>
      <c r="BO57" t="s">
        <v>74</v>
      </c>
      <c r="BP57" t="s">
        <v>74</v>
      </c>
      <c r="BQ57" t="s">
        <v>74</v>
      </c>
      <c r="BR57" t="s">
        <v>104</v>
      </c>
      <c r="BS57" t="s">
        <v>1086</v>
      </c>
      <c r="BT57" t="str">
        <f>HYPERLINK("https%3A%2F%2Fwww.webofscience.com%2Fwos%2Fwoscc%2Ffull-record%2FWOS:001132438500002","View Full Record in Web of Science")</f>
        <v>View Full Record in Web of Science</v>
      </c>
    </row>
    <row r="58" spans="1:72" x14ac:dyDescent="0.15">
      <c r="A58" t="s">
        <v>72</v>
      </c>
      <c r="B58" t="s">
        <v>1087</v>
      </c>
      <c r="C58" t="s">
        <v>74</v>
      </c>
      <c r="D58" t="s">
        <v>74</v>
      </c>
      <c r="E58" t="s">
        <v>74</v>
      </c>
      <c r="F58" t="s">
        <v>1088</v>
      </c>
      <c r="G58" t="s">
        <v>74</v>
      </c>
      <c r="H58" t="s">
        <v>74</v>
      </c>
      <c r="I58" t="s">
        <v>1089</v>
      </c>
      <c r="J58" t="s">
        <v>1090</v>
      </c>
      <c r="K58" t="s">
        <v>74</v>
      </c>
      <c r="L58" t="s">
        <v>74</v>
      </c>
      <c r="M58" t="s">
        <v>78</v>
      </c>
      <c r="N58" t="s">
        <v>79</v>
      </c>
      <c r="O58" t="s">
        <v>74</v>
      </c>
      <c r="P58" t="s">
        <v>74</v>
      </c>
      <c r="Q58" t="s">
        <v>74</v>
      </c>
      <c r="R58" t="s">
        <v>74</v>
      </c>
      <c r="S58" t="s">
        <v>74</v>
      </c>
      <c r="T58" t="s">
        <v>74</v>
      </c>
      <c r="U58" t="s">
        <v>1091</v>
      </c>
      <c r="V58" t="s">
        <v>74</v>
      </c>
      <c r="W58" t="s">
        <v>1092</v>
      </c>
      <c r="X58" t="s">
        <v>1093</v>
      </c>
      <c r="Y58" t="s">
        <v>1094</v>
      </c>
      <c r="Z58" t="s">
        <v>1095</v>
      </c>
      <c r="AA58" t="s">
        <v>1096</v>
      </c>
      <c r="AB58" t="s">
        <v>1097</v>
      </c>
      <c r="AC58" t="s">
        <v>1098</v>
      </c>
      <c r="AD58" t="s">
        <v>1099</v>
      </c>
      <c r="AE58" t="s">
        <v>1100</v>
      </c>
      <c r="AF58" t="s">
        <v>74</v>
      </c>
      <c r="AG58">
        <v>56</v>
      </c>
      <c r="AH58">
        <v>0</v>
      </c>
      <c r="AI58">
        <v>0</v>
      </c>
      <c r="AJ58">
        <v>5</v>
      </c>
      <c r="AK58">
        <v>5</v>
      </c>
      <c r="AL58" t="s">
        <v>1101</v>
      </c>
      <c r="AM58" t="s">
        <v>1102</v>
      </c>
      <c r="AN58" t="s">
        <v>1103</v>
      </c>
      <c r="AO58" t="s">
        <v>1104</v>
      </c>
      <c r="AP58" t="s">
        <v>1105</v>
      </c>
      <c r="AQ58" t="s">
        <v>74</v>
      </c>
      <c r="AR58" t="s">
        <v>1106</v>
      </c>
      <c r="AS58" t="s">
        <v>1107</v>
      </c>
      <c r="AT58" t="s">
        <v>1108</v>
      </c>
      <c r="AU58">
        <v>2024</v>
      </c>
      <c r="AV58">
        <v>40</v>
      </c>
      <c r="AW58">
        <v>2</v>
      </c>
      <c r="AX58" t="s">
        <v>74</v>
      </c>
      <c r="AY58" t="s">
        <v>74</v>
      </c>
      <c r="AZ58" t="s">
        <v>74</v>
      </c>
      <c r="BA58" t="s">
        <v>74</v>
      </c>
      <c r="BB58" t="s">
        <v>74</v>
      </c>
      <c r="BC58" t="s">
        <v>74</v>
      </c>
      <c r="BD58" t="s">
        <v>74</v>
      </c>
      <c r="BE58" t="s">
        <v>1109</v>
      </c>
      <c r="BF58" t="str">
        <f>HYPERLINK("http://dx.doi.org/10.1111/mms.13098","http://dx.doi.org/10.1111/mms.13098")</f>
        <v>http://dx.doi.org/10.1111/mms.13098</v>
      </c>
      <c r="BG58" t="s">
        <v>74</v>
      </c>
      <c r="BH58" t="s">
        <v>98</v>
      </c>
      <c r="BI58">
        <v>14</v>
      </c>
      <c r="BJ58" t="s">
        <v>1110</v>
      </c>
      <c r="BK58" t="s">
        <v>100</v>
      </c>
      <c r="BL58" t="s">
        <v>1110</v>
      </c>
      <c r="BM58" t="s">
        <v>1111</v>
      </c>
      <c r="BN58" t="s">
        <v>74</v>
      </c>
      <c r="BO58" t="s">
        <v>74</v>
      </c>
      <c r="BP58" t="s">
        <v>74</v>
      </c>
      <c r="BQ58" t="s">
        <v>74</v>
      </c>
      <c r="BR58" t="s">
        <v>104</v>
      </c>
      <c r="BS58" t="s">
        <v>1112</v>
      </c>
      <c r="BT58" t="str">
        <f>HYPERLINK("https%3A%2F%2Fwww.webofscience.com%2Fwos%2Fwoscc%2Ffull-record%2FWOS:001133943600001","View Full Record in Web of Science")</f>
        <v>View Full Record in Web of Science</v>
      </c>
    </row>
    <row r="59" spans="1:72" x14ac:dyDescent="0.15">
      <c r="A59" t="s">
        <v>72</v>
      </c>
      <c r="B59" t="s">
        <v>1113</v>
      </c>
      <c r="C59" t="s">
        <v>74</v>
      </c>
      <c r="D59" t="s">
        <v>74</v>
      </c>
      <c r="E59" t="s">
        <v>74</v>
      </c>
      <c r="F59" t="s">
        <v>1114</v>
      </c>
      <c r="G59" t="s">
        <v>74</v>
      </c>
      <c r="H59" t="s">
        <v>74</v>
      </c>
      <c r="I59" t="s">
        <v>1115</v>
      </c>
      <c r="J59" t="s">
        <v>1116</v>
      </c>
      <c r="K59" t="s">
        <v>74</v>
      </c>
      <c r="L59" t="s">
        <v>74</v>
      </c>
      <c r="M59" t="s">
        <v>78</v>
      </c>
      <c r="N59" t="s">
        <v>79</v>
      </c>
      <c r="O59" t="s">
        <v>74</v>
      </c>
      <c r="P59" t="s">
        <v>74</v>
      </c>
      <c r="Q59" t="s">
        <v>74</v>
      </c>
      <c r="R59" t="s">
        <v>74</v>
      </c>
      <c r="S59" t="s">
        <v>74</v>
      </c>
      <c r="T59" t="s">
        <v>1117</v>
      </c>
      <c r="U59" t="s">
        <v>1118</v>
      </c>
      <c r="V59" t="s">
        <v>1119</v>
      </c>
      <c r="W59" t="s">
        <v>1120</v>
      </c>
      <c r="X59" t="s">
        <v>1121</v>
      </c>
      <c r="Y59" t="s">
        <v>1122</v>
      </c>
      <c r="Z59" t="s">
        <v>1123</v>
      </c>
      <c r="AA59" t="s">
        <v>1124</v>
      </c>
      <c r="AB59" t="s">
        <v>1125</v>
      </c>
      <c r="AC59" t="s">
        <v>1126</v>
      </c>
      <c r="AD59" t="s">
        <v>1127</v>
      </c>
      <c r="AE59" t="s">
        <v>1128</v>
      </c>
      <c r="AF59" t="s">
        <v>74</v>
      </c>
      <c r="AG59">
        <v>74</v>
      </c>
      <c r="AH59">
        <v>0</v>
      </c>
      <c r="AI59">
        <v>0</v>
      </c>
      <c r="AJ59">
        <v>3</v>
      </c>
      <c r="AK59">
        <v>3</v>
      </c>
      <c r="AL59" t="s">
        <v>975</v>
      </c>
      <c r="AM59" t="s">
        <v>976</v>
      </c>
      <c r="AN59" t="s">
        <v>977</v>
      </c>
      <c r="AO59" t="s">
        <v>1129</v>
      </c>
      <c r="AP59" t="s">
        <v>1130</v>
      </c>
      <c r="AQ59" t="s">
        <v>74</v>
      </c>
      <c r="AR59" t="s">
        <v>1131</v>
      </c>
      <c r="AS59" t="s">
        <v>1132</v>
      </c>
      <c r="AT59" t="s">
        <v>1133</v>
      </c>
      <c r="AU59">
        <v>2024</v>
      </c>
      <c r="AV59">
        <v>199</v>
      </c>
      <c r="AW59" t="s">
        <v>74</v>
      </c>
      <c r="AX59" t="s">
        <v>74</v>
      </c>
      <c r="AY59" t="s">
        <v>74</v>
      </c>
      <c r="AZ59" t="s">
        <v>74</v>
      </c>
      <c r="BA59" t="s">
        <v>74</v>
      </c>
      <c r="BB59" t="s">
        <v>74</v>
      </c>
      <c r="BC59" t="s">
        <v>74</v>
      </c>
      <c r="BD59">
        <v>115956</v>
      </c>
      <c r="BE59" t="s">
        <v>1134</v>
      </c>
      <c r="BF59" t="str">
        <f>HYPERLINK("http://dx.doi.org/10.1016/j.marpolbul.2023.115956","http://dx.doi.org/10.1016/j.marpolbul.2023.115956")</f>
        <v>http://dx.doi.org/10.1016/j.marpolbul.2023.115956</v>
      </c>
      <c r="BG59" t="s">
        <v>74</v>
      </c>
      <c r="BH59" t="s">
        <v>98</v>
      </c>
      <c r="BI59">
        <v>9</v>
      </c>
      <c r="BJ59" t="s">
        <v>1135</v>
      </c>
      <c r="BK59" t="s">
        <v>100</v>
      </c>
      <c r="BL59" t="s">
        <v>1136</v>
      </c>
      <c r="BM59" t="s">
        <v>1137</v>
      </c>
      <c r="BN59">
        <v>38154175</v>
      </c>
      <c r="BO59" t="s">
        <v>103</v>
      </c>
      <c r="BP59" t="s">
        <v>74</v>
      </c>
      <c r="BQ59" t="s">
        <v>74</v>
      </c>
      <c r="BR59" t="s">
        <v>104</v>
      </c>
      <c r="BS59" t="s">
        <v>1138</v>
      </c>
      <c r="BT59" t="str">
        <f>HYPERLINK("https%3A%2F%2Fwww.webofscience.com%2Fwos%2Fwoscc%2Ffull-record%2FWOS:001166163600001","View Full Record in Web of Science")</f>
        <v>View Full Record in Web of Science</v>
      </c>
    </row>
    <row r="60" spans="1:72" x14ac:dyDescent="0.15">
      <c r="A60" t="s">
        <v>72</v>
      </c>
      <c r="B60" t="s">
        <v>1139</v>
      </c>
      <c r="C60" t="s">
        <v>74</v>
      </c>
      <c r="D60" t="s">
        <v>74</v>
      </c>
      <c r="E60" t="s">
        <v>74</v>
      </c>
      <c r="F60" t="s">
        <v>1140</v>
      </c>
      <c r="G60" t="s">
        <v>74</v>
      </c>
      <c r="H60" t="s">
        <v>74</v>
      </c>
      <c r="I60" t="s">
        <v>1141</v>
      </c>
      <c r="J60" t="s">
        <v>1142</v>
      </c>
      <c r="K60" t="s">
        <v>74</v>
      </c>
      <c r="L60" t="s">
        <v>74</v>
      </c>
      <c r="M60" t="s">
        <v>78</v>
      </c>
      <c r="N60" t="s">
        <v>441</v>
      </c>
      <c r="O60" t="s">
        <v>74</v>
      </c>
      <c r="P60" t="s">
        <v>74</v>
      </c>
      <c r="Q60" t="s">
        <v>74</v>
      </c>
      <c r="R60" t="s">
        <v>74</v>
      </c>
      <c r="S60" t="s">
        <v>74</v>
      </c>
      <c r="T60" t="s">
        <v>1143</v>
      </c>
      <c r="U60" t="s">
        <v>1144</v>
      </c>
      <c r="V60" t="s">
        <v>1145</v>
      </c>
      <c r="W60" t="s">
        <v>1146</v>
      </c>
      <c r="X60" t="s">
        <v>1147</v>
      </c>
      <c r="Y60" t="s">
        <v>1148</v>
      </c>
      <c r="Z60" t="s">
        <v>1149</v>
      </c>
      <c r="AA60" t="s">
        <v>1150</v>
      </c>
      <c r="AB60" t="s">
        <v>1151</v>
      </c>
      <c r="AC60" t="s">
        <v>1152</v>
      </c>
      <c r="AD60" t="s">
        <v>1153</v>
      </c>
      <c r="AE60" t="s">
        <v>1154</v>
      </c>
      <c r="AF60" t="s">
        <v>74</v>
      </c>
      <c r="AG60">
        <v>89</v>
      </c>
      <c r="AH60">
        <v>0</v>
      </c>
      <c r="AI60">
        <v>0</v>
      </c>
      <c r="AJ60">
        <v>2</v>
      </c>
      <c r="AK60">
        <v>2</v>
      </c>
      <c r="AL60" t="s">
        <v>89</v>
      </c>
      <c r="AM60" t="s">
        <v>90</v>
      </c>
      <c r="AN60" t="s">
        <v>91</v>
      </c>
      <c r="AO60" t="s">
        <v>1155</v>
      </c>
      <c r="AP60" t="s">
        <v>1156</v>
      </c>
      <c r="AQ60" t="s">
        <v>74</v>
      </c>
      <c r="AR60" t="s">
        <v>1157</v>
      </c>
      <c r="AS60" t="s">
        <v>1158</v>
      </c>
      <c r="AT60" t="s">
        <v>1159</v>
      </c>
      <c r="AU60">
        <v>2024</v>
      </c>
      <c r="AV60">
        <v>249</v>
      </c>
      <c r="AW60" t="s">
        <v>74</v>
      </c>
      <c r="AX60" t="s">
        <v>74</v>
      </c>
      <c r="AY60" t="s">
        <v>74</v>
      </c>
      <c r="AZ60" t="s">
        <v>74</v>
      </c>
      <c r="BA60" t="s">
        <v>74</v>
      </c>
      <c r="BB60" t="s">
        <v>74</v>
      </c>
      <c r="BC60" t="s">
        <v>74</v>
      </c>
      <c r="BD60">
        <v>106977</v>
      </c>
      <c r="BE60" t="s">
        <v>1160</v>
      </c>
      <c r="BF60" t="str">
        <f>HYPERLINK("http://dx.doi.org/10.1016/j.ocecoaman.2023.106977","http://dx.doi.org/10.1016/j.ocecoaman.2023.106977")</f>
        <v>http://dx.doi.org/10.1016/j.ocecoaman.2023.106977</v>
      </c>
      <c r="BG60" t="s">
        <v>74</v>
      </c>
      <c r="BH60" t="s">
        <v>98</v>
      </c>
      <c r="BI60">
        <v>12</v>
      </c>
      <c r="BJ60" t="s">
        <v>1161</v>
      </c>
      <c r="BK60" t="s">
        <v>100</v>
      </c>
      <c r="BL60" t="s">
        <v>1161</v>
      </c>
      <c r="BM60" t="s">
        <v>1162</v>
      </c>
      <c r="BN60" t="s">
        <v>74</v>
      </c>
      <c r="BO60" t="s">
        <v>103</v>
      </c>
      <c r="BP60" t="s">
        <v>74</v>
      </c>
      <c r="BQ60" t="s">
        <v>74</v>
      </c>
      <c r="BR60" t="s">
        <v>104</v>
      </c>
      <c r="BS60" t="s">
        <v>1163</v>
      </c>
      <c r="BT60" t="str">
        <f>HYPERLINK("https%3A%2F%2Fwww.webofscience.com%2Fwos%2Fwoscc%2Ffull-record%2FWOS:001166064900001","View Full Record in Web of Science")</f>
        <v>View Full Record in Web of Science</v>
      </c>
    </row>
    <row r="61" spans="1:72" x14ac:dyDescent="0.15">
      <c r="A61" t="s">
        <v>72</v>
      </c>
      <c r="B61" t="s">
        <v>1164</v>
      </c>
      <c r="C61" t="s">
        <v>74</v>
      </c>
      <c r="D61" t="s">
        <v>74</v>
      </c>
      <c r="E61" t="s">
        <v>74</v>
      </c>
      <c r="F61" t="s">
        <v>1165</v>
      </c>
      <c r="G61" t="s">
        <v>74</v>
      </c>
      <c r="H61" t="s">
        <v>74</v>
      </c>
      <c r="I61" t="s">
        <v>1166</v>
      </c>
      <c r="J61" t="s">
        <v>1167</v>
      </c>
      <c r="K61" t="s">
        <v>74</v>
      </c>
      <c r="L61" t="s">
        <v>74</v>
      </c>
      <c r="M61" t="s">
        <v>78</v>
      </c>
      <c r="N61" t="s">
        <v>79</v>
      </c>
      <c r="O61" t="s">
        <v>74</v>
      </c>
      <c r="P61" t="s">
        <v>74</v>
      </c>
      <c r="Q61" t="s">
        <v>74</v>
      </c>
      <c r="R61" t="s">
        <v>74</v>
      </c>
      <c r="S61" t="s">
        <v>74</v>
      </c>
      <c r="T61" t="s">
        <v>1168</v>
      </c>
      <c r="U61" t="s">
        <v>1169</v>
      </c>
      <c r="V61" t="s">
        <v>1170</v>
      </c>
      <c r="W61" t="s">
        <v>1171</v>
      </c>
      <c r="X61" t="s">
        <v>1172</v>
      </c>
      <c r="Y61" t="s">
        <v>1173</v>
      </c>
      <c r="Z61" t="s">
        <v>1174</v>
      </c>
      <c r="AA61" t="s">
        <v>1175</v>
      </c>
      <c r="AB61" t="s">
        <v>1176</v>
      </c>
      <c r="AC61" t="s">
        <v>1177</v>
      </c>
      <c r="AD61" t="s">
        <v>1178</v>
      </c>
      <c r="AE61" t="s">
        <v>1179</v>
      </c>
      <c r="AF61" t="s">
        <v>74</v>
      </c>
      <c r="AG61">
        <v>130</v>
      </c>
      <c r="AH61">
        <v>0</v>
      </c>
      <c r="AI61">
        <v>0</v>
      </c>
      <c r="AJ61">
        <v>2</v>
      </c>
      <c r="AK61">
        <v>2</v>
      </c>
      <c r="AL61" t="s">
        <v>1180</v>
      </c>
      <c r="AM61" t="s">
        <v>1181</v>
      </c>
      <c r="AN61" t="s">
        <v>1182</v>
      </c>
      <c r="AO61" t="s">
        <v>1183</v>
      </c>
      <c r="AP61" t="s">
        <v>1184</v>
      </c>
      <c r="AQ61" t="s">
        <v>74</v>
      </c>
      <c r="AR61" t="s">
        <v>1167</v>
      </c>
      <c r="AS61" t="s">
        <v>1185</v>
      </c>
      <c r="AT61" t="s">
        <v>1186</v>
      </c>
      <c r="AU61">
        <v>2024</v>
      </c>
      <c r="AV61">
        <v>24</v>
      </c>
      <c r="AW61">
        <v>1</v>
      </c>
      <c r="AX61" t="s">
        <v>74</v>
      </c>
      <c r="AY61" t="s">
        <v>74</v>
      </c>
      <c r="AZ61" t="s">
        <v>74</v>
      </c>
      <c r="BA61" t="s">
        <v>74</v>
      </c>
      <c r="BB61">
        <v>44</v>
      </c>
      <c r="BC61">
        <v>60</v>
      </c>
      <c r="BD61" t="s">
        <v>74</v>
      </c>
      <c r="BE61" t="s">
        <v>1187</v>
      </c>
      <c r="BF61" t="str">
        <f>HYPERLINK("http://dx.doi.org/10.1089/ast.2023.0025","http://dx.doi.org/10.1089/ast.2023.0025")</f>
        <v>http://dx.doi.org/10.1089/ast.2023.0025</v>
      </c>
      <c r="BG61" t="s">
        <v>74</v>
      </c>
      <c r="BH61" t="s">
        <v>98</v>
      </c>
      <c r="BI61">
        <v>17</v>
      </c>
      <c r="BJ61" t="s">
        <v>1188</v>
      </c>
      <c r="BK61" t="s">
        <v>100</v>
      </c>
      <c r="BL61" t="s">
        <v>1189</v>
      </c>
      <c r="BM61" t="s">
        <v>1190</v>
      </c>
      <c r="BN61">
        <v>38153386</v>
      </c>
      <c r="BO61" t="s">
        <v>74</v>
      </c>
      <c r="BP61" t="s">
        <v>74</v>
      </c>
      <c r="BQ61" t="s">
        <v>74</v>
      </c>
      <c r="BR61" t="s">
        <v>104</v>
      </c>
      <c r="BS61" t="s">
        <v>1191</v>
      </c>
      <c r="BT61" t="str">
        <f>HYPERLINK("https%3A%2F%2Fwww.webofscience.com%2Fwos%2Fwoscc%2Ffull-record%2FWOS:001150711200001","View Full Record in Web of Science")</f>
        <v>View Full Record in Web of Science</v>
      </c>
    </row>
    <row r="62" spans="1:72" x14ac:dyDescent="0.15">
      <c r="A62" t="s">
        <v>72</v>
      </c>
      <c r="B62" t="s">
        <v>1192</v>
      </c>
      <c r="C62" t="s">
        <v>74</v>
      </c>
      <c r="D62" t="s">
        <v>74</v>
      </c>
      <c r="E62" t="s">
        <v>74</v>
      </c>
      <c r="F62" t="s">
        <v>1193</v>
      </c>
      <c r="G62" t="s">
        <v>74</v>
      </c>
      <c r="H62" t="s">
        <v>74</v>
      </c>
      <c r="I62" t="s">
        <v>1194</v>
      </c>
      <c r="J62" t="s">
        <v>1195</v>
      </c>
      <c r="K62" t="s">
        <v>74</v>
      </c>
      <c r="L62" t="s">
        <v>74</v>
      </c>
      <c r="M62" t="s">
        <v>78</v>
      </c>
      <c r="N62" t="s">
        <v>79</v>
      </c>
      <c r="O62" t="s">
        <v>74</v>
      </c>
      <c r="P62" t="s">
        <v>74</v>
      </c>
      <c r="Q62" t="s">
        <v>74</v>
      </c>
      <c r="R62" t="s">
        <v>74</v>
      </c>
      <c r="S62" t="s">
        <v>74</v>
      </c>
      <c r="T62" t="s">
        <v>1196</v>
      </c>
      <c r="U62" t="s">
        <v>1197</v>
      </c>
      <c r="V62" t="s">
        <v>1198</v>
      </c>
      <c r="W62" t="s">
        <v>1199</v>
      </c>
      <c r="X62" t="s">
        <v>1200</v>
      </c>
      <c r="Y62" t="s">
        <v>1201</v>
      </c>
      <c r="Z62" t="s">
        <v>1202</v>
      </c>
      <c r="AA62" t="s">
        <v>1203</v>
      </c>
      <c r="AB62" t="s">
        <v>1204</v>
      </c>
      <c r="AC62" t="s">
        <v>1205</v>
      </c>
      <c r="AD62" t="s">
        <v>1206</v>
      </c>
      <c r="AE62" t="s">
        <v>1207</v>
      </c>
      <c r="AF62" t="s">
        <v>74</v>
      </c>
      <c r="AG62">
        <v>66</v>
      </c>
      <c r="AH62">
        <v>1</v>
      </c>
      <c r="AI62">
        <v>1</v>
      </c>
      <c r="AJ62">
        <v>2</v>
      </c>
      <c r="AK62">
        <v>2</v>
      </c>
      <c r="AL62" t="s">
        <v>1208</v>
      </c>
      <c r="AM62" t="s">
        <v>1209</v>
      </c>
      <c r="AN62" t="s">
        <v>1210</v>
      </c>
      <c r="AO62" t="s">
        <v>1211</v>
      </c>
      <c r="AP62" t="s">
        <v>1212</v>
      </c>
      <c r="AQ62" t="s">
        <v>74</v>
      </c>
      <c r="AR62" t="s">
        <v>1213</v>
      </c>
      <c r="AS62" t="s">
        <v>1214</v>
      </c>
      <c r="AT62" t="s">
        <v>1215</v>
      </c>
      <c r="AU62">
        <v>2023</v>
      </c>
      <c r="AV62">
        <v>50</v>
      </c>
      <c r="AW62">
        <v>24</v>
      </c>
      <c r="AX62" t="s">
        <v>74</v>
      </c>
      <c r="AY62" t="s">
        <v>74</v>
      </c>
      <c r="AZ62" t="s">
        <v>74</v>
      </c>
      <c r="BA62" t="s">
        <v>74</v>
      </c>
      <c r="BB62" t="s">
        <v>74</v>
      </c>
      <c r="BC62" t="s">
        <v>74</v>
      </c>
      <c r="BD62" t="s">
        <v>1216</v>
      </c>
      <c r="BE62" t="s">
        <v>1217</v>
      </c>
      <c r="BF62" t="str">
        <f>HYPERLINK("http://dx.doi.org/10.1029/2023GL105948","http://dx.doi.org/10.1029/2023GL105948")</f>
        <v>http://dx.doi.org/10.1029/2023GL105948</v>
      </c>
      <c r="BG62" t="s">
        <v>74</v>
      </c>
      <c r="BH62" t="s">
        <v>74</v>
      </c>
      <c r="BI62">
        <v>10</v>
      </c>
      <c r="BJ62" t="s">
        <v>535</v>
      </c>
      <c r="BK62" t="s">
        <v>100</v>
      </c>
      <c r="BL62" t="s">
        <v>536</v>
      </c>
      <c r="BM62" t="s">
        <v>1218</v>
      </c>
      <c r="BN62" t="s">
        <v>74</v>
      </c>
      <c r="BO62" t="s">
        <v>103</v>
      </c>
      <c r="BP62" t="s">
        <v>74</v>
      </c>
      <c r="BQ62" t="s">
        <v>74</v>
      </c>
      <c r="BR62" t="s">
        <v>104</v>
      </c>
      <c r="BS62" t="s">
        <v>1219</v>
      </c>
      <c r="BT62" t="str">
        <f>HYPERLINK("https%3A%2F%2Fwww.webofscience.com%2Fwos%2Fwoscc%2Ffull-record%2FWOS:001131509400001","View Full Record in Web of Science")</f>
        <v>View Full Record in Web of Science</v>
      </c>
    </row>
    <row r="63" spans="1:72" x14ac:dyDescent="0.15">
      <c r="A63" t="s">
        <v>72</v>
      </c>
      <c r="B63" t="s">
        <v>1220</v>
      </c>
      <c r="C63" t="s">
        <v>74</v>
      </c>
      <c r="D63" t="s">
        <v>74</v>
      </c>
      <c r="E63" t="s">
        <v>74</v>
      </c>
      <c r="F63" t="s">
        <v>1221</v>
      </c>
      <c r="G63" t="s">
        <v>74</v>
      </c>
      <c r="H63" t="s">
        <v>74</v>
      </c>
      <c r="I63" t="s">
        <v>1222</v>
      </c>
      <c r="J63" t="s">
        <v>1195</v>
      </c>
      <c r="K63" t="s">
        <v>74</v>
      </c>
      <c r="L63" t="s">
        <v>74</v>
      </c>
      <c r="M63" t="s">
        <v>78</v>
      </c>
      <c r="N63" t="s">
        <v>79</v>
      </c>
      <c r="O63" t="s">
        <v>74</v>
      </c>
      <c r="P63" t="s">
        <v>74</v>
      </c>
      <c r="Q63" t="s">
        <v>74</v>
      </c>
      <c r="R63" t="s">
        <v>74</v>
      </c>
      <c r="S63" t="s">
        <v>74</v>
      </c>
      <c r="T63" t="s">
        <v>1223</v>
      </c>
      <c r="U63" t="s">
        <v>1224</v>
      </c>
      <c r="V63" t="s">
        <v>1225</v>
      </c>
      <c r="W63" t="s">
        <v>1226</v>
      </c>
      <c r="X63" t="s">
        <v>1227</v>
      </c>
      <c r="Y63" t="s">
        <v>1228</v>
      </c>
      <c r="Z63" t="s">
        <v>1229</v>
      </c>
      <c r="AA63" t="s">
        <v>1230</v>
      </c>
      <c r="AB63" t="s">
        <v>1231</v>
      </c>
      <c r="AC63" t="s">
        <v>1232</v>
      </c>
      <c r="AD63" t="s">
        <v>1233</v>
      </c>
      <c r="AE63" t="s">
        <v>1234</v>
      </c>
      <c r="AF63" t="s">
        <v>74</v>
      </c>
      <c r="AG63">
        <v>53</v>
      </c>
      <c r="AH63">
        <v>0</v>
      </c>
      <c r="AI63">
        <v>0</v>
      </c>
      <c r="AJ63">
        <v>0</v>
      </c>
      <c r="AK63">
        <v>0</v>
      </c>
      <c r="AL63" t="s">
        <v>1208</v>
      </c>
      <c r="AM63" t="s">
        <v>1209</v>
      </c>
      <c r="AN63" t="s">
        <v>1210</v>
      </c>
      <c r="AO63" t="s">
        <v>1211</v>
      </c>
      <c r="AP63" t="s">
        <v>1212</v>
      </c>
      <c r="AQ63" t="s">
        <v>74</v>
      </c>
      <c r="AR63" t="s">
        <v>1213</v>
      </c>
      <c r="AS63" t="s">
        <v>1214</v>
      </c>
      <c r="AT63" t="s">
        <v>1215</v>
      </c>
      <c r="AU63">
        <v>2023</v>
      </c>
      <c r="AV63">
        <v>50</v>
      </c>
      <c r="AW63">
        <v>24</v>
      </c>
      <c r="AX63" t="s">
        <v>74</v>
      </c>
      <c r="AY63" t="s">
        <v>74</v>
      </c>
      <c r="AZ63" t="s">
        <v>74</v>
      </c>
      <c r="BA63" t="s">
        <v>74</v>
      </c>
      <c r="BB63" t="s">
        <v>74</v>
      </c>
      <c r="BC63" t="s">
        <v>74</v>
      </c>
      <c r="BD63" t="s">
        <v>1235</v>
      </c>
      <c r="BE63" t="s">
        <v>1236</v>
      </c>
      <c r="BF63" t="str">
        <f>HYPERLINK("http://dx.doi.org/10.1029/2023GL104847","http://dx.doi.org/10.1029/2023GL104847")</f>
        <v>http://dx.doi.org/10.1029/2023GL104847</v>
      </c>
      <c r="BG63" t="s">
        <v>74</v>
      </c>
      <c r="BH63" t="s">
        <v>74</v>
      </c>
      <c r="BI63">
        <v>11</v>
      </c>
      <c r="BJ63" t="s">
        <v>535</v>
      </c>
      <c r="BK63" t="s">
        <v>100</v>
      </c>
      <c r="BL63" t="s">
        <v>536</v>
      </c>
      <c r="BM63" t="s">
        <v>1237</v>
      </c>
      <c r="BN63" t="s">
        <v>74</v>
      </c>
      <c r="BO63" t="s">
        <v>1238</v>
      </c>
      <c r="BP63" t="s">
        <v>74</v>
      </c>
      <c r="BQ63" t="s">
        <v>74</v>
      </c>
      <c r="BR63" t="s">
        <v>104</v>
      </c>
      <c r="BS63" t="s">
        <v>1239</v>
      </c>
      <c r="BT63" t="str">
        <f>HYPERLINK("https%3A%2F%2Fwww.webofscience.com%2Fwos%2Fwoscc%2Ffull-record%2FWOS:001127240800001","View Full Record in Web of Science")</f>
        <v>View Full Record in Web of Science</v>
      </c>
    </row>
    <row r="64" spans="1:72" x14ac:dyDescent="0.15">
      <c r="A64" t="s">
        <v>72</v>
      </c>
      <c r="B64" t="s">
        <v>1240</v>
      </c>
      <c r="C64" t="s">
        <v>74</v>
      </c>
      <c r="D64" t="s">
        <v>74</v>
      </c>
      <c r="E64" t="s">
        <v>74</v>
      </c>
      <c r="F64" t="s">
        <v>1241</v>
      </c>
      <c r="G64" t="s">
        <v>74</v>
      </c>
      <c r="H64" t="s">
        <v>74</v>
      </c>
      <c r="I64" t="s">
        <v>1242</v>
      </c>
      <c r="J64" t="s">
        <v>1243</v>
      </c>
      <c r="K64" t="s">
        <v>74</v>
      </c>
      <c r="L64" t="s">
        <v>74</v>
      </c>
      <c r="M64" t="s">
        <v>78</v>
      </c>
      <c r="N64" t="s">
        <v>79</v>
      </c>
      <c r="O64" t="s">
        <v>74</v>
      </c>
      <c r="P64" t="s">
        <v>74</v>
      </c>
      <c r="Q64" t="s">
        <v>74</v>
      </c>
      <c r="R64" t="s">
        <v>74</v>
      </c>
      <c r="S64" t="s">
        <v>74</v>
      </c>
      <c r="T64" t="s">
        <v>1244</v>
      </c>
      <c r="U64" t="s">
        <v>1245</v>
      </c>
      <c r="V64" t="s">
        <v>1246</v>
      </c>
      <c r="W64" t="s">
        <v>1247</v>
      </c>
      <c r="X64" t="s">
        <v>1248</v>
      </c>
      <c r="Y64" t="s">
        <v>1249</v>
      </c>
      <c r="Z64" t="s">
        <v>1250</v>
      </c>
      <c r="AA64" t="s">
        <v>1251</v>
      </c>
      <c r="AB64" t="s">
        <v>1252</v>
      </c>
      <c r="AC64" t="s">
        <v>1253</v>
      </c>
      <c r="AD64" t="s">
        <v>1254</v>
      </c>
      <c r="AE64" t="s">
        <v>1255</v>
      </c>
      <c r="AF64" t="s">
        <v>74</v>
      </c>
      <c r="AG64">
        <v>86</v>
      </c>
      <c r="AH64">
        <v>1</v>
      </c>
      <c r="AI64">
        <v>1</v>
      </c>
      <c r="AJ64">
        <v>3</v>
      </c>
      <c r="AK64">
        <v>3</v>
      </c>
      <c r="AL64" t="s">
        <v>1075</v>
      </c>
      <c r="AM64" t="s">
        <v>1076</v>
      </c>
      <c r="AN64" t="s">
        <v>1077</v>
      </c>
      <c r="AO64" t="s">
        <v>1256</v>
      </c>
      <c r="AP64" t="s">
        <v>1257</v>
      </c>
      <c r="AQ64" t="s">
        <v>74</v>
      </c>
      <c r="AR64" t="s">
        <v>1258</v>
      </c>
      <c r="AS64" t="s">
        <v>1259</v>
      </c>
      <c r="AT64" t="s">
        <v>1133</v>
      </c>
      <c r="AU64">
        <v>2024</v>
      </c>
      <c r="AV64">
        <v>47</v>
      </c>
      <c r="AW64">
        <v>2</v>
      </c>
      <c r="AX64" t="s">
        <v>74</v>
      </c>
      <c r="AY64" t="s">
        <v>74</v>
      </c>
      <c r="AZ64" t="s">
        <v>74</v>
      </c>
      <c r="BA64" t="s">
        <v>74</v>
      </c>
      <c r="BB64">
        <v>135</v>
      </c>
      <c r="BC64">
        <v>156</v>
      </c>
      <c r="BD64" t="s">
        <v>74</v>
      </c>
      <c r="BE64" t="s">
        <v>1260</v>
      </c>
      <c r="BF64" t="str">
        <f>HYPERLINK("http://dx.doi.org/10.1007/s00300-023-03213-w","http://dx.doi.org/10.1007/s00300-023-03213-w")</f>
        <v>http://dx.doi.org/10.1007/s00300-023-03213-w</v>
      </c>
      <c r="BG64" t="s">
        <v>74</v>
      </c>
      <c r="BH64" t="s">
        <v>98</v>
      </c>
      <c r="BI64">
        <v>22</v>
      </c>
      <c r="BJ64" t="s">
        <v>1261</v>
      </c>
      <c r="BK64" t="s">
        <v>100</v>
      </c>
      <c r="BL64" t="s">
        <v>913</v>
      </c>
      <c r="BM64" t="s">
        <v>1262</v>
      </c>
      <c r="BN64" t="s">
        <v>74</v>
      </c>
      <c r="BO64" t="s">
        <v>74</v>
      </c>
      <c r="BP64" t="s">
        <v>74</v>
      </c>
      <c r="BQ64" t="s">
        <v>74</v>
      </c>
      <c r="BR64" t="s">
        <v>104</v>
      </c>
      <c r="BS64" t="s">
        <v>1263</v>
      </c>
      <c r="BT64" t="str">
        <f>HYPERLINK("https%3A%2F%2Fwww.webofscience.com%2Fwos%2Fwoscc%2Ffull-record%2FWOS:001132586200001","View Full Record in Web of Science")</f>
        <v>View Full Record in Web of Science</v>
      </c>
    </row>
    <row r="65" spans="1:72" x14ac:dyDescent="0.15">
      <c r="A65" t="s">
        <v>72</v>
      </c>
      <c r="B65" t="s">
        <v>1264</v>
      </c>
      <c r="C65" t="s">
        <v>74</v>
      </c>
      <c r="D65" t="s">
        <v>74</v>
      </c>
      <c r="E65" t="s">
        <v>74</v>
      </c>
      <c r="F65" t="s">
        <v>1265</v>
      </c>
      <c r="G65" t="s">
        <v>74</v>
      </c>
      <c r="H65" t="s">
        <v>74</v>
      </c>
      <c r="I65" t="s">
        <v>1266</v>
      </c>
      <c r="J65" t="s">
        <v>1195</v>
      </c>
      <c r="K65" t="s">
        <v>74</v>
      </c>
      <c r="L65" t="s">
        <v>74</v>
      </c>
      <c r="M65" t="s">
        <v>78</v>
      </c>
      <c r="N65" t="s">
        <v>79</v>
      </c>
      <c r="O65" t="s">
        <v>74</v>
      </c>
      <c r="P65" t="s">
        <v>74</v>
      </c>
      <c r="Q65" t="s">
        <v>74</v>
      </c>
      <c r="R65" t="s">
        <v>74</v>
      </c>
      <c r="S65" t="s">
        <v>74</v>
      </c>
      <c r="T65" t="s">
        <v>1267</v>
      </c>
      <c r="U65" t="s">
        <v>1268</v>
      </c>
      <c r="V65" t="s">
        <v>1269</v>
      </c>
      <c r="W65" t="s">
        <v>1270</v>
      </c>
      <c r="X65" t="s">
        <v>1271</v>
      </c>
      <c r="Y65" t="s">
        <v>1272</v>
      </c>
      <c r="Z65" t="s">
        <v>1273</v>
      </c>
      <c r="AA65" t="s">
        <v>1274</v>
      </c>
      <c r="AB65" t="s">
        <v>1275</v>
      </c>
      <c r="AC65" t="s">
        <v>1276</v>
      </c>
      <c r="AD65" t="s">
        <v>1277</v>
      </c>
      <c r="AE65" t="s">
        <v>1278</v>
      </c>
      <c r="AF65" t="s">
        <v>74</v>
      </c>
      <c r="AG65">
        <v>32</v>
      </c>
      <c r="AH65">
        <v>0</v>
      </c>
      <c r="AI65">
        <v>0</v>
      </c>
      <c r="AJ65">
        <v>4</v>
      </c>
      <c r="AK65">
        <v>4</v>
      </c>
      <c r="AL65" t="s">
        <v>1208</v>
      </c>
      <c r="AM65" t="s">
        <v>1209</v>
      </c>
      <c r="AN65" t="s">
        <v>1210</v>
      </c>
      <c r="AO65" t="s">
        <v>1211</v>
      </c>
      <c r="AP65" t="s">
        <v>1212</v>
      </c>
      <c r="AQ65" t="s">
        <v>74</v>
      </c>
      <c r="AR65" t="s">
        <v>1213</v>
      </c>
      <c r="AS65" t="s">
        <v>1214</v>
      </c>
      <c r="AT65" t="s">
        <v>1215</v>
      </c>
      <c r="AU65">
        <v>2023</v>
      </c>
      <c r="AV65">
        <v>50</v>
      </c>
      <c r="AW65">
        <v>24</v>
      </c>
      <c r="AX65" t="s">
        <v>74</v>
      </c>
      <c r="AY65" t="s">
        <v>74</v>
      </c>
      <c r="AZ65" t="s">
        <v>74</v>
      </c>
      <c r="BA65" t="s">
        <v>74</v>
      </c>
      <c r="BB65" t="s">
        <v>74</v>
      </c>
      <c r="BC65" t="s">
        <v>74</v>
      </c>
      <c r="BD65" t="s">
        <v>1279</v>
      </c>
      <c r="BE65" t="s">
        <v>1280</v>
      </c>
      <c r="BF65" t="str">
        <f>HYPERLINK("http://dx.doi.org/10.1029/2023GL106432","http://dx.doi.org/10.1029/2023GL106432")</f>
        <v>http://dx.doi.org/10.1029/2023GL106432</v>
      </c>
      <c r="BG65" t="s">
        <v>74</v>
      </c>
      <c r="BH65" t="s">
        <v>74</v>
      </c>
      <c r="BI65">
        <v>7</v>
      </c>
      <c r="BJ65" t="s">
        <v>535</v>
      </c>
      <c r="BK65" t="s">
        <v>100</v>
      </c>
      <c r="BL65" t="s">
        <v>536</v>
      </c>
      <c r="BM65" t="s">
        <v>1281</v>
      </c>
      <c r="BN65" t="s">
        <v>74</v>
      </c>
      <c r="BO65" t="s">
        <v>103</v>
      </c>
      <c r="BP65" t="s">
        <v>74</v>
      </c>
      <c r="BQ65" t="s">
        <v>74</v>
      </c>
      <c r="BR65" t="s">
        <v>104</v>
      </c>
      <c r="BS65" t="s">
        <v>1282</v>
      </c>
      <c r="BT65" t="str">
        <f>HYPERLINK("https%3A%2F%2Fwww.webofscience.com%2Fwos%2Fwoscc%2Ffull-record%2FWOS:001130073600001","View Full Record in Web of Science")</f>
        <v>View Full Record in Web of Science</v>
      </c>
    </row>
    <row r="66" spans="1:72" x14ac:dyDescent="0.15">
      <c r="A66" t="s">
        <v>72</v>
      </c>
      <c r="B66" t="s">
        <v>1283</v>
      </c>
      <c r="C66" t="s">
        <v>74</v>
      </c>
      <c r="D66" t="s">
        <v>74</v>
      </c>
      <c r="E66" t="s">
        <v>74</v>
      </c>
      <c r="F66" t="s">
        <v>1284</v>
      </c>
      <c r="G66" t="s">
        <v>74</v>
      </c>
      <c r="H66" t="s">
        <v>74</v>
      </c>
      <c r="I66" t="s">
        <v>1285</v>
      </c>
      <c r="J66" t="s">
        <v>1195</v>
      </c>
      <c r="K66" t="s">
        <v>74</v>
      </c>
      <c r="L66" t="s">
        <v>74</v>
      </c>
      <c r="M66" t="s">
        <v>78</v>
      </c>
      <c r="N66" t="s">
        <v>79</v>
      </c>
      <c r="O66" t="s">
        <v>74</v>
      </c>
      <c r="P66" t="s">
        <v>74</v>
      </c>
      <c r="Q66" t="s">
        <v>74</v>
      </c>
      <c r="R66" t="s">
        <v>74</v>
      </c>
      <c r="S66" t="s">
        <v>74</v>
      </c>
      <c r="T66" t="s">
        <v>1286</v>
      </c>
      <c r="U66" t="s">
        <v>1287</v>
      </c>
      <c r="V66" t="s">
        <v>1288</v>
      </c>
      <c r="W66" t="s">
        <v>1289</v>
      </c>
      <c r="X66" t="s">
        <v>1290</v>
      </c>
      <c r="Y66" t="s">
        <v>1291</v>
      </c>
      <c r="Z66" t="s">
        <v>1292</v>
      </c>
      <c r="AA66" t="s">
        <v>1293</v>
      </c>
      <c r="AB66" t="s">
        <v>1294</v>
      </c>
      <c r="AC66" t="s">
        <v>1295</v>
      </c>
      <c r="AD66" t="s">
        <v>1296</v>
      </c>
      <c r="AE66" t="s">
        <v>1297</v>
      </c>
      <c r="AF66" t="s">
        <v>74</v>
      </c>
      <c r="AG66">
        <v>69</v>
      </c>
      <c r="AH66">
        <v>0</v>
      </c>
      <c r="AI66">
        <v>0</v>
      </c>
      <c r="AJ66">
        <v>4</v>
      </c>
      <c r="AK66">
        <v>4</v>
      </c>
      <c r="AL66" t="s">
        <v>1208</v>
      </c>
      <c r="AM66" t="s">
        <v>1209</v>
      </c>
      <c r="AN66" t="s">
        <v>1210</v>
      </c>
      <c r="AO66" t="s">
        <v>1211</v>
      </c>
      <c r="AP66" t="s">
        <v>1212</v>
      </c>
      <c r="AQ66" t="s">
        <v>74</v>
      </c>
      <c r="AR66" t="s">
        <v>1213</v>
      </c>
      <c r="AS66" t="s">
        <v>1214</v>
      </c>
      <c r="AT66" t="s">
        <v>1215</v>
      </c>
      <c r="AU66">
        <v>2023</v>
      </c>
      <c r="AV66">
        <v>50</v>
      </c>
      <c r="AW66">
        <v>24</v>
      </c>
      <c r="AX66" t="s">
        <v>74</v>
      </c>
      <c r="AY66" t="s">
        <v>74</v>
      </c>
      <c r="AZ66" t="s">
        <v>74</v>
      </c>
      <c r="BA66" t="s">
        <v>74</v>
      </c>
      <c r="BB66" t="s">
        <v>74</v>
      </c>
      <c r="BC66" t="s">
        <v>74</v>
      </c>
      <c r="BD66" t="s">
        <v>1298</v>
      </c>
      <c r="BE66" t="s">
        <v>1299</v>
      </c>
      <c r="BF66" t="str">
        <f>HYPERLINK("http://dx.doi.org/10.1029/2023GL105435","http://dx.doi.org/10.1029/2023GL105435")</f>
        <v>http://dx.doi.org/10.1029/2023GL105435</v>
      </c>
      <c r="BG66" t="s">
        <v>74</v>
      </c>
      <c r="BH66" t="s">
        <v>74</v>
      </c>
      <c r="BI66">
        <v>10</v>
      </c>
      <c r="BJ66" t="s">
        <v>535</v>
      </c>
      <c r="BK66" t="s">
        <v>100</v>
      </c>
      <c r="BL66" t="s">
        <v>536</v>
      </c>
      <c r="BM66" t="s">
        <v>1300</v>
      </c>
      <c r="BN66" t="s">
        <v>74</v>
      </c>
      <c r="BO66" t="s">
        <v>103</v>
      </c>
      <c r="BP66" t="s">
        <v>74</v>
      </c>
      <c r="BQ66" t="s">
        <v>74</v>
      </c>
      <c r="BR66" t="s">
        <v>104</v>
      </c>
      <c r="BS66" t="s">
        <v>1301</v>
      </c>
      <c r="BT66" t="str">
        <f>HYPERLINK("https%3A%2F%2Fwww.webofscience.com%2Fwos%2Fwoscc%2Ffull-record%2FWOS:001125928700001","View Full Record in Web of Science")</f>
        <v>View Full Record in Web of Science</v>
      </c>
    </row>
    <row r="67" spans="1:72" x14ac:dyDescent="0.15">
      <c r="A67" t="s">
        <v>72</v>
      </c>
      <c r="B67" t="s">
        <v>1302</v>
      </c>
      <c r="C67" t="s">
        <v>74</v>
      </c>
      <c r="D67" t="s">
        <v>74</v>
      </c>
      <c r="E67" t="s">
        <v>74</v>
      </c>
      <c r="F67" t="s">
        <v>1303</v>
      </c>
      <c r="G67" t="s">
        <v>74</v>
      </c>
      <c r="H67" t="s">
        <v>74</v>
      </c>
      <c r="I67" t="s">
        <v>1304</v>
      </c>
      <c r="J67" t="s">
        <v>1195</v>
      </c>
      <c r="K67" t="s">
        <v>74</v>
      </c>
      <c r="L67" t="s">
        <v>74</v>
      </c>
      <c r="M67" t="s">
        <v>78</v>
      </c>
      <c r="N67" t="s">
        <v>79</v>
      </c>
      <c r="O67" t="s">
        <v>74</v>
      </c>
      <c r="P67" t="s">
        <v>74</v>
      </c>
      <c r="Q67" t="s">
        <v>74</v>
      </c>
      <c r="R67" t="s">
        <v>74</v>
      </c>
      <c r="S67" t="s">
        <v>74</v>
      </c>
      <c r="T67" t="s">
        <v>1305</v>
      </c>
      <c r="U67" t="s">
        <v>1306</v>
      </c>
      <c r="V67" t="s">
        <v>1307</v>
      </c>
      <c r="W67" t="s">
        <v>1308</v>
      </c>
      <c r="X67" t="s">
        <v>1309</v>
      </c>
      <c r="Y67" t="s">
        <v>1310</v>
      </c>
      <c r="Z67" t="s">
        <v>1311</v>
      </c>
      <c r="AA67" t="s">
        <v>1312</v>
      </c>
      <c r="AB67" t="s">
        <v>1313</v>
      </c>
      <c r="AC67" t="s">
        <v>1314</v>
      </c>
      <c r="AD67" t="s">
        <v>1315</v>
      </c>
      <c r="AE67" t="s">
        <v>1316</v>
      </c>
      <c r="AF67" t="s">
        <v>74</v>
      </c>
      <c r="AG67">
        <v>70</v>
      </c>
      <c r="AH67">
        <v>0</v>
      </c>
      <c r="AI67">
        <v>0</v>
      </c>
      <c r="AJ67">
        <v>10</v>
      </c>
      <c r="AK67">
        <v>10</v>
      </c>
      <c r="AL67" t="s">
        <v>1208</v>
      </c>
      <c r="AM67" t="s">
        <v>1209</v>
      </c>
      <c r="AN67" t="s">
        <v>1210</v>
      </c>
      <c r="AO67" t="s">
        <v>1211</v>
      </c>
      <c r="AP67" t="s">
        <v>1212</v>
      </c>
      <c r="AQ67" t="s">
        <v>74</v>
      </c>
      <c r="AR67" t="s">
        <v>1213</v>
      </c>
      <c r="AS67" t="s">
        <v>1214</v>
      </c>
      <c r="AT67" t="s">
        <v>1215</v>
      </c>
      <c r="AU67">
        <v>2023</v>
      </c>
      <c r="AV67">
        <v>50</v>
      </c>
      <c r="AW67">
        <v>24</v>
      </c>
      <c r="AX67" t="s">
        <v>74</v>
      </c>
      <c r="AY67" t="s">
        <v>74</v>
      </c>
      <c r="AZ67" t="s">
        <v>74</v>
      </c>
      <c r="BA67" t="s">
        <v>74</v>
      </c>
      <c r="BB67" t="s">
        <v>74</v>
      </c>
      <c r="BC67" t="s">
        <v>74</v>
      </c>
      <c r="BD67" t="s">
        <v>1317</v>
      </c>
      <c r="BE67" t="s">
        <v>1318</v>
      </c>
      <c r="BF67" t="str">
        <f>HYPERLINK("http://dx.doi.org/10.1029/2023GL106492","http://dx.doi.org/10.1029/2023GL106492")</f>
        <v>http://dx.doi.org/10.1029/2023GL106492</v>
      </c>
      <c r="BG67" t="s">
        <v>74</v>
      </c>
      <c r="BH67" t="s">
        <v>74</v>
      </c>
      <c r="BI67">
        <v>11</v>
      </c>
      <c r="BJ67" t="s">
        <v>535</v>
      </c>
      <c r="BK67" t="s">
        <v>100</v>
      </c>
      <c r="BL67" t="s">
        <v>536</v>
      </c>
      <c r="BM67" t="s">
        <v>1319</v>
      </c>
      <c r="BN67" t="s">
        <v>74</v>
      </c>
      <c r="BO67" t="s">
        <v>103</v>
      </c>
      <c r="BP67" t="s">
        <v>74</v>
      </c>
      <c r="BQ67" t="s">
        <v>74</v>
      </c>
      <c r="BR67" t="s">
        <v>104</v>
      </c>
      <c r="BS67" t="s">
        <v>1320</v>
      </c>
      <c r="BT67" t="str">
        <f>HYPERLINK("https%3A%2F%2Fwww.webofscience.com%2Fwos%2Fwoscc%2Ffull-record%2FWOS:001127134900001","View Full Record in Web of Science")</f>
        <v>View Full Record in Web of Science</v>
      </c>
    </row>
    <row r="68" spans="1:72" x14ac:dyDescent="0.15">
      <c r="A68" t="s">
        <v>72</v>
      </c>
      <c r="B68" t="s">
        <v>1321</v>
      </c>
      <c r="C68" t="s">
        <v>74</v>
      </c>
      <c r="D68" t="s">
        <v>74</v>
      </c>
      <c r="E68" t="s">
        <v>74</v>
      </c>
      <c r="F68" t="s">
        <v>1322</v>
      </c>
      <c r="G68" t="s">
        <v>74</v>
      </c>
      <c r="H68" t="s">
        <v>74</v>
      </c>
      <c r="I68" t="s">
        <v>1323</v>
      </c>
      <c r="J68" t="s">
        <v>1195</v>
      </c>
      <c r="K68" t="s">
        <v>74</v>
      </c>
      <c r="L68" t="s">
        <v>74</v>
      </c>
      <c r="M68" t="s">
        <v>78</v>
      </c>
      <c r="N68" t="s">
        <v>79</v>
      </c>
      <c r="O68" t="s">
        <v>74</v>
      </c>
      <c r="P68" t="s">
        <v>74</v>
      </c>
      <c r="Q68" t="s">
        <v>74</v>
      </c>
      <c r="R68" t="s">
        <v>74</v>
      </c>
      <c r="S68" t="s">
        <v>74</v>
      </c>
      <c r="T68" t="s">
        <v>74</v>
      </c>
      <c r="U68" t="s">
        <v>1324</v>
      </c>
      <c r="V68" t="s">
        <v>1325</v>
      </c>
      <c r="W68" t="s">
        <v>1326</v>
      </c>
      <c r="X68" t="s">
        <v>1327</v>
      </c>
      <c r="Y68" t="s">
        <v>1328</v>
      </c>
      <c r="Z68" t="s">
        <v>1329</v>
      </c>
      <c r="AA68" t="s">
        <v>1330</v>
      </c>
      <c r="AB68" t="s">
        <v>1331</v>
      </c>
      <c r="AC68" t="s">
        <v>1332</v>
      </c>
      <c r="AD68" t="s">
        <v>1333</v>
      </c>
      <c r="AE68" t="s">
        <v>1334</v>
      </c>
      <c r="AF68" t="s">
        <v>74</v>
      </c>
      <c r="AG68">
        <v>102</v>
      </c>
      <c r="AH68">
        <v>0</v>
      </c>
      <c r="AI68">
        <v>0</v>
      </c>
      <c r="AJ68">
        <v>2</v>
      </c>
      <c r="AK68">
        <v>2</v>
      </c>
      <c r="AL68" t="s">
        <v>1208</v>
      </c>
      <c r="AM68" t="s">
        <v>1209</v>
      </c>
      <c r="AN68" t="s">
        <v>1210</v>
      </c>
      <c r="AO68" t="s">
        <v>1211</v>
      </c>
      <c r="AP68" t="s">
        <v>1212</v>
      </c>
      <c r="AQ68" t="s">
        <v>74</v>
      </c>
      <c r="AR68" t="s">
        <v>1213</v>
      </c>
      <c r="AS68" t="s">
        <v>1214</v>
      </c>
      <c r="AT68" t="s">
        <v>1215</v>
      </c>
      <c r="AU68">
        <v>2023</v>
      </c>
      <c r="AV68">
        <v>50</v>
      </c>
      <c r="AW68">
        <v>24</v>
      </c>
      <c r="AX68" t="s">
        <v>74</v>
      </c>
      <c r="AY68" t="s">
        <v>74</v>
      </c>
      <c r="AZ68" t="s">
        <v>74</v>
      </c>
      <c r="BA68" t="s">
        <v>74</v>
      </c>
      <c r="BB68" t="s">
        <v>74</v>
      </c>
      <c r="BC68" t="s">
        <v>74</v>
      </c>
      <c r="BD68" t="s">
        <v>1335</v>
      </c>
      <c r="BE68" t="s">
        <v>1336</v>
      </c>
      <c r="BF68" t="str">
        <f>HYPERLINK("http://dx.doi.org/10.1029/2023GL106322","http://dx.doi.org/10.1029/2023GL106322")</f>
        <v>http://dx.doi.org/10.1029/2023GL106322</v>
      </c>
      <c r="BG68" t="s">
        <v>74</v>
      </c>
      <c r="BH68" t="s">
        <v>74</v>
      </c>
      <c r="BI68">
        <v>13</v>
      </c>
      <c r="BJ68" t="s">
        <v>535</v>
      </c>
      <c r="BK68" t="s">
        <v>100</v>
      </c>
      <c r="BL68" t="s">
        <v>536</v>
      </c>
      <c r="BM68" t="s">
        <v>1337</v>
      </c>
      <c r="BN68" t="s">
        <v>74</v>
      </c>
      <c r="BO68" t="s">
        <v>103</v>
      </c>
      <c r="BP68" t="s">
        <v>74</v>
      </c>
      <c r="BQ68" t="s">
        <v>74</v>
      </c>
      <c r="BR68" t="s">
        <v>104</v>
      </c>
      <c r="BS68" t="s">
        <v>1338</v>
      </c>
      <c r="BT68" t="str">
        <f>HYPERLINK("https%3A%2F%2Fwww.webofscience.com%2Fwos%2Fwoscc%2Ffull-record%2FWOS:001122314300001","View Full Record in Web of Science")</f>
        <v>View Full Record in Web of Science</v>
      </c>
    </row>
    <row r="69" spans="1:72" x14ac:dyDescent="0.15">
      <c r="A69" t="s">
        <v>72</v>
      </c>
      <c r="B69" t="s">
        <v>1339</v>
      </c>
      <c r="C69" t="s">
        <v>74</v>
      </c>
      <c r="D69" t="s">
        <v>74</v>
      </c>
      <c r="E69" t="s">
        <v>74</v>
      </c>
      <c r="F69" t="s">
        <v>1340</v>
      </c>
      <c r="G69" t="s">
        <v>74</v>
      </c>
      <c r="H69" t="s">
        <v>74</v>
      </c>
      <c r="I69" t="s">
        <v>1341</v>
      </c>
      <c r="J69" t="s">
        <v>1195</v>
      </c>
      <c r="K69" t="s">
        <v>74</v>
      </c>
      <c r="L69" t="s">
        <v>74</v>
      </c>
      <c r="M69" t="s">
        <v>78</v>
      </c>
      <c r="N69" t="s">
        <v>79</v>
      </c>
      <c r="O69" t="s">
        <v>74</v>
      </c>
      <c r="P69" t="s">
        <v>74</v>
      </c>
      <c r="Q69" t="s">
        <v>74</v>
      </c>
      <c r="R69" t="s">
        <v>74</v>
      </c>
      <c r="S69" t="s">
        <v>74</v>
      </c>
      <c r="T69" t="s">
        <v>74</v>
      </c>
      <c r="U69" t="s">
        <v>1342</v>
      </c>
      <c r="V69" t="s">
        <v>1343</v>
      </c>
      <c r="W69" t="s">
        <v>1344</v>
      </c>
      <c r="X69" t="s">
        <v>1345</v>
      </c>
      <c r="Y69" t="s">
        <v>1346</v>
      </c>
      <c r="Z69" t="s">
        <v>1347</v>
      </c>
      <c r="AA69" t="s">
        <v>1348</v>
      </c>
      <c r="AB69" t="s">
        <v>1349</v>
      </c>
      <c r="AC69" t="s">
        <v>1350</v>
      </c>
      <c r="AD69" t="s">
        <v>1351</v>
      </c>
      <c r="AE69" t="s">
        <v>1352</v>
      </c>
      <c r="AF69" t="s">
        <v>74</v>
      </c>
      <c r="AG69">
        <v>87</v>
      </c>
      <c r="AH69">
        <v>1</v>
      </c>
      <c r="AI69">
        <v>1</v>
      </c>
      <c r="AJ69">
        <v>4</v>
      </c>
      <c r="AK69">
        <v>4</v>
      </c>
      <c r="AL69" t="s">
        <v>1208</v>
      </c>
      <c r="AM69" t="s">
        <v>1209</v>
      </c>
      <c r="AN69" t="s">
        <v>1210</v>
      </c>
      <c r="AO69" t="s">
        <v>1211</v>
      </c>
      <c r="AP69" t="s">
        <v>1212</v>
      </c>
      <c r="AQ69" t="s">
        <v>74</v>
      </c>
      <c r="AR69" t="s">
        <v>1213</v>
      </c>
      <c r="AS69" t="s">
        <v>1214</v>
      </c>
      <c r="AT69" t="s">
        <v>1215</v>
      </c>
      <c r="AU69">
        <v>2023</v>
      </c>
      <c r="AV69">
        <v>50</v>
      </c>
      <c r="AW69">
        <v>24</v>
      </c>
      <c r="AX69" t="s">
        <v>74</v>
      </c>
      <c r="AY69" t="s">
        <v>74</v>
      </c>
      <c r="AZ69" t="s">
        <v>74</v>
      </c>
      <c r="BA69" t="s">
        <v>74</v>
      </c>
      <c r="BB69" t="s">
        <v>74</v>
      </c>
      <c r="BC69" t="s">
        <v>74</v>
      </c>
      <c r="BD69" t="s">
        <v>1353</v>
      </c>
      <c r="BE69" t="s">
        <v>1354</v>
      </c>
      <c r="BF69" t="str">
        <f>HYPERLINK("http://dx.doi.org/10.1029/2023GL106530","http://dx.doi.org/10.1029/2023GL106530")</f>
        <v>http://dx.doi.org/10.1029/2023GL106530</v>
      </c>
      <c r="BG69" t="s">
        <v>74</v>
      </c>
      <c r="BH69" t="s">
        <v>74</v>
      </c>
      <c r="BI69">
        <v>11</v>
      </c>
      <c r="BJ69" t="s">
        <v>535</v>
      </c>
      <c r="BK69" t="s">
        <v>100</v>
      </c>
      <c r="BL69" t="s">
        <v>536</v>
      </c>
      <c r="BM69" t="s">
        <v>1355</v>
      </c>
      <c r="BN69" t="s">
        <v>74</v>
      </c>
      <c r="BO69" t="s">
        <v>1356</v>
      </c>
      <c r="BP69" t="s">
        <v>74</v>
      </c>
      <c r="BQ69" t="s">
        <v>74</v>
      </c>
      <c r="BR69" t="s">
        <v>104</v>
      </c>
      <c r="BS69" t="s">
        <v>1357</v>
      </c>
      <c r="BT69" t="str">
        <f>HYPERLINK("https%3A%2F%2Fwww.webofscience.com%2Fwos%2Fwoscc%2Ffull-record%2FWOS:001123275500001","View Full Record in Web of Science")</f>
        <v>View Full Record in Web of Science</v>
      </c>
    </row>
    <row r="70" spans="1:72" x14ac:dyDescent="0.15">
      <c r="A70" t="s">
        <v>72</v>
      </c>
      <c r="B70" t="s">
        <v>1358</v>
      </c>
      <c r="C70" t="s">
        <v>74</v>
      </c>
      <c r="D70" t="s">
        <v>74</v>
      </c>
      <c r="E70" t="s">
        <v>74</v>
      </c>
      <c r="F70" t="s">
        <v>1359</v>
      </c>
      <c r="G70" t="s">
        <v>74</v>
      </c>
      <c r="H70" t="s">
        <v>74</v>
      </c>
      <c r="I70" t="s">
        <v>1360</v>
      </c>
      <c r="J70" t="s">
        <v>1142</v>
      </c>
      <c r="K70" t="s">
        <v>74</v>
      </c>
      <c r="L70" t="s">
        <v>74</v>
      </c>
      <c r="M70" t="s">
        <v>78</v>
      </c>
      <c r="N70" t="s">
        <v>79</v>
      </c>
      <c r="O70" t="s">
        <v>74</v>
      </c>
      <c r="P70" t="s">
        <v>74</v>
      </c>
      <c r="Q70" t="s">
        <v>74</v>
      </c>
      <c r="R70" t="s">
        <v>74</v>
      </c>
      <c r="S70" t="s">
        <v>74</v>
      </c>
      <c r="T70" t="s">
        <v>1361</v>
      </c>
      <c r="U70" t="s">
        <v>1362</v>
      </c>
      <c r="V70" t="s">
        <v>1363</v>
      </c>
      <c r="W70" t="s">
        <v>1364</v>
      </c>
      <c r="X70" t="s">
        <v>1365</v>
      </c>
      <c r="Y70" t="s">
        <v>1366</v>
      </c>
      <c r="Z70" t="s">
        <v>1367</v>
      </c>
      <c r="AA70" t="s">
        <v>74</v>
      </c>
      <c r="AB70" t="s">
        <v>1368</v>
      </c>
      <c r="AC70" t="s">
        <v>1369</v>
      </c>
      <c r="AD70" t="s">
        <v>1370</v>
      </c>
      <c r="AE70" t="s">
        <v>1371</v>
      </c>
      <c r="AF70" t="s">
        <v>74</v>
      </c>
      <c r="AG70">
        <v>66</v>
      </c>
      <c r="AH70">
        <v>0</v>
      </c>
      <c r="AI70">
        <v>0</v>
      </c>
      <c r="AJ70">
        <v>6</v>
      </c>
      <c r="AK70">
        <v>6</v>
      </c>
      <c r="AL70" t="s">
        <v>89</v>
      </c>
      <c r="AM70" t="s">
        <v>90</v>
      </c>
      <c r="AN70" t="s">
        <v>91</v>
      </c>
      <c r="AO70" t="s">
        <v>1155</v>
      </c>
      <c r="AP70" t="s">
        <v>1156</v>
      </c>
      <c r="AQ70" t="s">
        <v>74</v>
      </c>
      <c r="AR70" t="s">
        <v>1157</v>
      </c>
      <c r="AS70" t="s">
        <v>1158</v>
      </c>
      <c r="AT70" t="s">
        <v>1159</v>
      </c>
      <c r="AU70">
        <v>2024</v>
      </c>
      <c r="AV70">
        <v>249</v>
      </c>
      <c r="AW70" t="s">
        <v>74</v>
      </c>
      <c r="AX70" t="s">
        <v>74</v>
      </c>
      <c r="AY70" t="s">
        <v>74</v>
      </c>
      <c r="AZ70" t="s">
        <v>74</v>
      </c>
      <c r="BA70" t="s">
        <v>74</v>
      </c>
      <c r="BB70" t="s">
        <v>74</v>
      </c>
      <c r="BC70" t="s">
        <v>74</v>
      </c>
      <c r="BD70">
        <v>106991</v>
      </c>
      <c r="BE70" t="s">
        <v>1372</v>
      </c>
      <c r="BF70" t="str">
        <f>HYPERLINK("http://dx.doi.org/10.1016/j.ocecoaman.2023.106991","http://dx.doi.org/10.1016/j.ocecoaman.2023.106991")</f>
        <v>http://dx.doi.org/10.1016/j.ocecoaman.2023.106991</v>
      </c>
      <c r="BG70" t="s">
        <v>74</v>
      </c>
      <c r="BH70" t="s">
        <v>98</v>
      </c>
      <c r="BI70">
        <v>14</v>
      </c>
      <c r="BJ70" t="s">
        <v>1161</v>
      </c>
      <c r="BK70" t="s">
        <v>100</v>
      </c>
      <c r="BL70" t="s">
        <v>1161</v>
      </c>
      <c r="BM70" t="s">
        <v>1373</v>
      </c>
      <c r="BN70" t="s">
        <v>74</v>
      </c>
      <c r="BO70" t="s">
        <v>74</v>
      </c>
      <c r="BP70" t="s">
        <v>74</v>
      </c>
      <c r="BQ70" t="s">
        <v>74</v>
      </c>
      <c r="BR70" t="s">
        <v>104</v>
      </c>
      <c r="BS70" t="s">
        <v>1374</v>
      </c>
      <c r="BT70" t="str">
        <f>HYPERLINK("https%3A%2F%2Fwww.webofscience.com%2Fwos%2Fwoscc%2Ffull-record%2FWOS:001156608300001","View Full Record in Web of Science")</f>
        <v>View Full Record in Web of Science</v>
      </c>
    </row>
    <row r="71" spans="1:72" x14ac:dyDescent="0.15">
      <c r="A71" t="s">
        <v>72</v>
      </c>
      <c r="B71" t="s">
        <v>1375</v>
      </c>
      <c r="C71" t="s">
        <v>74</v>
      </c>
      <c r="D71" t="s">
        <v>74</v>
      </c>
      <c r="E71" t="s">
        <v>74</v>
      </c>
      <c r="F71" t="s">
        <v>1376</v>
      </c>
      <c r="G71" t="s">
        <v>74</v>
      </c>
      <c r="H71" t="s">
        <v>74</v>
      </c>
      <c r="I71" t="s">
        <v>1377</v>
      </c>
      <c r="J71" t="s">
        <v>1378</v>
      </c>
      <c r="K71" t="s">
        <v>74</v>
      </c>
      <c r="L71" t="s">
        <v>74</v>
      </c>
      <c r="M71" t="s">
        <v>78</v>
      </c>
      <c r="N71" t="s">
        <v>79</v>
      </c>
      <c r="O71" t="s">
        <v>74</v>
      </c>
      <c r="P71" t="s">
        <v>74</v>
      </c>
      <c r="Q71" t="s">
        <v>74</v>
      </c>
      <c r="R71" t="s">
        <v>74</v>
      </c>
      <c r="S71" t="s">
        <v>74</v>
      </c>
      <c r="T71" t="s">
        <v>1379</v>
      </c>
      <c r="U71" t="s">
        <v>1380</v>
      </c>
      <c r="V71" t="s">
        <v>1381</v>
      </c>
      <c r="W71" t="s">
        <v>1382</v>
      </c>
      <c r="X71" t="s">
        <v>1383</v>
      </c>
      <c r="Y71" t="s">
        <v>1384</v>
      </c>
      <c r="Z71" t="s">
        <v>1385</v>
      </c>
      <c r="AA71" t="s">
        <v>1386</v>
      </c>
      <c r="AB71" t="s">
        <v>74</v>
      </c>
      <c r="AC71" t="s">
        <v>1387</v>
      </c>
      <c r="AD71" t="s">
        <v>1388</v>
      </c>
      <c r="AE71" t="s">
        <v>1389</v>
      </c>
      <c r="AF71" t="s">
        <v>74</v>
      </c>
      <c r="AG71">
        <v>52</v>
      </c>
      <c r="AH71">
        <v>0</v>
      </c>
      <c r="AI71">
        <v>0</v>
      </c>
      <c r="AJ71">
        <v>2</v>
      </c>
      <c r="AK71">
        <v>2</v>
      </c>
      <c r="AL71" t="s">
        <v>947</v>
      </c>
      <c r="AM71" t="s">
        <v>948</v>
      </c>
      <c r="AN71" t="s">
        <v>949</v>
      </c>
      <c r="AO71" t="s">
        <v>1390</v>
      </c>
      <c r="AP71" t="s">
        <v>1391</v>
      </c>
      <c r="AQ71" t="s">
        <v>74</v>
      </c>
      <c r="AR71" t="s">
        <v>1392</v>
      </c>
      <c r="AS71" t="s">
        <v>1393</v>
      </c>
      <c r="AT71" t="s">
        <v>954</v>
      </c>
      <c r="AU71">
        <v>2024</v>
      </c>
      <c r="AV71">
        <v>164</v>
      </c>
      <c r="AW71" t="s">
        <v>74</v>
      </c>
      <c r="AX71" t="s">
        <v>74</v>
      </c>
      <c r="AY71" t="s">
        <v>74</v>
      </c>
      <c r="AZ71" t="s">
        <v>74</v>
      </c>
      <c r="BA71" t="s">
        <v>74</v>
      </c>
      <c r="BB71" t="s">
        <v>74</v>
      </c>
      <c r="BC71" t="s">
        <v>74</v>
      </c>
      <c r="BD71">
        <v>105843</v>
      </c>
      <c r="BE71" t="s">
        <v>1394</v>
      </c>
      <c r="BF71" t="str">
        <f>HYPERLINK("http://dx.doi.org/10.1016/j.oregeorev.2023.105843","http://dx.doi.org/10.1016/j.oregeorev.2023.105843")</f>
        <v>http://dx.doi.org/10.1016/j.oregeorev.2023.105843</v>
      </c>
      <c r="BG71" t="s">
        <v>74</v>
      </c>
      <c r="BH71" t="s">
        <v>98</v>
      </c>
      <c r="BI71">
        <v>16</v>
      </c>
      <c r="BJ71" t="s">
        <v>1395</v>
      </c>
      <c r="BK71" t="s">
        <v>100</v>
      </c>
      <c r="BL71" t="s">
        <v>1395</v>
      </c>
      <c r="BM71" t="s">
        <v>1396</v>
      </c>
      <c r="BN71" t="s">
        <v>74</v>
      </c>
      <c r="BO71" t="s">
        <v>131</v>
      </c>
      <c r="BP71" t="s">
        <v>74</v>
      </c>
      <c r="BQ71" t="s">
        <v>74</v>
      </c>
      <c r="BR71" t="s">
        <v>104</v>
      </c>
      <c r="BS71" t="s">
        <v>1397</v>
      </c>
      <c r="BT71" t="str">
        <f>HYPERLINK("https%3A%2F%2Fwww.webofscience.com%2Fwos%2Fwoscc%2Ffull-record%2FWOS:001156364600001","View Full Record in Web of Science")</f>
        <v>View Full Record in Web of Science</v>
      </c>
    </row>
    <row r="72" spans="1:72" x14ac:dyDescent="0.15">
      <c r="A72" t="s">
        <v>72</v>
      </c>
      <c r="B72" t="s">
        <v>1398</v>
      </c>
      <c r="C72" t="s">
        <v>74</v>
      </c>
      <c r="D72" t="s">
        <v>74</v>
      </c>
      <c r="E72" t="s">
        <v>74</v>
      </c>
      <c r="F72" t="s">
        <v>1399</v>
      </c>
      <c r="G72" t="s">
        <v>74</v>
      </c>
      <c r="H72" t="s">
        <v>74</v>
      </c>
      <c r="I72" t="s">
        <v>1400</v>
      </c>
      <c r="J72" t="s">
        <v>1401</v>
      </c>
      <c r="K72" t="s">
        <v>74</v>
      </c>
      <c r="L72" t="s">
        <v>74</v>
      </c>
      <c r="M72" t="s">
        <v>78</v>
      </c>
      <c r="N72" t="s">
        <v>79</v>
      </c>
      <c r="O72" t="s">
        <v>74</v>
      </c>
      <c r="P72" t="s">
        <v>74</v>
      </c>
      <c r="Q72" t="s">
        <v>74</v>
      </c>
      <c r="R72" t="s">
        <v>74</v>
      </c>
      <c r="S72" t="s">
        <v>74</v>
      </c>
      <c r="T72" t="s">
        <v>1402</v>
      </c>
      <c r="U72" t="s">
        <v>1403</v>
      </c>
      <c r="V72" t="s">
        <v>1404</v>
      </c>
      <c r="W72" t="s">
        <v>1405</v>
      </c>
      <c r="X72" t="s">
        <v>74</v>
      </c>
      <c r="Y72" t="s">
        <v>1406</v>
      </c>
      <c r="Z72" t="s">
        <v>1407</v>
      </c>
      <c r="AA72" t="s">
        <v>74</v>
      </c>
      <c r="AB72" t="s">
        <v>1408</v>
      </c>
      <c r="AC72" t="s">
        <v>1409</v>
      </c>
      <c r="AD72" t="s">
        <v>1410</v>
      </c>
      <c r="AE72" t="s">
        <v>1411</v>
      </c>
      <c r="AF72" t="s">
        <v>74</v>
      </c>
      <c r="AG72">
        <v>40</v>
      </c>
      <c r="AH72">
        <v>0</v>
      </c>
      <c r="AI72">
        <v>0</v>
      </c>
      <c r="AJ72">
        <v>2</v>
      </c>
      <c r="AK72">
        <v>2</v>
      </c>
      <c r="AL72" t="s">
        <v>89</v>
      </c>
      <c r="AM72" t="s">
        <v>90</v>
      </c>
      <c r="AN72" t="s">
        <v>91</v>
      </c>
      <c r="AO72" t="s">
        <v>1412</v>
      </c>
      <c r="AP72" t="s">
        <v>1413</v>
      </c>
      <c r="AQ72" t="s">
        <v>74</v>
      </c>
      <c r="AR72" t="s">
        <v>1414</v>
      </c>
      <c r="AS72" t="s">
        <v>1415</v>
      </c>
      <c r="AT72" t="s">
        <v>1108</v>
      </c>
      <c r="AU72">
        <v>2024</v>
      </c>
      <c r="AV72">
        <v>188</v>
      </c>
      <c r="AW72" t="s">
        <v>74</v>
      </c>
      <c r="AX72" t="s">
        <v>74</v>
      </c>
      <c r="AY72" t="s">
        <v>74</v>
      </c>
      <c r="AZ72" t="s">
        <v>74</v>
      </c>
      <c r="BA72" t="s">
        <v>74</v>
      </c>
      <c r="BB72" t="s">
        <v>74</v>
      </c>
      <c r="BC72" t="s">
        <v>74</v>
      </c>
      <c r="BD72">
        <v>102313</v>
      </c>
      <c r="BE72" t="s">
        <v>1416</v>
      </c>
      <c r="BF72" t="str">
        <f>HYPERLINK("http://dx.doi.org/10.1016/j.ocemod.2023.102313","http://dx.doi.org/10.1016/j.ocemod.2023.102313")</f>
        <v>http://dx.doi.org/10.1016/j.ocemod.2023.102313</v>
      </c>
      <c r="BG72" t="s">
        <v>74</v>
      </c>
      <c r="BH72" t="s">
        <v>98</v>
      </c>
      <c r="BI72">
        <v>14</v>
      </c>
      <c r="BJ72" t="s">
        <v>1417</v>
      </c>
      <c r="BK72" t="s">
        <v>100</v>
      </c>
      <c r="BL72" t="s">
        <v>1417</v>
      </c>
      <c r="BM72" t="s">
        <v>1418</v>
      </c>
      <c r="BN72" t="s">
        <v>74</v>
      </c>
      <c r="BO72" t="s">
        <v>103</v>
      </c>
      <c r="BP72" t="s">
        <v>74</v>
      </c>
      <c r="BQ72" t="s">
        <v>74</v>
      </c>
      <c r="BR72" t="s">
        <v>104</v>
      </c>
      <c r="BS72" t="s">
        <v>1419</v>
      </c>
      <c r="BT72" t="str">
        <f>HYPERLINK("https%3A%2F%2Fwww.webofscience.com%2Fwos%2Fwoscc%2Ffull-record%2FWOS:001155125000001","View Full Record in Web of Science")</f>
        <v>View Full Record in Web of Science</v>
      </c>
    </row>
    <row r="73" spans="1:72" x14ac:dyDescent="0.15">
      <c r="A73" t="s">
        <v>72</v>
      </c>
      <c r="B73" t="s">
        <v>1420</v>
      </c>
      <c r="C73" t="s">
        <v>74</v>
      </c>
      <c r="D73" t="s">
        <v>74</v>
      </c>
      <c r="E73" t="s">
        <v>74</v>
      </c>
      <c r="F73" t="s">
        <v>1421</v>
      </c>
      <c r="G73" t="s">
        <v>74</v>
      </c>
      <c r="H73" t="s">
        <v>74</v>
      </c>
      <c r="I73" t="s">
        <v>1422</v>
      </c>
      <c r="J73" t="s">
        <v>991</v>
      </c>
      <c r="K73" t="s">
        <v>74</v>
      </c>
      <c r="L73" t="s">
        <v>74</v>
      </c>
      <c r="M73" t="s">
        <v>78</v>
      </c>
      <c r="N73" t="s">
        <v>79</v>
      </c>
      <c r="O73" t="s">
        <v>74</v>
      </c>
      <c r="P73" t="s">
        <v>74</v>
      </c>
      <c r="Q73" t="s">
        <v>74</v>
      </c>
      <c r="R73" t="s">
        <v>74</v>
      </c>
      <c r="S73" t="s">
        <v>74</v>
      </c>
      <c r="T73" t="s">
        <v>1423</v>
      </c>
      <c r="U73" t="s">
        <v>1424</v>
      </c>
      <c r="V73" t="s">
        <v>1425</v>
      </c>
      <c r="W73" t="s">
        <v>1426</v>
      </c>
      <c r="X73" t="s">
        <v>1427</v>
      </c>
      <c r="Y73" t="s">
        <v>1428</v>
      </c>
      <c r="Z73" t="s">
        <v>1429</v>
      </c>
      <c r="AA73" t="s">
        <v>1430</v>
      </c>
      <c r="AB73" t="s">
        <v>74</v>
      </c>
      <c r="AC73" t="s">
        <v>1431</v>
      </c>
      <c r="AD73" t="s">
        <v>1432</v>
      </c>
      <c r="AE73" t="s">
        <v>1433</v>
      </c>
      <c r="AF73" t="s">
        <v>74</v>
      </c>
      <c r="AG73">
        <v>98</v>
      </c>
      <c r="AH73">
        <v>0</v>
      </c>
      <c r="AI73">
        <v>0</v>
      </c>
      <c r="AJ73">
        <v>12</v>
      </c>
      <c r="AK73">
        <v>12</v>
      </c>
      <c r="AL73" t="s">
        <v>947</v>
      </c>
      <c r="AM73" t="s">
        <v>948</v>
      </c>
      <c r="AN73" t="s">
        <v>949</v>
      </c>
      <c r="AO73" t="s">
        <v>1004</v>
      </c>
      <c r="AP73" t="s">
        <v>1005</v>
      </c>
      <c r="AQ73" t="s">
        <v>74</v>
      </c>
      <c r="AR73" t="s">
        <v>1006</v>
      </c>
      <c r="AS73" t="s">
        <v>1007</v>
      </c>
      <c r="AT73" t="s">
        <v>1008</v>
      </c>
      <c r="AU73">
        <v>2024</v>
      </c>
      <c r="AV73">
        <v>912</v>
      </c>
      <c r="AW73" t="s">
        <v>74</v>
      </c>
      <c r="AX73" t="s">
        <v>74</v>
      </c>
      <c r="AY73" t="s">
        <v>74</v>
      </c>
      <c r="AZ73" t="s">
        <v>74</v>
      </c>
      <c r="BA73" t="s">
        <v>74</v>
      </c>
      <c r="BB73" t="s">
        <v>74</v>
      </c>
      <c r="BC73" t="s">
        <v>74</v>
      </c>
      <c r="BD73">
        <v>169557</v>
      </c>
      <c r="BE73" t="s">
        <v>1434</v>
      </c>
      <c r="BF73" t="str">
        <f>HYPERLINK("http://dx.doi.org/10.1016/j.scitotenv.2023.169557","http://dx.doi.org/10.1016/j.scitotenv.2023.169557")</f>
        <v>http://dx.doi.org/10.1016/j.scitotenv.2023.169557</v>
      </c>
      <c r="BG73" t="s">
        <v>74</v>
      </c>
      <c r="BH73" t="s">
        <v>98</v>
      </c>
      <c r="BI73">
        <v>9</v>
      </c>
      <c r="BJ73" t="s">
        <v>1010</v>
      </c>
      <c r="BK73" t="s">
        <v>100</v>
      </c>
      <c r="BL73" t="s">
        <v>1011</v>
      </c>
      <c r="BM73" t="s">
        <v>1435</v>
      </c>
      <c r="BN73">
        <v>38141978</v>
      </c>
      <c r="BO73" t="s">
        <v>74</v>
      </c>
      <c r="BP73" t="s">
        <v>74</v>
      </c>
      <c r="BQ73" t="s">
        <v>74</v>
      </c>
      <c r="BR73" t="s">
        <v>104</v>
      </c>
      <c r="BS73" t="s">
        <v>1436</v>
      </c>
      <c r="BT73" t="str">
        <f>HYPERLINK("https%3A%2F%2Fwww.webofscience.com%2Fwos%2Fwoscc%2Ffull-record%2FWOS:001156028200001","View Full Record in Web of Science")</f>
        <v>View Full Record in Web of Science</v>
      </c>
    </row>
    <row r="74" spans="1:72" x14ac:dyDescent="0.15">
      <c r="A74" t="s">
        <v>72</v>
      </c>
      <c r="B74" t="s">
        <v>1437</v>
      </c>
      <c r="C74" t="s">
        <v>74</v>
      </c>
      <c r="D74" t="s">
        <v>74</v>
      </c>
      <c r="E74" t="s">
        <v>74</v>
      </c>
      <c r="F74" t="s">
        <v>1438</v>
      </c>
      <c r="G74" t="s">
        <v>74</v>
      </c>
      <c r="H74" t="s">
        <v>74</v>
      </c>
      <c r="I74" t="s">
        <v>1439</v>
      </c>
      <c r="J74" t="s">
        <v>1116</v>
      </c>
      <c r="K74" t="s">
        <v>74</v>
      </c>
      <c r="L74" t="s">
        <v>74</v>
      </c>
      <c r="M74" t="s">
        <v>78</v>
      </c>
      <c r="N74" t="s">
        <v>79</v>
      </c>
      <c r="O74" t="s">
        <v>74</v>
      </c>
      <c r="P74" t="s">
        <v>74</v>
      </c>
      <c r="Q74" t="s">
        <v>74</v>
      </c>
      <c r="R74" t="s">
        <v>74</v>
      </c>
      <c r="S74" t="s">
        <v>74</v>
      </c>
      <c r="T74" t="s">
        <v>1440</v>
      </c>
      <c r="U74" t="s">
        <v>1441</v>
      </c>
      <c r="V74" t="s">
        <v>1442</v>
      </c>
      <c r="W74" t="s">
        <v>1443</v>
      </c>
      <c r="X74" t="s">
        <v>1444</v>
      </c>
      <c r="Y74" t="s">
        <v>1445</v>
      </c>
      <c r="Z74" t="s">
        <v>1446</v>
      </c>
      <c r="AA74" t="s">
        <v>1447</v>
      </c>
      <c r="AB74" t="s">
        <v>1448</v>
      </c>
      <c r="AC74" t="s">
        <v>1449</v>
      </c>
      <c r="AD74" t="s">
        <v>1450</v>
      </c>
      <c r="AE74" t="s">
        <v>1451</v>
      </c>
      <c r="AF74" t="s">
        <v>74</v>
      </c>
      <c r="AG74">
        <v>26</v>
      </c>
      <c r="AH74">
        <v>0</v>
      </c>
      <c r="AI74">
        <v>0</v>
      </c>
      <c r="AJ74">
        <v>3</v>
      </c>
      <c r="AK74">
        <v>3</v>
      </c>
      <c r="AL74" t="s">
        <v>975</v>
      </c>
      <c r="AM74" t="s">
        <v>976</v>
      </c>
      <c r="AN74" t="s">
        <v>977</v>
      </c>
      <c r="AO74" t="s">
        <v>1129</v>
      </c>
      <c r="AP74" t="s">
        <v>1130</v>
      </c>
      <c r="AQ74" t="s">
        <v>74</v>
      </c>
      <c r="AR74" t="s">
        <v>1131</v>
      </c>
      <c r="AS74" t="s">
        <v>1132</v>
      </c>
      <c r="AT74" t="s">
        <v>1133</v>
      </c>
      <c r="AU74">
        <v>2024</v>
      </c>
      <c r="AV74">
        <v>199</v>
      </c>
      <c r="AW74" t="s">
        <v>74</v>
      </c>
      <c r="AX74" t="s">
        <v>74</v>
      </c>
      <c r="AY74" t="s">
        <v>74</v>
      </c>
      <c r="AZ74" t="s">
        <v>74</v>
      </c>
      <c r="BA74" t="s">
        <v>74</v>
      </c>
      <c r="BB74" t="s">
        <v>74</v>
      </c>
      <c r="BC74" t="s">
        <v>74</v>
      </c>
      <c r="BD74">
        <v>115959</v>
      </c>
      <c r="BE74" t="s">
        <v>1452</v>
      </c>
      <c r="BF74" t="str">
        <f>HYPERLINK("http://dx.doi.org/10.1016/j.marpolbul.2023.115959","http://dx.doi.org/10.1016/j.marpolbul.2023.115959")</f>
        <v>http://dx.doi.org/10.1016/j.marpolbul.2023.115959</v>
      </c>
      <c r="BG74" t="s">
        <v>74</v>
      </c>
      <c r="BH74" t="s">
        <v>98</v>
      </c>
      <c r="BI74">
        <v>7</v>
      </c>
      <c r="BJ74" t="s">
        <v>1135</v>
      </c>
      <c r="BK74" t="s">
        <v>100</v>
      </c>
      <c r="BL74" t="s">
        <v>1136</v>
      </c>
      <c r="BM74" t="s">
        <v>1453</v>
      </c>
      <c r="BN74">
        <v>38154169</v>
      </c>
      <c r="BO74" t="s">
        <v>74</v>
      </c>
      <c r="BP74" t="s">
        <v>74</v>
      </c>
      <c r="BQ74" t="s">
        <v>74</v>
      </c>
      <c r="BR74" t="s">
        <v>104</v>
      </c>
      <c r="BS74" t="s">
        <v>1454</v>
      </c>
      <c r="BT74" t="str">
        <f>HYPERLINK("https%3A%2F%2Fwww.webofscience.com%2Fwos%2Fwoscc%2Ffull-record%2FWOS:001150045100001","View Full Record in Web of Science")</f>
        <v>View Full Record in Web of Science</v>
      </c>
    </row>
    <row r="75" spans="1:72" x14ac:dyDescent="0.15">
      <c r="A75" t="s">
        <v>72</v>
      </c>
      <c r="B75" t="s">
        <v>1455</v>
      </c>
      <c r="C75" t="s">
        <v>74</v>
      </c>
      <c r="D75" t="s">
        <v>74</v>
      </c>
      <c r="E75" t="s">
        <v>74</v>
      </c>
      <c r="F75" t="s">
        <v>1456</v>
      </c>
      <c r="G75" t="s">
        <v>74</v>
      </c>
      <c r="H75" t="s">
        <v>74</v>
      </c>
      <c r="I75" t="s">
        <v>1457</v>
      </c>
      <c r="J75" t="s">
        <v>1458</v>
      </c>
      <c r="K75" t="s">
        <v>74</v>
      </c>
      <c r="L75" t="s">
        <v>74</v>
      </c>
      <c r="M75" t="s">
        <v>78</v>
      </c>
      <c r="N75" t="s">
        <v>1459</v>
      </c>
      <c r="O75" t="s">
        <v>74</v>
      </c>
      <c r="P75" t="s">
        <v>74</v>
      </c>
      <c r="Q75" t="s">
        <v>74</v>
      </c>
      <c r="R75" t="s">
        <v>74</v>
      </c>
      <c r="S75" t="s">
        <v>74</v>
      </c>
      <c r="T75" t="s">
        <v>74</v>
      </c>
      <c r="U75" t="s">
        <v>1460</v>
      </c>
      <c r="V75" t="s">
        <v>1461</v>
      </c>
      <c r="W75" t="s">
        <v>1462</v>
      </c>
      <c r="X75" t="s">
        <v>1463</v>
      </c>
      <c r="Y75" t="s">
        <v>1464</v>
      </c>
      <c r="Z75" t="s">
        <v>1465</v>
      </c>
      <c r="AA75" t="s">
        <v>1466</v>
      </c>
      <c r="AB75" t="s">
        <v>1467</v>
      </c>
      <c r="AC75" t="s">
        <v>1468</v>
      </c>
      <c r="AD75" t="s">
        <v>1469</v>
      </c>
      <c r="AE75" t="s">
        <v>1470</v>
      </c>
      <c r="AF75" t="s">
        <v>74</v>
      </c>
      <c r="AG75">
        <v>44</v>
      </c>
      <c r="AH75">
        <v>1</v>
      </c>
      <c r="AI75">
        <v>1</v>
      </c>
      <c r="AJ75">
        <v>6</v>
      </c>
      <c r="AK75">
        <v>6</v>
      </c>
      <c r="AL75" t="s">
        <v>1101</v>
      </c>
      <c r="AM75" t="s">
        <v>1102</v>
      </c>
      <c r="AN75" t="s">
        <v>1103</v>
      </c>
      <c r="AO75" t="s">
        <v>74</v>
      </c>
      <c r="AP75" t="s">
        <v>1471</v>
      </c>
      <c r="AQ75" t="s">
        <v>74</v>
      </c>
      <c r="AR75" t="s">
        <v>1472</v>
      </c>
      <c r="AS75" t="s">
        <v>1473</v>
      </c>
      <c r="AT75" t="s">
        <v>1108</v>
      </c>
      <c r="AU75">
        <v>2024</v>
      </c>
      <c r="AV75">
        <v>9</v>
      </c>
      <c r="AW75">
        <v>2</v>
      </c>
      <c r="AX75" t="s">
        <v>74</v>
      </c>
      <c r="AY75" t="s">
        <v>74</v>
      </c>
      <c r="AZ75" t="s">
        <v>74</v>
      </c>
      <c r="BA75" t="s">
        <v>74</v>
      </c>
      <c r="BB75">
        <v>145</v>
      </c>
      <c r="BC75">
        <v>154</v>
      </c>
      <c r="BD75" t="s">
        <v>74</v>
      </c>
      <c r="BE75" t="s">
        <v>1474</v>
      </c>
      <c r="BF75" t="str">
        <f>HYPERLINK("http://dx.doi.org/10.1002/lol2.10366","http://dx.doi.org/10.1002/lol2.10366")</f>
        <v>http://dx.doi.org/10.1002/lol2.10366</v>
      </c>
      <c r="BG75" t="s">
        <v>74</v>
      </c>
      <c r="BH75" t="s">
        <v>98</v>
      </c>
      <c r="BI75">
        <v>10</v>
      </c>
      <c r="BJ75" t="s">
        <v>1475</v>
      </c>
      <c r="BK75" t="s">
        <v>100</v>
      </c>
      <c r="BL75" t="s">
        <v>1476</v>
      </c>
      <c r="BM75" t="s">
        <v>1477</v>
      </c>
      <c r="BN75" t="s">
        <v>74</v>
      </c>
      <c r="BO75" t="s">
        <v>131</v>
      </c>
      <c r="BP75" t="s">
        <v>74</v>
      </c>
      <c r="BQ75" t="s">
        <v>74</v>
      </c>
      <c r="BR75" t="s">
        <v>104</v>
      </c>
      <c r="BS75" t="s">
        <v>1478</v>
      </c>
      <c r="BT75" t="str">
        <f>HYPERLINK("https%3A%2F%2Fwww.webofscience.com%2Fwos%2Fwoscc%2Ffull-record%2FWOS:001138409200001","View Full Record in Web of Science")</f>
        <v>View Full Record in Web of Science</v>
      </c>
    </row>
    <row r="76" spans="1:72" x14ac:dyDescent="0.15">
      <c r="A76" t="s">
        <v>72</v>
      </c>
      <c r="B76" t="s">
        <v>1479</v>
      </c>
      <c r="C76" t="s">
        <v>74</v>
      </c>
      <c r="D76" t="s">
        <v>74</v>
      </c>
      <c r="E76" t="s">
        <v>74</v>
      </c>
      <c r="F76" t="s">
        <v>1480</v>
      </c>
      <c r="G76" t="s">
        <v>74</v>
      </c>
      <c r="H76" t="s">
        <v>74</v>
      </c>
      <c r="I76" t="s">
        <v>1481</v>
      </c>
      <c r="J76" t="s">
        <v>1482</v>
      </c>
      <c r="K76" t="s">
        <v>74</v>
      </c>
      <c r="L76" t="s">
        <v>74</v>
      </c>
      <c r="M76" t="s">
        <v>78</v>
      </c>
      <c r="N76" t="s">
        <v>79</v>
      </c>
      <c r="O76" t="s">
        <v>74</v>
      </c>
      <c r="P76" t="s">
        <v>74</v>
      </c>
      <c r="Q76" t="s">
        <v>74</v>
      </c>
      <c r="R76" t="s">
        <v>74</v>
      </c>
      <c r="S76" t="s">
        <v>74</v>
      </c>
      <c r="T76" t="s">
        <v>1483</v>
      </c>
      <c r="U76" t="s">
        <v>1484</v>
      </c>
      <c r="V76" t="s">
        <v>1485</v>
      </c>
      <c r="W76" t="s">
        <v>1486</v>
      </c>
      <c r="X76" t="s">
        <v>1487</v>
      </c>
      <c r="Y76" t="s">
        <v>1488</v>
      </c>
      <c r="Z76" t="s">
        <v>1489</v>
      </c>
      <c r="AA76" t="s">
        <v>74</v>
      </c>
      <c r="AB76" t="s">
        <v>74</v>
      </c>
      <c r="AC76" t="s">
        <v>1490</v>
      </c>
      <c r="AD76" t="s">
        <v>1490</v>
      </c>
      <c r="AE76" t="s">
        <v>1491</v>
      </c>
      <c r="AF76" t="s">
        <v>74</v>
      </c>
      <c r="AG76">
        <v>48</v>
      </c>
      <c r="AH76">
        <v>0</v>
      </c>
      <c r="AI76">
        <v>0</v>
      </c>
      <c r="AJ76">
        <v>0</v>
      </c>
      <c r="AK76">
        <v>0</v>
      </c>
      <c r="AL76" t="s">
        <v>1101</v>
      </c>
      <c r="AM76" t="s">
        <v>1102</v>
      </c>
      <c r="AN76" t="s">
        <v>1103</v>
      </c>
      <c r="AO76" t="s">
        <v>1492</v>
      </c>
      <c r="AP76" t="s">
        <v>1493</v>
      </c>
      <c r="AQ76" t="s">
        <v>74</v>
      </c>
      <c r="AR76" t="s">
        <v>1494</v>
      </c>
      <c r="AS76" t="s">
        <v>1495</v>
      </c>
      <c r="AT76" t="s">
        <v>954</v>
      </c>
      <c r="AU76">
        <v>2024</v>
      </c>
      <c r="AV76">
        <v>34</v>
      </c>
      <c r="AW76">
        <v>1</v>
      </c>
      <c r="AX76" t="s">
        <v>74</v>
      </c>
      <c r="AY76" t="s">
        <v>74</v>
      </c>
      <c r="AZ76" t="s">
        <v>74</v>
      </c>
      <c r="BA76" t="s">
        <v>74</v>
      </c>
      <c r="BB76" t="s">
        <v>74</v>
      </c>
      <c r="BC76" t="s">
        <v>74</v>
      </c>
      <c r="BD76" t="s">
        <v>74</v>
      </c>
      <c r="BE76" t="s">
        <v>1496</v>
      </c>
      <c r="BF76" t="str">
        <f>HYPERLINK("http://dx.doi.org/10.1002/aqc.4050","http://dx.doi.org/10.1002/aqc.4050")</f>
        <v>http://dx.doi.org/10.1002/aqc.4050</v>
      </c>
      <c r="BG76" t="s">
        <v>74</v>
      </c>
      <c r="BH76" t="s">
        <v>98</v>
      </c>
      <c r="BI76">
        <v>12</v>
      </c>
      <c r="BJ76" t="s">
        <v>1497</v>
      </c>
      <c r="BK76" t="s">
        <v>100</v>
      </c>
      <c r="BL76" t="s">
        <v>1498</v>
      </c>
      <c r="BM76" t="s">
        <v>1499</v>
      </c>
      <c r="BN76" t="s">
        <v>74</v>
      </c>
      <c r="BO76" t="s">
        <v>103</v>
      </c>
      <c r="BP76" t="s">
        <v>74</v>
      </c>
      <c r="BQ76" t="s">
        <v>74</v>
      </c>
      <c r="BR76" t="s">
        <v>104</v>
      </c>
      <c r="BS76" t="s">
        <v>1500</v>
      </c>
      <c r="BT76" t="str">
        <f>HYPERLINK("https%3A%2F%2Fwww.webofscience.com%2Fwos%2Fwoscc%2Ffull-record%2FWOS:001131857000001","View Full Record in Web of Science")</f>
        <v>View Full Record in Web of Science</v>
      </c>
    </row>
    <row r="77" spans="1:72" x14ac:dyDescent="0.15">
      <c r="A77" t="s">
        <v>72</v>
      </c>
      <c r="B77" t="s">
        <v>1501</v>
      </c>
      <c r="C77" t="s">
        <v>74</v>
      </c>
      <c r="D77" t="s">
        <v>74</v>
      </c>
      <c r="E77" t="s">
        <v>74</v>
      </c>
      <c r="F77" t="s">
        <v>1502</v>
      </c>
      <c r="G77" t="s">
        <v>74</v>
      </c>
      <c r="H77" t="s">
        <v>74</v>
      </c>
      <c r="I77" t="s">
        <v>1503</v>
      </c>
      <c r="J77" t="s">
        <v>1504</v>
      </c>
      <c r="K77" t="s">
        <v>74</v>
      </c>
      <c r="L77" t="s">
        <v>74</v>
      </c>
      <c r="M77" t="s">
        <v>78</v>
      </c>
      <c r="N77" t="s">
        <v>79</v>
      </c>
      <c r="O77" t="s">
        <v>74</v>
      </c>
      <c r="P77" t="s">
        <v>74</v>
      </c>
      <c r="Q77" t="s">
        <v>74</v>
      </c>
      <c r="R77" t="s">
        <v>74</v>
      </c>
      <c r="S77" t="s">
        <v>74</v>
      </c>
      <c r="T77" t="s">
        <v>1505</v>
      </c>
      <c r="U77" t="s">
        <v>1506</v>
      </c>
      <c r="V77" t="s">
        <v>1507</v>
      </c>
      <c r="W77" t="s">
        <v>1508</v>
      </c>
      <c r="X77" t="s">
        <v>1509</v>
      </c>
      <c r="Y77" t="s">
        <v>1510</v>
      </c>
      <c r="Z77" t="s">
        <v>1511</v>
      </c>
      <c r="AA77" t="s">
        <v>74</v>
      </c>
      <c r="AB77" t="s">
        <v>74</v>
      </c>
      <c r="AC77" t="s">
        <v>1512</v>
      </c>
      <c r="AD77" t="s">
        <v>1513</v>
      </c>
      <c r="AE77" t="s">
        <v>1514</v>
      </c>
      <c r="AF77" t="s">
        <v>74</v>
      </c>
      <c r="AG77">
        <v>74</v>
      </c>
      <c r="AH77">
        <v>0</v>
      </c>
      <c r="AI77">
        <v>0</v>
      </c>
      <c r="AJ77">
        <v>2</v>
      </c>
      <c r="AK77">
        <v>2</v>
      </c>
      <c r="AL77" t="s">
        <v>1208</v>
      </c>
      <c r="AM77" t="s">
        <v>1209</v>
      </c>
      <c r="AN77" t="s">
        <v>1210</v>
      </c>
      <c r="AO77" t="s">
        <v>1515</v>
      </c>
      <c r="AP77" t="s">
        <v>1516</v>
      </c>
      <c r="AQ77" t="s">
        <v>74</v>
      </c>
      <c r="AR77" t="s">
        <v>1517</v>
      </c>
      <c r="AS77" t="s">
        <v>1518</v>
      </c>
      <c r="AT77" t="s">
        <v>1519</v>
      </c>
      <c r="AU77">
        <v>2023</v>
      </c>
      <c r="AV77">
        <v>128</v>
      </c>
      <c r="AW77">
        <v>24</v>
      </c>
      <c r="AX77" t="s">
        <v>74</v>
      </c>
      <c r="AY77" t="s">
        <v>74</v>
      </c>
      <c r="AZ77" t="s">
        <v>74</v>
      </c>
      <c r="BA77" t="s">
        <v>74</v>
      </c>
      <c r="BB77" t="s">
        <v>74</v>
      </c>
      <c r="BC77" t="s">
        <v>74</v>
      </c>
      <c r="BD77" t="s">
        <v>1520</v>
      </c>
      <c r="BE77" t="s">
        <v>1521</v>
      </c>
      <c r="BF77" t="str">
        <f>HYPERLINK("http://dx.doi.org/10.1029/2023JD039501","http://dx.doi.org/10.1029/2023JD039501")</f>
        <v>http://dx.doi.org/10.1029/2023JD039501</v>
      </c>
      <c r="BG77" t="s">
        <v>74</v>
      </c>
      <c r="BH77" t="s">
        <v>74</v>
      </c>
      <c r="BI77">
        <v>20</v>
      </c>
      <c r="BJ77" t="s">
        <v>1522</v>
      </c>
      <c r="BK77" t="s">
        <v>100</v>
      </c>
      <c r="BL77" t="s">
        <v>1522</v>
      </c>
      <c r="BM77" t="s">
        <v>1523</v>
      </c>
      <c r="BN77" t="s">
        <v>74</v>
      </c>
      <c r="BO77" t="s">
        <v>74</v>
      </c>
      <c r="BP77" t="s">
        <v>74</v>
      </c>
      <c r="BQ77" t="s">
        <v>74</v>
      </c>
      <c r="BR77" t="s">
        <v>104</v>
      </c>
      <c r="BS77" t="s">
        <v>1524</v>
      </c>
      <c r="BT77" t="str">
        <f>HYPERLINK("https%3A%2F%2Fwww.webofscience.com%2Fwos%2Fwoscc%2Ffull-record%2FWOS:001129170000001","View Full Record in Web of Science")</f>
        <v>View Full Record in Web of Science</v>
      </c>
    </row>
    <row r="78" spans="1:72" x14ac:dyDescent="0.15">
      <c r="A78" t="s">
        <v>72</v>
      </c>
      <c r="B78" t="s">
        <v>1525</v>
      </c>
      <c r="C78" t="s">
        <v>74</v>
      </c>
      <c r="D78" t="s">
        <v>74</v>
      </c>
      <c r="E78" t="s">
        <v>74</v>
      </c>
      <c r="F78" t="s">
        <v>1526</v>
      </c>
      <c r="G78" t="s">
        <v>74</v>
      </c>
      <c r="H78" t="s">
        <v>74</v>
      </c>
      <c r="I78" t="s">
        <v>1527</v>
      </c>
      <c r="J78" t="s">
        <v>1504</v>
      </c>
      <c r="K78" t="s">
        <v>74</v>
      </c>
      <c r="L78" t="s">
        <v>74</v>
      </c>
      <c r="M78" t="s">
        <v>78</v>
      </c>
      <c r="N78" t="s">
        <v>79</v>
      </c>
      <c r="O78" t="s">
        <v>74</v>
      </c>
      <c r="P78" t="s">
        <v>74</v>
      </c>
      <c r="Q78" t="s">
        <v>74</v>
      </c>
      <c r="R78" t="s">
        <v>74</v>
      </c>
      <c r="S78" t="s">
        <v>74</v>
      </c>
      <c r="T78" t="s">
        <v>1528</v>
      </c>
      <c r="U78" t="s">
        <v>1529</v>
      </c>
      <c r="V78" t="s">
        <v>1530</v>
      </c>
      <c r="W78" t="s">
        <v>1531</v>
      </c>
      <c r="X78" t="s">
        <v>1532</v>
      </c>
      <c r="Y78" t="s">
        <v>1533</v>
      </c>
      <c r="Z78" t="s">
        <v>1534</v>
      </c>
      <c r="AA78" t="s">
        <v>74</v>
      </c>
      <c r="AB78" t="s">
        <v>1535</v>
      </c>
      <c r="AC78" t="s">
        <v>1536</v>
      </c>
      <c r="AD78" t="s">
        <v>1537</v>
      </c>
      <c r="AE78" t="s">
        <v>1538</v>
      </c>
      <c r="AF78" t="s">
        <v>74</v>
      </c>
      <c r="AG78">
        <v>71</v>
      </c>
      <c r="AH78">
        <v>0</v>
      </c>
      <c r="AI78">
        <v>0</v>
      </c>
      <c r="AJ78">
        <v>6</v>
      </c>
      <c r="AK78">
        <v>6</v>
      </c>
      <c r="AL78" t="s">
        <v>1208</v>
      </c>
      <c r="AM78" t="s">
        <v>1209</v>
      </c>
      <c r="AN78" t="s">
        <v>1210</v>
      </c>
      <c r="AO78" t="s">
        <v>1515</v>
      </c>
      <c r="AP78" t="s">
        <v>1516</v>
      </c>
      <c r="AQ78" t="s">
        <v>74</v>
      </c>
      <c r="AR78" t="s">
        <v>1517</v>
      </c>
      <c r="AS78" t="s">
        <v>1518</v>
      </c>
      <c r="AT78" t="s">
        <v>1519</v>
      </c>
      <c r="AU78">
        <v>2023</v>
      </c>
      <c r="AV78">
        <v>128</v>
      </c>
      <c r="AW78">
        <v>24</v>
      </c>
      <c r="AX78" t="s">
        <v>74</v>
      </c>
      <c r="AY78" t="s">
        <v>74</v>
      </c>
      <c r="AZ78" t="s">
        <v>74</v>
      </c>
      <c r="BA78" t="s">
        <v>74</v>
      </c>
      <c r="BB78" t="s">
        <v>74</v>
      </c>
      <c r="BC78" t="s">
        <v>74</v>
      </c>
      <c r="BD78" t="s">
        <v>1539</v>
      </c>
      <c r="BE78" t="s">
        <v>1540</v>
      </c>
      <c r="BF78" t="str">
        <f>HYPERLINK("http://dx.doi.org/10.1029/2023JD039388","http://dx.doi.org/10.1029/2023JD039388")</f>
        <v>http://dx.doi.org/10.1029/2023JD039388</v>
      </c>
      <c r="BG78" t="s">
        <v>74</v>
      </c>
      <c r="BH78" t="s">
        <v>74</v>
      </c>
      <c r="BI78">
        <v>14</v>
      </c>
      <c r="BJ78" t="s">
        <v>1522</v>
      </c>
      <c r="BK78" t="s">
        <v>100</v>
      </c>
      <c r="BL78" t="s">
        <v>1522</v>
      </c>
      <c r="BM78" t="s">
        <v>1541</v>
      </c>
      <c r="BN78" t="s">
        <v>74</v>
      </c>
      <c r="BO78" t="s">
        <v>74</v>
      </c>
      <c r="BP78" t="s">
        <v>74</v>
      </c>
      <c r="BQ78" t="s">
        <v>74</v>
      </c>
      <c r="BR78" t="s">
        <v>104</v>
      </c>
      <c r="BS78" t="s">
        <v>1542</v>
      </c>
      <c r="BT78" t="str">
        <f>HYPERLINK("https%3A%2F%2Fwww.webofscience.com%2Fwos%2Fwoscc%2Ffull-record%2FWOS:001117338700001","View Full Record in Web of Science")</f>
        <v>View Full Record in Web of Science</v>
      </c>
    </row>
    <row r="79" spans="1:72" x14ac:dyDescent="0.15">
      <c r="A79" t="s">
        <v>72</v>
      </c>
      <c r="B79" t="s">
        <v>1543</v>
      </c>
      <c r="C79" t="s">
        <v>74</v>
      </c>
      <c r="D79" t="s">
        <v>74</v>
      </c>
      <c r="E79" t="s">
        <v>74</v>
      </c>
      <c r="F79" t="s">
        <v>1544</v>
      </c>
      <c r="G79" t="s">
        <v>74</v>
      </c>
      <c r="H79" t="s">
        <v>74</v>
      </c>
      <c r="I79" t="s">
        <v>1545</v>
      </c>
      <c r="J79" t="s">
        <v>1546</v>
      </c>
      <c r="K79" t="s">
        <v>74</v>
      </c>
      <c r="L79" t="s">
        <v>74</v>
      </c>
      <c r="M79" t="s">
        <v>78</v>
      </c>
      <c r="N79" t="s">
        <v>1547</v>
      </c>
      <c r="O79" t="s">
        <v>74</v>
      </c>
      <c r="P79" t="s">
        <v>74</v>
      </c>
      <c r="Q79" t="s">
        <v>74</v>
      </c>
      <c r="R79" t="s">
        <v>74</v>
      </c>
      <c r="S79" t="s">
        <v>74</v>
      </c>
      <c r="T79" t="s">
        <v>1548</v>
      </c>
      <c r="U79" t="s">
        <v>1549</v>
      </c>
      <c r="V79" t="s">
        <v>1550</v>
      </c>
      <c r="W79" t="s">
        <v>1551</v>
      </c>
      <c r="X79" t="s">
        <v>1552</v>
      </c>
      <c r="Y79" t="s">
        <v>1553</v>
      </c>
      <c r="Z79" t="s">
        <v>1554</v>
      </c>
      <c r="AA79" t="s">
        <v>1555</v>
      </c>
      <c r="AB79" t="s">
        <v>1556</v>
      </c>
      <c r="AC79" t="s">
        <v>1557</v>
      </c>
      <c r="AD79" t="s">
        <v>1558</v>
      </c>
      <c r="AE79" t="s">
        <v>1559</v>
      </c>
      <c r="AF79" t="s">
        <v>74</v>
      </c>
      <c r="AG79">
        <v>70</v>
      </c>
      <c r="AH79">
        <v>0</v>
      </c>
      <c r="AI79">
        <v>0</v>
      </c>
      <c r="AJ79">
        <v>0</v>
      </c>
      <c r="AK79">
        <v>0</v>
      </c>
      <c r="AL79" t="s">
        <v>1560</v>
      </c>
      <c r="AM79" t="s">
        <v>976</v>
      </c>
      <c r="AN79" t="s">
        <v>1561</v>
      </c>
      <c r="AO79" t="s">
        <v>1562</v>
      </c>
      <c r="AP79" t="s">
        <v>1563</v>
      </c>
      <c r="AQ79" t="s">
        <v>74</v>
      </c>
      <c r="AR79" t="s">
        <v>1564</v>
      </c>
      <c r="AS79" t="s">
        <v>1565</v>
      </c>
      <c r="AT79" t="s">
        <v>1566</v>
      </c>
      <c r="AU79">
        <v>2023</v>
      </c>
      <c r="AV79" t="s">
        <v>74</v>
      </c>
      <c r="AW79" t="s">
        <v>74</v>
      </c>
      <c r="AX79" t="s">
        <v>74</v>
      </c>
      <c r="AY79" t="s">
        <v>74</v>
      </c>
      <c r="AZ79" t="s">
        <v>74</v>
      </c>
      <c r="BA79" t="s">
        <v>74</v>
      </c>
      <c r="BB79" t="s">
        <v>74</v>
      </c>
      <c r="BC79" t="s">
        <v>74</v>
      </c>
      <c r="BD79" t="s">
        <v>74</v>
      </c>
      <c r="BE79" t="s">
        <v>1567</v>
      </c>
      <c r="BF79" t="str">
        <f>HYPERLINK("http://dx.doi.org/10.1093/zoolinnean/zlad162","http://dx.doi.org/10.1093/zoolinnean/zlad162")</f>
        <v>http://dx.doi.org/10.1093/zoolinnean/zlad162</v>
      </c>
      <c r="BG79" t="s">
        <v>74</v>
      </c>
      <c r="BH79" t="s">
        <v>98</v>
      </c>
      <c r="BI79">
        <v>11</v>
      </c>
      <c r="BJ79" t="s">
        <v>1568</v>
      </c>
      <c r="BK79" t="s">
        <v>100</v>
      </c>
      <c r="BL79" t="s">
        <v>1568</v>
      </c>
      <c r="BM79" t="s">
        <v>1569</v>
      </c>
      <c r="BN79" t="s">
        <v>74</v>
      </c>
      <c r="BO79" t="s">
        <v>74</v>
      </c>
      <c r="BP79" t="s">
        <v>74</v>
      </c>
      <c r="BQ79" t="s">
        <v>74</v>
      </c>
      <c r="BR79" t="s">
        <v>104</v>
      </c>
      <c r="BS79" t="s">
        <v>1570</v>
      </c>
      <c r="BT79" t="str">
        <f>HYPERLINK("https%3A%2F%2Fwww.webofscience.com%2Fwos%2Fwoscc%2Ffull-record%2FWOS:001135238100001","View Full Record in Web of Science")</f>
        <v>View Full Record in Web of Science</v>
      </c>
    </row>
    <row r="80" spans="1:72" x14ac:dyDescent="0.15">
      <c r="A80" t="s">
        <v>72</v>
      </c>
      <c r="B80" t="s">
        <v>1571</v>
      </c>
      <c r="C80" t="s">
        <v>74</v>
      </c>
      <c r="D80" t="s">
        <v>74</v>
      </c>
      <c r="E80" t="s">
        <v>74</v>
      </c>
      <c r="F80" t="s">
        <v>1572</v>
      </c>
      <c r="G80" t="s">
        <v>74</v>
      </c>
      <c r="H80" t="s">
        <v>74</v>
      </c>
      <c r="I80" t="s">
        <v>1573</v>
      </c>
      <c r="J80" t="s">
        <v>1574</v>
      </c>
      <c r="K80" t="s">
        <v>74</v>
      </c>
      <c r="L80" t="s">
        <v>74</v>
      </c>
      <c r="M80" t="s">
        <v>78</v>
      </c>
      <c r="N80" t="s">
        <v>79</v>
      </c>
      <c r="O80" t="s">
        <v>74</v>
      </c>
      <c r="P80" t="s">
        <v>74</v>
      </c>
      <c r="Q80" t="s">
        <v>74</v>
      </c>
      <c r="R80" t="s">
        <v>74</v>
      </c>
      <c r="S80" t="s">
        <v>74</v>
      </c>
      <c r="T80" t="s">
        <v>1575</v>
      </c>
      <c r="U80" t="s">
        <v>1576</v>
      </c>
      <c r="V80" t="s">
        <v>1577</v>
      </c>
      <c r="W80" t="s">
        <v>1578</v>
      </c>
      <c r="X80" t="s">
        <v>1579</v>
      </c>
      <c r="Y80" t="s">
        <v>1580</v>
      </c>
      <c r="Z80" t="s">
        <v>1581</v>
      </c>
      <c r="AA80" t="s">
        <v>1582</v>
      </c>
      <c r="AB80" t="s">
        <v>1583</v>
      </c>
      <c r="AC80" t="s">
        <v>1584</v>
      </c>
      <c r="AD80" t="s">
        <v>1584</v>
      </c>
      <c r="AE80" t="s">
        <v>1585</v>
      </c>
      <c r="AF80" t="s">
        <v>74</v>
      </c>
      <c r="AG80">
        <v>91</v>
      </c>
      <c r="AH80">
        <v>0</v>
      </c>
      <c r="AI80">
        <v>0</v>
      </c>
      <c r="AJ80">
        <v>5</v>
      </c>
      <c r="AK80">
        <v>5</v>
      </c>
      <c r="AL80" t="s">
        <v>947</v>
      </c>
      <c r="AM80" t="s">
        <v>948</v>
      </c>
      <c r="AN80" t="s">
        <v>949</v>
      </c>
      <c r="AO80" t="s">
        <v>1586</v>
      </c>
      <c r="AP80" t="s">
        <v>1587</v>
      </c>
      <c r="AQ80" t="s">
        <v>74</v>
      </c>
      <c r="AR80" t="s">
        <v>1588</v>
      </c>
      <c r="AS80" t="s">
        <v>1589</v>
      </c>
      <c r="AT80" t="s">
        <v>1590</v>
      </c>
      <c r="AU80">
        <v>2024</v>
      </c>
      <c r="AV80">
        <v>465</v>
      </c>
      <c r="AW80" t="s">
        <v>74</v>
      </c>
      <c r="AX80" t="s">
        <v>74</v>
      </c>
      <c r="AY80" t="s">
        <v>74</v>
      </c>
      <c r="AZ80" t="s">
        <v>74</v>
      </c>
      <c r="BA80" t="s">
        <v>74</v>
      </c>
      <c r="BB80" t="s">
        <v>74</v>
      </c>
      <c r="BC80" t="s">
        <v>74</v>
      </c>
      <c r="BD80">
        <v>133306</v>
      </c>
      <c r="BE80" t="s">
        <v>1591</v>
      </c>
      <c r="BF80" t="str">
        <f>HYPERLINK("http://dx.doi.org/10.1016/j.jhazmat.2023.133306","http://dx.doi.org/10.1016/j.jhazmat.2023.133306")</f>
        <v>http://dx.doi.org/10.1016/j.jhazmat.2023.133306</v>
      </c>
      <c r="BG80" t="s">
        <v>74</v>
      </c>
      <c r="BH80" t="s">
        <v>98</v>
      </c>
      <c r="BI80">
        <v>12</v>
      </c>
      <c r="BJ80" t="s">
        <v>1592</v>
      </c>
      <c r="BK80" t="s">
        <v>100</v>
      </c>
      <c r="BL80" t="s">
        <v>1593</v>
      </c>
      <c r="BM80" t="s">
        <v>1594</v>
      </c>
      <c r="BN80">
        <v>38147759</v>
      </c>
      <c r="BO80" t="s">
        <v>103</v>
      </c>
      <c r="BP80" t="s">
        <v>74</v>
      </c>
      <c r="BQ80" t="s">
        <v>74</v>
      </c>
      <c r="BR80" t="s">
        <v>104</v>
      </c>
      <c r="BS80" t="s">
        <v>1595</v>
      </c>
      <c r="BT80" t="str">
        <f>HYPERLINK("https%3A%2F%2Fwww.webofscience.com%2Fwos%2Fwoscc%2Ffull-record%2FWOS:001146663800001","View Full Record in Web of Science")</f>
        <v>View Full Record in Web of Science</v>
      </c>
    </row>
    <row r="81" spans="1:72" x14ac:dyDescent="0.15">
      <c r="A81" t="s">
        <v>72</v>
      </c>
      <c r="B81" t="s">
        <v>1596</v>
      </c>
      <c r="C81" t="s">
        <v>74</v>
      </c>
      <c r="D81" t="s">
        <v>74</v>
      </c>
      <c r="E81" t="s">
        <v>74</v>
      </c>
      <c r="F81" t="s">
        <v>1597</v>
      </c>
      <c r="G81" t="s">
        <v>74</v>
      </c>
      <c r="H81" t="s">
        <v>74</v>
      </c>
      <c r="I81" t="s">
        <v>1598</v>
      </c>
      <c r="J81" t="s">
        <v>1599</v>
      </c>
      <c r="K81" t="s">
        <v>74</v>
      </c>
      <c r="L81" t="s">
        <v>74</v>
      </c>
      <c r="M81" t="s">
        <v>78</v>
      </c>
      <c r="N81" t="s">
        <v>79</v>
      </c>
      <c r="O81" t="s">
        <v>74</v>
      </c>
      <c r="P81" t="s">
        <v>74</v>
      </c>
      <c r="Q81" t="s">
        <v>74</v>
      </c>
      <c r="R81" t="s">
        <v>74</v>
      </c>
      <c r="S81" t="s">
        <v>74</v>
      </c>
      <c r="T81" t="s">
        <v>1600</v>
      </c>
      <c r="U81" t="s">
        <v>1601</v>
      </c>
      <c r="V81" t="s">
        <v>1602</v>
      </c>
      <c r="W81" t="s">
        <v>1603</v>
      </c>
      <c r="X81" t="s">
        <v>1604</v>
      </c>
      <c r="Y81" t="s">
        <v>1605</v>
      </c>
      <c r="Z81" t="s">
        <v>1606</v>
      </c>
      <c r="AA81" t="s">
        <v>1607</v>
      </c>
      <c r="AB81" t="s">
        <v>1608</v>
      </c>
      <c r="AC81" t="s">
        <v>1609</v>
      </c>
      <c r="AD81" t="s">
        <v>1609</v>
      </c>
      <c r="AE81" t="s">
        <v>1610</v>
      </c>
      <c r="AF81" t="s">
        <v>74</v>
      </c>
      <c r="AG81">
        <v>87</v>
      </c>
      <c r="AH81">
        <v>0</v>
      </c>
      <c r="AI81">
        <v>0</v>
      </c>
      <c r="AJ81">
        <v>9</v>
      </c>
      <c r="AK81">
        <v>9</v>
      </c>
      <c r="AL81" t="s">
        <v>1101</v>
      </c>
      <c r="AM81" t="s">
        <v>1102</v>
      </c>
      <c r="AN81" t="s">
        <v>1103</v>
      </c>
      <c r="AO81" t="s">
        <v>74</v>
      </c>
      <c r="AP81" t="s">
        <v>1611</v>
      </c>
      <c r="AQ81" t="s">
        <v>74</v>
      </c>
      <c r="AR81" t="s">
        <v>1612</v>
      </c>
      <c r="AS81" t="s">
        <v>1613</v>
      </c>
      <c r="AT81" t="s">
        <v>954</v>
      </c>
      <c r="AU81">
        <v>2024</v>
      </c>
      <c r="AV81">
        <v>6</v>
      </c>
      <c r="AW81">
        <v>1</v>
      </c>
      <c r="AX81" t="s">
        <v>74</v>
      </c>
      <c r="AY81" t="s">
        <v>74</v>
      </c>
      <c r="AZ81" t="s">
        <v>74</v>
      </c>
      <c r="BA81" t="s">
        <v>74</v>
      </c>
      <c r="BB81" t="s">
        <v>74</v>
      </c>
      <c r="BC81" t="s">
        <v>74</v>
      </c>
      <c r="BD81" t="s">
        <v>74</v>
      </c>
      <c r="BE81" t="s">
        <v>1614</v>
      </c>
      <c r="BF81" t="str">
        <f>HYPERLINK("http://dx.doi.org/10.1111/csp2.13053","http://dx.doi.org/10.1111/csp2.13053")</f>
        <v>http://dx.doi.org/10.1111/csp2.13053</v>
      </c>
      <c r="BG81" t="s">
        <v>74</v>
      </c>
      <c r="BH81" t="s">
        <v>98</v>
      </c>
      <c r="BI81">
        <v>15</v>
      </c>
      <c r="BJ81" t="s">
        <v>1615</v>
      </c>
      <c r="BK81" t="s">
        <v>100</v>
      </c>
      <c r="BL81" t="s">
        <v>1616</v>
      </c>
      <c r="BM81" t="s">
        <v>1617</v>
      </c>
      <c r="BN81" t="s">
        <v>74</v>
      </c>
      <c r="BO81" t="s">
        <v>131</v>
      </c>
      <c r="BP81" t="s">
        <v>74</v>
      </c>
      <c r="BQ81" t="s">
        <v>74</v>
      </c>
      <c r="BR81" t="s">
        <v>104</v>
      </c>
      <c r="BS81" t="s">
        <v>1618</v>
      </c>
      <c r="BT81" t="str">
        <f>HYPERLINK("https%3A%2F%2Fwww.webofscience.com%2Fwos%2Fwoscc%2Ffull-record%2FWOS:001138192500001","View Full Record in Web of Science")</f>
        <v>View Full Record in Web of Science</v>
      </c>
    </row>
    <row r="82" spans="1:72" x14ac:dyDescent="0.15">
      <c r="A82" t="s">
        <v>72</v>
      </c>
      <c r="B82" t="s">
        <v>1619</v>
      </c>
      <c r="C82" t="s">
        <v>74</v>
      </c>
      <c r="D82" t="s">
        <v>74</v>
      </c>
      <c r="E82" t="s">
        <v>74</v>
      </c>
      <c r="F82" t="s">
        <v>1620</v>
      </c>
      <c r="G82" t="s">
        <v>74</v>
      </c>
      <c r="H82" t="s">
        <v>74</v>
      </c>
      <c r="I82" t="s">
        <v>1621</v>
      </c>
      <c r="J82" t="s">
        <v>936</v>
      </c>
      <c r="K82" t="s">
        <v>74</v>
      </c>
      <c r="L82" t="s">
        <v>74</v>
      </c>
      <c r="M82" t="s">
        <v>78</v>
      </c>
      <c r="N82" t="s">
        <v>79</v>
      </c>
      <c r="O82" t="s">
        <v>74</v>
      </c>
      <c r="P82" t="s">
        <v>74</v>
      </c>
      <c r="Q82" t="s">
        <v>74</v>
      </c>
      <c r="R82" t="s">
        <v>74</v>
      </c>
      <c r="S82" t="s">
        <v>74</v>
      </c>
      <c r="T82" t="s">
        <v>1622</v>
      </c>
      <c r="U82" t="s">
        <v>1623</v>
      </c>
      <c r="V82" t="s">
        <v>1624</v>
      </c>
      <c r="W82" t="s">
        <v>1625</v>
      </c>
      <c r="X82" t="s">
        <v>1626</v>
      </c>
      <c r="Y82" t="s">
        <v>1627</v>
      </c>
      <c r="Z82" t="s">
        <v>1628</v>
      </c>
      <c r="AA82" t="s">
        <v>74</v>
      </c>
      <c r="AB82" t="s">
        <v>74</v>
      </c>
      <c r="AC82" t="s">
        <v>1629</v>
      </c>
      <c r="AD82" t="s">
        <v>1630</v>
      </c>
      <c r="AE82" t="s">
        <v>1631</v>
      </c>
      <c r="AF82" t="s">
        <v>74</v>
      </c>
      <c r="AG82">
        <v>65</v>
      </c>
      <c r="AH82">
        <v>0</v>
      </c>
      <c r="AI82">
        <v>0</v>
      </c>
      <c r="AJ82">
        <v>6</v>
      </c>
      <c r="AK82">
        <v>6</v>
      </c>
      <c r="AL82" t="s">
        <v>947</v>
      </c>
      <c r="AM82" t="s">
        <v>948</v>
      </c>
      <c r="AN82" t="s">
        <v>949</v>
      </c>
      <c r="AO82" t="s">
        <v>950</v>
      </c>
      <c r="AP82" t="s">
        <v>951</v>
      </c>
      <c r="AQ82" t="s">
        <v>74</v>
      </c>
      <c r="AR82" t="s">
        <v>952</v>
      </c>
      <c r="AS82" t="s">
        <v>953</v>
      </c>
      <c r="AT82" t="s">
        <v>954</v>
      </c>
      <c r="AU82">
        <v>2024</v>
      </c>
      <c r="AV82">
        <v>158</v>
      </c>
      <c r="AW82" t="s">
        <v>74</v>
      </c>
      <c r="AX82" t="s">
        <v>74</v>
      </c>
      <c r="AY82" t="s">
        <v>74</v>
      </c>
      <c r="AZ82" t="s">
        <v>74</v>
      </c>
      <c r="BA82" t="s">
        <v>74</v>
      </c>
      <c r="BB82" t="s">
        <v>74</v>
      </c>
      <c r="BC82" t="s">
        <v>74</v>
      </c>
      <c r="BD82">
        <v>111474</v>
      </c>
      <c r="BE82" t="s">
        <v>1632</v>
      </c>
      <c r="BF82" t="str">
        <f>HYPERLINK("http://dx.doi.org/10.1016/j.ecolind.2023.111474","http://dx.doi.org/10.1016/j.ecolind.2023.111474")</f>
        <v>http://dx.doi.org/10.1016/j.ecolind.2023.111474</v>
      </c>
      <c r="BG82" t="s">
        <v>74</v>
      </c>
      <c r="BH82" t="s">
        <v>98</v>
      </c>
      <c r="BI82">
        <v>16</v>
      </c>
      <c r="BJ82" t="s">
        <v>956</v>
      </c>
      <c r="BK82" t="s">
        <v>100</v>
      </c>
      <c r="BL82" t="s">
        <v>913</v>
      </c>
      <c r="BM82" t="s">
        <v>1633</v>
      </c>
      <c r="BN82" t="s">
        <v>74</v>
      </c>
      <c r="BO82" t="s">
        <v>131</v>
      </c>
      <c r="BP82" t="s">
        <v>74</v>
      </c>
      <c r="BQ82" t="s">
        <v>74</v>
      </c>
      <c r="BR82" t="s">
        <v>104</v>
      </c>
      <c r="BS82" t="s">
        <v>1634</v>
      </c>
      <c r="BT82" t="str">
        <f>HYPERLINK("https%3A%2F%2Fwww.webofscience.com%2Fwos%2Fwoscc%2Ffull-record%2FWOS:001146913000001","View Full Record in Web of Science")</f>
        <v>View Full Record in Web of Science</v>
      </c>
    </row>
    <row r="83" spans="1:72" x14ac:dyDescent="0.15">
      <c r="A83" t="s">
        <v>72</v>
      </c>
      <c r="B83" t="s">
        <v>1635</v>
      </c>
      <c r="C83" t="s">
        <v>74</v>
      </c>
      <c r="D83" t="s">
        <v>74</v>
      </c>
      <c r="E83" t="s">
        <v>74</v>
      </c>
      <c r="F83" t="s">
        <v>1636</v>
      </c>
      <c r="G83" t="s">
        <v>74</v>
      </c>
      <c r="H83" t="s">
        <v>74</v>
      </c>
      <c r="I83" t="s">
        <v>1637</v>
      </c>
      <c r="J83" t="s">
        <v>1638</v>
      </c>
      <c r="K83" t="s">
        <v>74</v>
      </c>
      <c r="L83" t="s">
        <v>74</v>
      </c>
      <c r="M83" t="s">
        <v>78</v>
      </c>
      <c r="N83" t="s">
        <v>920</v>
      </c>
      <c r="O83" t="s">
        <v>74</v>
      </c>
      <c r="P83" t="s">
        <v>74</v>
      </c>
      <c r="Q83" t="s">
        <v>74</v>
      </c>
      <c r="R83" t="s">
        <v>74</v>
      </c>
      <c r="S83" t="s">
        <v>74</v>
      </c>
      <c r="T83" t="s">
        <v>74</v>
      </c>
      <c r="U83" t="s">
        <v>74</v>
      </c>
      <c r="V83" t="s">
        <v>74</v>
      </c>
      <c r="W83" t="s">
        <v>1639</v>
      </c>
      <c r="X83" t="s">
        <v>1640</v>
      </c>
      <c r="Y83" t="s">
        <v>1641</v>
      </c>
      <c r="Z83" t="s">
        <v>1534</v>
      </c>
      <c r="AA83" t="s">
        <v>74</v>
      </c>
      <c r="AB83" t="s">
        <v>74</v>
      </c>
      <c r="AC83" t="s">
        <v>1642</v>
      </c>
      <c r="AD83" t="s">
        <v>1643</v>
      </c>
      <c r="AE83" t="s">
        <v>1644</v>
      </c>
      <c r="AF83" t="s">
        <v>74</v>
      </c>
      <c r="AG83">
        <v>15</v>
      </c>
      <c r="AH83">
        <v>1</v>
      </c>
      <c r="AI83">
        <v>1</v>
      </c>
      <c r="AJ83">
        <v>3</v>
      </c>
      <c r="AK83">
        <v>3</v>
      </c>
      <c r="AL83" t="s">
        <v>947</v>
      </c>
      <c r="AM83" t="s">
        <v>948</v>
      </c>
      <c r="AN83" t="s">
        <v>949</v>
      </c>
      <c r="AO83" t="s">
        <v>1645</v>
      </c>
      <c r="AP83" t="s">
        <v>1646</v>
      </c>
      <c r="AQ83" t="s">
        <v>74</v>
      </c>
      <c r="AR83" t="s">
        <v>1647</v>
      </c>
      <c r="AS83" t="s">
        <v>1648</v>
      </c>
      <c r="AT83" t="s">
        <v>1649</v>
      </c>
      <c r="AU83">
        <v>2023</v>
      </c>
      <c r="AV83">
        <v>68</v>
      </c>
      <c r="AW83">
        <v>24</v>
      </c>
      <c r="AX83" t="s">
        <v>74</v>
      </c>
      <c r="AY83" t="s">
        <v>74</v>
      </c>
      <c r="AZ83" t="s">
        <v>74</v>
      </c>
      <c r="BA83" t="s">
        <v>74</v>
      </c>
      <c r="BB83">
        <v>3154</v>
      </c>
      <c r="BC83">
        <v>3157</v>
      </c>
      <c r="BD83" t="s">
        <v>74</v>
      </c>
      <c r="BE83" t="s">
        <v>1650</v>
      </c>
      <c r="BF83" t="str">
        <f>HYPERLINK("http://dx.doi.org/10.1016/j.scib.2023.08.055","http://dx.doi.org/10.1016/j.scib.2023.08.055")</f>
        <v>http://dx.doi.org/10.1016/j.scib.2023.08.055</v>
      </c>
      <c r="BG83" t="s">
        <v>74</v>
      </c>
      <c r="BH83" t="s">
        <v>98</v>
      </c>
      <c r="BI83">
        <v>4</v>
      </c>
      <c r="BJ83" t="s">
        <v>1035</v>
      </c>
      <c r="BK83" t="s">
        <v>100</v>
      </c>
      <c r="BL83" t="s">
        <v>1036</v>
      </c>
      <c r="BM83" t="s">
        <v>1651</v>
      </c>
      <c r="BN83">
        <v>37734981</v>
      </c>
      <c r="BO83" t="s">
        <v>74</v>
      </c>
      <c r="BP83" t="s">
        <v>74</v>
      </c>
      <c r="BQ83" t="s">
        <v>74</v>
      </c>
      <c r="BR83" t="s">
        <v>104</v>
      </c>
      <c r="BS83" t="s">
        <v>1652</v>
      </c>
      <c r="BT83" t="str">
        <f>HYPERLINK("https%3A%2F%2Fwww.webofscience.com%2Fwos%2Fwoscc%2Ffull-record%2FWOS:001146352800001","View Full Record in Web of Science")</f>
        <v>View Full Record in Web of Science</v>
      </c>
    </row>
    <row r="84" spans="1:72" x14ac:dyDescent="0.15">
      <c r="A84" t="s">
        <v>72</v>
      </c>
      <c r="B84" t="s">
        <v>1653</v>
      </c>
      <c r="C84" t="s">
        <v>74</v>
      </c>
      <c r="D84" t="s">
        <v>74</v>
      </c>
      <c r="E84" t="s">
        <v>74</v>
      </c>
      <c r="F84" t="s">
        <v>1654</v>
      </c>
      <c r="G84" t="s">
        <v>74</v>
      </c>
      <c r="H84" t="s">
        <v>74</v>
      </c>
      <c r="I84" t="s">
        <v>1655</v>
      </c>
      <c r="J84" t="s">
        <v>1116</v>
      </c>
      <c r="K84" t="s">
        <v>74</v>
      </c>
      <c r="L84" t="s">
        <v>74</v>
      </c>
      <c r="M84" t="s">
        <v>78</v>
      </c>
      <c r="N84" t="s">
        <v>79</v>
      </c>
      <c r="O84" t="s">
        <v>74</v>
      </c>
      <c r="P84" t="s">
        <v>74</v>
      </c>
      <c r="Q84" t="s">
        <v>74</v>
      </c>
      <c r="R84" t="s">
        <v>74</v>
      </c>
      <c r="S84" t="s">
        <v>74</v>
      </c>
      <c r="T84" t="s">
        <v>1656</v>
      </c>
      <c r="U84" t="s">
        <v>1657</v>
      </c>
      <c r="V84" t="s">
        <v>1658</v>
      </c>
      <c r="W84" t="s">
        <v>1659</v>
      </c>
      <c r="X84" t="s">
        <v>1660</v>
      </c>
      <c r="Y84" t="s">
        <v>1661</v>
      </c>
      <c r="Z84" t="s">
        <v>1662</v>
      </c>
      <c r="AA84" t="s">
        <v>74</v>
      </c>
      <c r="AB84" t="s">
        <v>1663</v>
      </c>
      <c r="AC84" t="s">
        <v>1664</v>
      </c>
      <c r="AD84" t="s">
        <v>1665</v>
      </c>
      <c r="AE84" t="s">
        <v>1666</v>
      </c>
      <c r="AF84" t="s">
        <v>74</v>
      </c>
      <c r="AG84">
        <v>47</v>
      </c>
      <c r="AH84">
        <v>1</v>
      </c>
      <c r="AI84">
        <v>1</v>
      </c>
      <c r="AJ84">
        <v>1</v>
      </c>
      <c r="AK84">
        <v>1</v>
      </c>
      <c r="AL84" t="s">
        <v>975</v>
      </c>
      <c r="AM84" t="s">
        <v>976</v>
      </c>
      <c r="AN84" t="s">
        <v>977</v>
      </c>
      <c r="AO84" t="s">
        <v>1129</v>
      </c>
      <c r="AP84" t="s">
        <v>1130</v>
      </c>
      <c r="AQ84" t="s">
        <v>74</v>
      </c>
      <c r="AR84" t="s">
        <v>1131</v>
      </c>
      <c r="AS84" t="s">
        <v>1132</v>
      </c>
      <c r="AT84" t="s">
        <v>1133</v>
      </c>
      <c r="AU84">
        <v>2024</v>
      </c>
      <c r="AV84">
        <v>199</v>
      </c>
      <c r="AW84" t="s">
        <v>74</v>
      </c>
      <c r="AX84" t="s">
        <v>74</v>
      </c>
      <c r="AY84" t="s">
        <v>74</v>
      </c>
      <c r="AZ84" t="s">
        <v>74</v>
      </c>
      <c r="BA84" t="s">
        <v>74</v>
      </c>
      <c r="BB84" t="s">
        <v>74</v>
      </c>
      <c r="BC84" t="s">
        <v>74</v>
      </c>
      <c r="BD84">
        <v>115952</v>
      </c>
      <c r="BE84" t="s">
        <v>1667</v>
      </c>
      <c r="BF84" t="str">
        <f>HYPERLINK("http://dx.doi.org/10.1016/j.marpolbul.2023.115952","http://dx.doi.org/10.1016/j.marpolbul.2023.115952")</f>
        <v>http://dx.doi.org/10.1016/j.marpolbul.2023.115952</v>
      </c>
      <c r="BG84" t="s">
        <v>74</v>
      </c>
      <c r="BH84" t="s">
        <v>98</v>
      </c>
      <c r="BI84">
        <v>7</v>
      </c>
      <c r="BJ84" t="s">
        <v>1135</v>
      </c>
      <c r="BK84" t="s">
        <v>100</v>
      </c>
      <c r="BL84" t="s">
        <v>1136</v>
      </c>
      <c r="BM84" t="s">
        <v>1668</v>
      </c>
      <c r="BN84">
        <v>38142665</v>
      </c>
      <c r="BO84" t="s">
        <v>74</v>
      </c>
      <c r="BP84" t="s">
        <v>74</v>
      </c>
      <c r="BQ84" t="s">
        <v>74</v>
      </c>
      <c r="BR84" t="s">
        <v>104</v>
      </c>
      <c r="BS84" t="s">
        <v>1669</v>
      </c>
      <c r="BT84" t="str">
        <f>HYPERLINK("https%3A%2F%2Fwww.webofscience.com%2Fwos%2Fwoscc%2Ffull-record%2FWOS:001144227400001","View Full Record in Web of Science")</f>
        <v>View Full Record in Web of Science</v>
      </c>
    </row>
    <row r="85" spans="1:72" x14ac:dyDescent="0.15">
      <c r="A85" t="s">
        <v>72</v>
      </c>
      <c r="B85" t="s">
        <v>1670</v>
      </c>
      <c r="C85" t="s">
        <v>74</v>
      </c>
      <c r="D85" t="s">
        <v>74</v>
      </c>
      <c r="E85" t="s">
        <v>74</v>
      </c>
      <c r="F85" t="s">
        <v>1671</v>
      </c>
      <c r="G85" t="s">
        <v>74</v>
      </c>
      <c r="H85" t="s">
        <v>74</v>
      </c>
      <c r="I85" t="s">
        <v>1672</v>
      </c>
      <c r="J85" t="s">
        <v>1673</v>
      </c>
      <c r="K85" t="s">
        <v>74</v>
      </c>
      <c r="L85" t="s">
        <v>74</v>
      </c>
      <c r="M85" t="s">
        <v>78</v>
      </c>
      <c r="N85" t="s">
        <v>79</v>
      </c>
      <c r="O85" t="s">
        <v>74</v>
      </c>
      <c r="P85" t="s">
        <v>74</v>
      </c>
      <c r="Q85" t="s">
        <v>74</v>
      </c>
      <c r="R85" t="s">
        <v>74</v>
      </c>
      <c r="S85" t="s">
        <v>74</v>
      </c>
      <c r="T85" t="s">
        <v>1674</v>
      </c>
      <c r="U85" t="s">
        <v>1675</v>
      </c>
      <c r="V85" t="s">
        <v>1676</v>
      </c>
      <c r="W85" t="s">
        <v>1677</v>
      </c>
      <c r="X85" t="s">
        <v>1678</v>
      </c>
      <c r="Y85" t="s">
        <v>1679</v>
      </c>
      <c r="Z85" t="s">
        <v>1680</v>
      </c>
      <c r="AA85" t="s">
        <v>74</v>
      </c>
      <c r="AB85" t="s">
        <v>1681</v>
      </c>
      <c r="AC85" t="s">
        <v>1682</v>
      </c>
      <c r="AD85" t="s">
        <v>1683</v>
      </c>
      <c r="AE85" t="s">
        <v>1684</v>
      </c>
      <c r="AF85" t="s">
        <v>74</v>
      </c>
      <c r="AG85">
        <v>47</v>
      </c>
      <c r="AH85">
        <v>0</v>
      </c>
      <c r="AI85">
        <v>0</v>
      </c>
      <c r="AJ85">
        <v>2</v>
      </c>
      <c r="AK85">
        <v>2</v>
      </c>
      <c r="AL85" t="s">
        <v>1685</v>
      </c>
      <c r="AM85" t="s">
        <v>1686</v>
      </c>
      <c r="AN85" t="s">
        <v>1687</v>
      </c>
      <c r="AO85" t="s">
        <v>1688</v>
      </c>
      <c r="AP85" t="s">
        <v>1689</v>
      </c>
      <c r="AQ85" t="s">
        <v>74</v>
      </c>
      <c r="AR85" t="s">
        <v>1673</v>
      </c>
      <c r="AS85" t="s">
        <v>1690</v>
      </c>
      <c r="AT85" t="s">
        <v>1691</v>
      </c>
      <c r="AU85">
        <v>2023</v>
      </c>
      <c r="AV85">
        <v>5389</v>
      </c>
      <c r="AW85">
        <v>5</v>
      </c>
      <c r="AX85" t="s">
        <v>74</v>
      </c>
      <c r="AY85" t="s">
        <v>74</v>
      </c>
      <c r="AZ85" t="s">
        <v>74</v>
      </c>
      <c r="BA85" t="s">
        <v>74</v>
      </c>
      <c r="BB85">
        <v>563</v>
      </c>
      <c r="BC85">
        <v>581</v>
      </c>
      <c r="BD85" t="s">
        <v>74</v>
      </c>
      <c r="BE85" t="s">
        <v>1692</v>
      </c>
      <c r="BF85" t="str">
        <f>HYPERLINK("http://dx.doi.org/10.11646/zootaxa.5389.5.3","http://dx.doi.org/10.11646/zootaxa.5389.5.3")</f>
        <v>http://dx.doi.org/10.11646/zootaxa.5389.5.3</v>
      </c>
      <c r="BG85" t="s">
        <v>74</v>
      </c>
      <c r="BH85" t="s">
        <v>74</v>
      </c>
      <c r="BI85">
        <v>19</v>
      </c>
      <c r="BJ85" t="s">
        <v>1568</v>
      </c>
      <c r="BK85" t="s">
        <v>100</v>
      </c>
      <c r="BL85" t="s">
        <v>1568</v>
      </c>
      <c r="BM85" t="s">
        <v>1693</v>
      </c>
      <c r="BN85">
        <v>38221003</v>
      </c>
      <c r="BO85" t="s">
        <v>74</v>
      </c>
      <c r="BP85" t="s">
        <v>74</v>
      </c>
      <c r="BQ85" t="s">
        <v>74</v>
      </c>
      <c r="BR85" t="s">
        <v>104</v>
      </c>
      <c r="BS85" t="s">
        <v>1694</v>
      </c>
      <c r="BT85" t="str">
        <f>HYPERLINK("https%3A%2F%2Fwww.webofscience.com%2Fwos%2Fwoscc%2Ffull-record%2FWOS:001161600200003","View Full Record in Web of Science")</f>
        <v>View Full Record in Web of Science</v>
      </c>
    </row>
    <row r="86" spans="1:72" x14ac:dyDescent="0.15">
      <c r="A86" t="s">
        <v>72</v>
      </c>
      <c r="B86" t="s">
        <v>1695</v>
      </c>
      <c r="C86" t="s">
        <v>74</v>
      </c>
      <c r="D86" t="s">
        <v>74</v>
      </c>
      <c r="E86" t="s">
        <v>74</v>
      </c>
      <c r="F86" t="s">
        <v>1696</v>
      </c>
      <c r="G86" t="s">
        <v>74</v>
      </c>
      <c r="H86" t="s">
        <v>74</v>
      </c>
      <c r="I86" t="s">
        <v>1697</v>
      </c>
      <c r="J86" t="s">
        <v>1698</v>
      </c>
      <c r="K86" t="s">
        <v>74</v>
      </c>
      <c r="L86" t="s">
        <v>74</v>
      </c>
      <c r="M86" t="s">
        <v>78</v>
      </c>
      <c r="N86" t="s">
        <v>79</v>
      </c>
      <c r="O86" t="s">
        <v>74</v>
      </c>
      <c r="P86" t="s">
        <v>74</v>
      </c>
      <c r="Q86" t="s">
        <v>74</v>
      </c>
      <c r="R86" t="s">
        <v>74</v>
      </c>
      <c r="S86" t="s">
        <v>74</v>
      </c>
      <c r="T86" t="s">
        <v>74</v>
      </c>
      <c r="U86" t="s">
        <v>1699</v>
      </c>
      <c r="V86" t="s">
        <v>1700</v>
      </c>
      <c r="W86" t="s">
        <v>1701</v>
      </c>
      <c r="X86" t="s">
        <v>1702</v>
      </c>
      <c r="Y86" t="s">
        <v>1703</v>
      </c>
      <c r="Z86" t="s">
        <v>1704</v>
      </c>
      <c r="AA86" t="s">
        <v>1705</v>
      </c>
      <c r="AB86" t="s">
        <v>1706</v>
      </c>
      <c r="AC86" t="s">
        <v>1707</v>
      </c>
      <c r="AD86" t="s">
        <v>1708</v>
      </c>
      <c r="AE86" t="s">
        <v>1709</v>
      </c>
      <c r="AF86" t="s">
        <v>74</v>
      </c>
      <c r="AG86">
        <v>95</v>
      </c>
      <c r="AH86">
        <v>2</v>
      </c>
      <c r="AI86">
        <v>2</v>
      </c>
      <c r="AJ86">
        <v>8</v>
      </c>
      <c r="AK86">
        <v>8</v>
      </c>
      <c r="AL86" t="s">
        <v>1710</v>
      </c>
      <c r="AM86" t="s">
        <v>1209</v>
      </c>
      <c r="AN86" t="s">
        <v>1711</v>
      </c>
      <c r="AO86" t="s">
        <v>1712</v>
      </c>
      <c r="AP86" t="s">
        <v>1713</v>
      </c>
      <c r="AQ86" t="s">
        <v>74</v>
      </c>
      <c r="AR86" t="s">
        <v>1698</v>
      </c>
      <c r="AS86" t="s">
        <v>1714</v>
      </c>
      <c r="AT86" t="s">
        <v>1691</v>
      </c>
      <c r="AU86">
        <v>2023</v>
      </c>
      <c r="AV86">
        <v>382</v>
      </c>
      <c r="AW86">
        <v>6677</v>
      </c>
      <c r="AX86" t="s">
        <v>74</v>
      </c>
      <c r="AY86" t="s">
        <v>74</v>
      </c>
      <c r="AZ86" t="s">
        <v>74</v>
      </c>
      <c r="BA86" t="s">
        <v>74</v>
      </c>
      <c r="BB86">
        <v>1384</v>
      </c>
      <c r="BC86">
        <v>1389</v>
      </c>
      <c r="BD86" t="s">
        <v>74</v>
      </c>
      <c r="BE86" t="s">
        <v>1715</v>
      </c>
      <c r="BF86" t="str">
        <f>HYPERLINK("http://dx.doi.org/10.1126/science.ade0664","http://dx.doi.org/10.1126/science.ade0664")</f>
        <v>http://dx.doi.org/10.1126/science.ade0664</v>
      </c>
      <c r="BG86" t="s">
        <v>74</v>
      </c>
      <c r="BH86" t="s">
        <v>74</v>
      </c>
      <c r="BI86">
        <v>6</v>
      </c>
      <c r="BJ86" t="s">
        <v>1035</v>
      </c>
      <c r="BK86" t="s">
        <v>100</v>
      </c>
      <c r="BL86" t="s">
        <v>1036</v>
      </c>
      <c r="BM86" t="s">
        <v>1716</v>
      </c>
      <c r="BN86">
        <v>38127761</v>
      </c>
      <c r="BO86" t="s">
        <v>1717</v>
      </c>
      <c r="BP86" t="s">
        <v>74</v>
      </c>
      <c r="BQ86" t="s">
        <v>74</v>
      </c>
      <c r="BR86" t="s">
        <v>104</v>
      </c>
      <c r="BS86" t="s">
        <v>1718</v>
      </c>
      <c r="BT86" t="str">
        <f>HYPERLINK("https%3A%2F%2Fwww.webofscience.com%2Fwos%2Fwoscc%2Ffull-record%2FWOS:001128567800034","View Full Record in Web of Science")</f>
        <v>View Full Record in Web of Science</v>
      </c>
    </row>
    <row r="87" spans="1:72" x14ac:dyDescent="0.15">
      <c r="A87" t="s">
        <v>72</v>
      </c>
      <c r="B87" t="s">
        <v>1719</v>
      </c>
      <c r="C87" t="s">
        <v>74</v>
      </c>
      <c r="D87" t="s">
        <v>74</v>
      </c>
      <c r="E87" t="s">
        <v>74</v>
      </c>
      <c r="F87" t="s">
        <v>1720</v>
      </c>
      <c r="G87" t="s">
        <v>74</v>
      </c>
      <c r="H87" t="s">
        <v>74</v>
      </c>
      <c r="I87" t="s">
        <v>1721</v>
      </c>
      <c r="J87" t="s">
        <v>1722</v>
      </c>
      <c r="K87" t="s">
        <v>74</v>
      </c>
      <c r="L87" t="s">
        <v>74</v>
      </c>
      <c r="M87" t="s">
        <v>78</v>
      </c>
      <c r="N87" t="s">
        <v>79</v>
      </c>
      <c r="O87" t="s">
        <v>74</v>
      </c>
      <c r="P87" t="s">
        <v>74</v>
      </c>
      <c r="Q87" t="s">
        <v>74</v>
      </c>
      <c r="R87" t="s">
        <v>74</v>
      </c>
      <c r="S87" t="s">
        <v>74</v>
      </c>
      <c r="T87" t="s">
        <v>1723</v>
      </c>
      <c r="U87" t="s">
        <v>1724</v>
      </c>
      <c r="V87" t="s">
        <v>1725</v>
      </c>
      <c r="W87" t="s">
        <v>1726</v>
      </c>
      <c r="X87" t="s">
        <v>1727</v>
      </c>
      <c r="Y87" t="s">
        <v>1728</v>
      </c>
      <c r="Z87" t="s">
        <v>1729</v>
      </c>
      <c r="AA87" t="s">
        <v>1730</v>
      </c>
      <c r="AB87" t="s">
        <v>1731</v>
      </c>
      <c r="AC87" t="s">
        <v>1732</v>
      </c>
      <c r="AD87" t="s">
        <v>1732</v>
      </c>
      <c r="AE87" t="s">
        <v>1733</v>
      </c>
      <c r="AF87" t="s">
        <v>74</v>
      </c>
      <c r="AG87">
        <v>42</v>
      </c>
      <c r="AH87">
        <v>0</v>
      </c>
      <c r="AI87">
        <v>0</v>
      </c>
      <c r="AJ87">
        <v>5</v>
      </c>
      <c r="AK87">
        <v>5</v>
      </c>
      <c r="AL87" t="s">
        <v>89</v>
      </c>
      <c r="AM87" t="s">
        <v>90</v>
      </c>
      <c r="AN87" t="s">
        <v>91</v>
      </c>
      <c r="AO87" t="s">
        <v>1734</v>
      </c>
      <c r="AP87" t="s">
        <v>1735</v>
      </c>
      <c r="AQ87" t="s">
        <v>74</v>
      </c>
      <c r="AR87" t="s">
        <v>1736</v>
      </c>
      <c r="AS87" t="s">
        <v>1737</v>
      </c>
      <c r="AT87" t="s">
        <v>1133</v>
      </c>
      <c r="AU87">
        <v>2024</v>
      </c>
      <c r="AV87">
        <v>163</v>
      </c>
      <c r="AW87" t="s">
        <v>74</v>
      </c>
      <c r="AX87" t="s">
        <v>74</v>
      </c>
      <c r="AY87" t="s">
        <v>74</v>
      </c>
      <c r="AZ87" t="s">
        <v>74</v>
      </c>
      <c r="BA87" t="s">
        <v>74</v>
      </c>
      <c r="BB87" t="s">
        <v>74</v>
      </c>
      <c r="BC87" t="s">
        <v>74</v>
      </c>
      <c r="BD87">
        <v>103177</v>
      </c>
      <c r="BE87" t="s">
        <v>1738</v>
      </c>
      <c r="BF87" t="str">
        <f>HYPERLINK("http://dx.doi.org/10.1016/j.apgeog.2023.103177","http://dx.doi.org/10.1016/j.apgeog.2023.103177")</f>
        <v>http://dx.doi.org/10.1016/j.apgeog.2023.103177</v>
      </c>
      <c r="BG87" t="s">
        <v>74</v>
      </c>
      <c r="BH87" t="s">
        <v>98</v>
      </c>
      <c r="BI87">
        <v>12</v>
      </c>
      <c r="BJ87" t="s">
        <v>1739</v>
      </c>
      <c r="BK87" t="s">
        <v>1740</v>
      </c>
      <c r="BL87" t="s">
        <v>1739</v>
      </c>
      <c r="BM87" t="s">
        <v>1741</v>
      </c>
      <c r="BN87" t="s">
        <v>74</v>
      </c>
      <c r="BO87" t="s">
        <v>103</v>
      </c>
      <c r="BP87" t="s">
        <v>74</v>
      </c>
      <c r="BQ87" t="s">
        <v>74</v>
      </c>
      <c r="BR87" t="s">
        <v>104</v>
      </c>
      <c r="BS87" t="s">
        <v>1742</v>
      </c>
      <c r="BT87" t="str">
        <f>HYPERLINK("https%3A%2F%2Fwww.webofscience.com%2Fwos%2Fwoscc%2Ffull-record%2FWOS:001143727900001","View Full Record in Web of Science")</f>
        <v>View Full Record in Web of Science</v>
      </c>
    </row>
    <row r="88" spans="1:72" x14ac:dyDescent="0.15">
      <c r="A88" t="s">
        <v>72</v>
      </c>
      <c r="B88" t="s">
        <v>1743</v>
      </c>
      <c r="C88" t="s">
        <v>74</v>
      </c>
      <c r="D88" t="s">
        <v>74</v>
      </c>
      <c r="E88" t="s">
        <v>74</v>
      </c>
      <c r="F88" t="s">
        <v>1744</v>
      </c>
      <c r="G88" t="s">
        <v>74</v>
      </c>
      <c r="H88" t="s">
        <v>74</v>
      </c>
      <c r="I88" t="s">
        <v>1745</v>
      </c>
      <c r="J88" t="s">
        <v>1746</v>
      </c>
      <c r="K88" t="s">
        <v>74</v>
      </c>
      <c r="L88" t="s">
        <v>74</v>
      </c>
      <c r="M88" t="s">
        <v>78</v>
      </c>
      <c r="N88" t="s">
        <v>79</v>
      </c>
      <c r="O88" t="s">
        <v>74</v>
      </c>
      <c r="P88" t="s">
        <v>74</v>
      </c>
      <c r="Q88" t="s">
        <v>74</v>
      </c>
      <c r="R88" t="s">
        <v>74</v>
      </c>
      <c r="S88" t="s">
        <v>74</v>
      </c>
      <c r="T88" t="s">
        <v>1747</v>
      </c>
      <c r="U88" t="s">
        <v>1748</v>
      </c>
      <c r="V88" t="s">
        <v>1749</v>
      </c>
      <c r="W88" t="s">
        <v>1750</v>
      </c>
      <c r="X88" t="s">
        <v>1751</v>
      </c>
      <c r="Y88" t="s">
        <v>1752</v>
      </c>
      <c r="Z88" t="s">
        <v>1753</v>
      </c>
      <c r="AA88" t="s">
        <v>74</v>
      </c>
      <c r="AB88" t="s">
        <v>1754</v>
      </c>
      <c r="AC88" t="s">
        <v>1755</v>
      </c>
      <c r="AD88" t="s">
        <v>1756</v>
      </c>
      <c r="AE88" t="s">
        <v>1757</v>
      </c>
      <c r="AF88" t="s">
        <v>74</v>
      </c>
      <c r="AG88">
        <v>117</v>
      </c>
      <c r="AH88">
        <v>0</v>
      </c>
      <c r="AI88">
        <v>0</v>
      </c>
      <c r="AJ88">
        <v>0</v>
      </c>
      <c r="AK88">
        <v>0</v>
      </c>
      <c r="AL88" t="s">
        <v>1758</v>
      </c>
      <c r="AM88" t="s">
        <v>1759</v>
      </c>
      <c r="AN88" t="s">
        <v>1760</v>
      </c>
      <c r="AO88" t="s">
        <v>74</v>
      </c>
      <c r="AP88" t="s">
        <v>1761</v>
      </c>
      <c r="AQ88" t="s">
        <v>74</v>
      </c>
      <c r="AR88" t="s">
        <v>1762</v>
      </c>
      <c r="AS88" t="s">
        <v>1763</v>
      </c>
      <c r="AT88" t="s">
        <v>1691</v>
      </c>
      <c r="AU88">
        <v>2023</v>
      </c>
      <c r="AV88">
        <v>10</v>
      </c>
      <c r="AW88" t="s">
        <v>74</v>
      </c>
      <c r="AX88" t="s">
        <v>74</v>
      </c>
      <c r="AY88" t="s">
        <v>74</v>
      </c>
      <c r="AZ88" t="s">
        <v>74</v>
      </c>
      <c r="BA88" t="s">
        <v>74</v>
      </c>
      <c r="BB88" t="s">
        <v>74</v>
      </c>
      <c r="BC88" t="s">
        <v>74</v>
      </c>
      <c r="BD88">
        <v>1304493</v>
      </c>
      <c r="BE88" t="s">
        <v>1764</v>
      </c>
      <c r="BF88" t="str">
        <f>HYPERLINK("http://dx.doi.org/10.3389/fmars.2023.1304493","http://dx.doi.org/10.3389/fmars.2023.1304493")</f>
        <v>http://dx.doi.org/10.3389/fmars.2023.1304493</v>
      </c>
      <c r="BG88" t="s">
        <v>74</v>
      </c>
      <c r="BH88" t="s">
        <v>74</v>
      </c>
      <c r="BI88">
        <v>17</v>
      </c>
      <c r="BJ88" t="s">
        <v>1135</v>
      </c>
      <c r="BK88" t="s">
        <v>100</v>
      </c>
      <c r="BL88" t="s">
        <v>1136</v>
      </c>
      <c r="BM88" t="s">
        <v>1765</v>
      </c>
      <c r="BN88" t="s">
        <v>74</v>
      </c>
      <c r="BO88" t="s">
        <v>131</v>
      </c>
      <c r="BP88" t="s">
        <v>74</v>
      </c>
      <c r="BQ88" t="s">
        <v>74</v>
      </c>
      <c r="BR88" t="s">
        <v>104</v>
      </c>
      <c r="BS88" t="s">
        <v>1766</v>
      </c>
      <c r="BT88" t="str">
        <f>HYPERLINK("https%3A%2F%2Fwww.webofscience.com%2Fwos%2Fwoscc%2Ffull-record%2FWOS:001136510800001","View Full Record in Web of Science")</f>
        <v>View Full Record in Web of Science</v>
      </c>
    </row>
    <row r="89" spans="1:72" x14ac:dyDescent="0.15">
      <c r="A89" t="s">
        <v>72</v>
      </c>
      <c r="B89" t="s">
        <v>1767</v>
      </c>
      <c r="C89" t="s">
        <v>74</v>
      </c>
      <c r="D89" t="s">
        <v>74</v>
      </c>
      <c r="E89" t="s">
        <v>74</v>
      </c>
      <c r="F89" t="s">
        <v>1768</v>
      </c>
      <c r="G89" t="s">
        <v>74</v>
      </c>
      <c r="H89" t="s">
        <v>74</v>
      </c>
      <c r="I89" t="s">
        <v>1769</v>
      </c>
      <c r="J89" t="s">
        <v>1770</v>
      </c>
      <c r="K89" t="s">
        <v>74</v>
      </c>
      <c r="L89" t="s">
        <v>74</v>
      </c>
      <c r="M89" t="s">
        <v>78</v>
      </c>
      <c r="N89" t="s">
        <v>1771</v>
      </c>
      <c r="O89" t="s">
        <v>74</v>
      </c>
      <c r="P89" t="s">
        <v>74</v>
      </c>
      <c r="Q89" t="s">
        <v>74</v>
      </c>
      <c r="R89" t="s">
        <v>74</v>
      </c>
      <c r="S89" t="s">
        <v>74</v>
      </c>
      <c r="T89" t="s">
        <v>1772</v>
      </c>
      <c r="U89" t="s">
        <v>1773</v>
      </c>
      <c r="V89" t="s">
        <v>74</v>
      </c>
      <c r="W89" t="s">
        <v>1774</v>
      </c>
      <c r="X89" t="s">
        <v>1775</v>
      </c>
      <c r="Y89" t="s">
        <v>1776</v>
      </c>
      <c r="Z89" t="s">
        <v>1777</v>
      </c>
      <c r="AA89" t="s">
        <v>74</v>
      </c>
      <c r="AB89" t="s">
        <v>1778</v>
      </c>
      <c r="AC89" t="s">
        <v>1779</v>
      </c>
      <c r="AD89" t="s">
        <v>1780</v>
      </c>
      <c r="AE89" t="s">
        <v>1781</v>
      </c>
      <c r="AF89" t="s">
        <v>74</v>
      </c>
      <c r="AG89">
        <v>19</v>
      </c>
      <c r="AH89">
        <v>0</v>
      </c>
      <c r="AI89">
        <v>0</v>
      </c>
      <c r="AJ89">
        <v>1</v>
      </c>
      <c r="AK89">
        <v>1</v>
      </c>
      <c r="AL89" t="s">
        <v>1782</v>
      </c>
      <c r="AM89" t="s">
        <v>1783</v>
      </c>
      <c r="AN89" t="s">
        <v>1784</v>
      </c>
      <c r="AO89" t="s">
        <v>1785</v>
      </c>
      <c r="AP89" t="s">
        <v>1786</v>
      </c>
      <c r="AQ89" t="s">
        <v>74</v>
      </c>
      <c r="AR89" t="s">
        <v>1787</v>
      </c>
      <c r="AS89" t="s">
        <v>1788</v>
      </c>
      <c r="AT89" t="s">
        <v>1789</v>
      </c>
      <c r="AU89">
        <v>2023</v>
      </c>
      <c r="AV89" t="s">
        <v>74</v>
      </c>
      <c r="AW89" t="s">
        <v>74</v>
      </c>
      <c r="AX89" t="s">
        <v>74</v>
      </c>
      <c r="AY89" t="s">
        <v>74</v>
      </c>
      <c r="AZ89" t="s">
        <v>74</v>
      </c>
      <c r="BA89" t="s">
        <v>74</v>
      </c>
      <c r="BB89" t="s">
        <v>74</v>
      </c>
      <c r="BC89" t="s">
        <v>74</v>
      </c>
      <c r="BD89" t="s">
        <v>74</v>
      </c>
      <c r="BE89" t="s">
        <v>1790</v>
      </c>
      <c r="BF89" t="str">
        <f>HYPERLINK("http://dx.doi.org/10.1017/S0954102023000317","http://dx.doi.org/10.1017/S0954102023000317")</f>
        <v>http://dx.doi.org/10.1017/S0954102023000317</v>
      </c>
      <c r="BG89" t="s">
        <v>74</v>
      </c>
      <c r="BH89" t="s">
        <v>98</v>
      </c>
      <c r="BI89">
        <v>4</v>
      </c>
      <c r="BJ89" t="s">
        <v>1791</v>
      </c>
      <c r="BK89" t="s">
        <v>100</v>
      </c>
      <c r="BL89" t="s">
        <v>1792</v>
      </c>
      <c r="BM89" t="s">
        <v>1793</v>
      </c>
      <c r="BN89" t="s">
        <v>74</v>
      </c>
      <c r="BO89" t="s">
        <v>1794</v>
      </c>
      <c r="BP89" t="s">
        <v>74</v>
      </c>
      <c r="BQ89" t="s">
        <v>74</v>
      </c>
      <c r="BR89" t="s">
        <v>104</v>
      </c>
      <c r="BS89" t="s">
        <v>1795</v>
      </c>
      <c r="BT89" t="str">
        <f>HYPERLINK("https%3A%2F%2Fwww.webofscience.com%2Fwos%2Fwoscc%2Ffull-record%2FWOS:001129626400001","View Full Record in Web of Science")</f>
        <v>View Full Record in Web of Science</v>
      </c>
    </row>
    <row r="90" spans="1:72" x14ac:dyDescent="0.15">
      <c r="A90" t="s">
        <v>72</v>
      </c>
      <c r="B90" t="s">
        <v>1796</v>
      </c>
      <c r="C90" t="s">
        <v>74</v>
      </c>
      <c r="D90" t="s">
        <v>74</v>
      </c>
      <c r="E90" t="s">
        <v>74</v>
      </c>
      <c r="F90" t="s">
        <v>1797</v>
      </c>
      <c r="G90" t="s">
        <v>74</v>
      </c>
      <c r="H90" t="s">
        <v>74</v>
      </c>
      <c r="I90" t="s">
        <v>1798</v>
      </c>
      <c r="J90" t="s">
        <v>1799</v>
      </c>
      <c r="K90" t="s">
        <v>74</v>
      </c>
      <c r="L90" t="s">
        <v>74</v>
      </c>
      <c r="M90" t="s">
        <v>78</v>
      </c>
      <c r="N90" t="s">
        <v>79</v>
      </c>
      <c r="O90" t="s">
        <v>74</v>
      </c>
      <c r="P90" t="s">
        <v>74</v>
      </c>
      <c r="Q90" t="s">
        <v>74</v>
      </c>
      <c r="R90" t="s">
        <v>74</v>
      </c>
      <c r="S90" t="s">
        <v>74</v>
      </c>
      <c r="T90" t="s">
        <v>1800</v>
      </c>
      <c r="U90" t="s">
        <v>1801</v>
      </c>
      <c r="V90" t="s">
        <v>1802</v>
      </c>
      <c r="W90" t="s">
        <v>1803</v>
      </c>
      <c r="X90" t="s">
        <v>1804</v>
      </c>
      <c r="Y90" t="s">
        <v>1805</v>
      </c>
      <c r="Z90" t="s">
        <v>1806</v>
      </c>
      <c r="AA90" t="s">
        <v>74</v>
      </c>
      <c r="AB90" t="s">
        <v>74</v>
      </c>
      <c r="AC90" t="s">
        <v>1807</v>
      </c>
      <c r="AD90" t="s">
        <v>1808</v>
      </c>
      <c r="AE90" t="s">
        <v>1809</v>
      </c>
      <c r="AF90" t="s">
        <v>74</v>
      </c>
      <c r="AG90">
        <v>116</v>
      </c>
      <c r="AH90">
        <v>0</v>
      </c>
      <c r="AI90">
        <v>0</v>
      </c>
      <c r="AJ90">
        <v>3</v>
      </c>
      <c r="AK90">
        <v>3</v>
      </c>
      <c r="AL90" t="s">
        <v>1810</v>
      </c>
      <c r="AM90" t="s">
        <v>1811</v>
      </c>
      <c r="AN90" t="s">
        <v>1812</v>
      </c>
      <c r="AO90" t="s">
        <v>1813</v>
      </c>
      <c r="AP90" t="s">
        <v>1814</v>
      </c>
      <c r="AQ90" t="s">
        <v>74</v>
      </c>
      <c r="AR90" t="s">
        <v>1815</v>
      </c>
      <c r="AS90" t="s">
        <v>1816</v>
      </c>
      <c r="AT90" t="s">
        <v>1817</v>
      </c>
      <c r="AU90">
        <v>2023</v>
      </c>
      <c r="AV90">
        <v>725</v>
      </c>
      <c r="AW90" t="s">
        <v>74</v>
      </c>
      <c r="AX90" t="s">
        <v>74</v>
      </c>
      <c r="AY90" t="s">
        <v>74</v>
      </c>
      <c r="AZ90" t="s">
        <v>74</v>
      </c>
      <c r="BA90" t="s">
        <v>74</v>
      </c>
      <c r="BB90">
        <v>185</v>
      </c>
      <c r="BC90">
        <v>199</v>
      </c>
      <c r="BD90" t="s">
        <v>74</v>
      </c>
      <c r="BE90" t="s">
        <v>1818</v>
      </c>
      <c r="BF90" t="str">
        <f>HYPERLINK("http://dx.doi.org/10.3354/meps14472","http://dx.doi.org/10.3354/meps14472")</f>
        <v>http://dx.doi.org/10.3354/meps14472</v>
      </c>
      <c r="BG90" t="s">
        <v>74</v>
      </c>
      <c r="BH90" t="s">
        <v>74</v>
      </c>
      <c r="BI90">
        <v>15</v>
      </c>
      <c r="BJ90" t="s">
        <v>1819</v>
      </c>
      <c r="BK90" t="s">
        <v>100</v>
      </c>
      <c r="BL90" t="s">
        <v>1820</v>
      </c>
      <c r="BM90" t="s">
        <v>1821</v>
      </c>
      <c r="BN90" t="s">
        <v>74</v>
      </c>
      <c r="BO90" t="s">
        <v>103</v>
      </c>
      <c r="BP90" t="s">
        <v>74</v>
      </c>
      <c r="BQ90" t="s">
        <v>74</v>
      </c>
      <c r="BR90" t="s">
        <v>104</v>
      </c>
      <c r="BS90" t="s">
        <v>1822</v>
      </c>
      <c r="BT90" t="str">
        <f>HYPERLINK("https%3A%2F%2Fwww.webofscience.com%2Fwos%2Fwoscc%2Ffull-record%2FWOS:001177631100003","View Full Record in Web of Science")</f>
        <v>View Full Record in Web of Science</v>
      </c>
    </row>
    <row r="91" spans="1:72" x14ac:dyDescent="0.15">
      <c r="A91" t="s">
        <v>72</v>
      </c>
      <c r="B91" t="s">
        <v>1823</v>
      </c>
      <c r="C91" t="s">
        <v>74</v>
      </c>
      <c r="D91" t="s">
        <v>74</v>
      </c>
      <c r="E91" t="s">
        <v>74</v>
      </c>
      <c r="F91" t="s">
        <v>1824</v>
      </c>
      <c r="G91" t="s">
        <v>74</v>
      </c>
      <c r="H91" t="s">
        <v>74</v>
      </c>
      <c r="I91" t="s">
        <v>1825</v>
      </c>
      <c r="J91" t="s">
        <v>1826</v>
      </c>
      <c r="K91" t="s">
        <v>74</v>
      </c>
      <c r="L91" t="s">
        <v>74</v>
      </c>
      <c r="M91" t="s">
        <v>78</v>
      </c>
      <c r="N91" t="s">
        <v>79</v>
      </c>
      <c r="O91" t="s">
        <v>74</v>
      </c>
      <c r="P91" t="s">
        <v>74</v>
      </c>
      <c r="Q91" t="s">
        <v>74</v>
      </c>
      <c r="R91" t="s">
        <v>74</v>
      </c>
      <c r="S91" t="s">
        <v>74</v>
      </c>
      <c r="T91" t="s">
        <v>74</v>
      </c>
      <c r="U91" t="s">
        <v>1827</v>
      </c>
      <c r="V91" t="s">
        <v>1828</v>
      </c>
      <c r="W91" t="s">
        <v>1829</v>
      </c>
      <c r="X91" t="s">
        <v>1830</v>
      </c>
      <c r="Y91" t="s">
        <v>1831</v>
      </c>
      <c r="Z91" t="s">
        <v>1832</v>
      </c>
      <c r="AA91" t="s">
        <v>1833</v>
      </c>
      <c r="AB91" t="s">
        <v>1834</v>
      </c>
      <c r="AC91" t="s">
        <v>1835</v>
      </c>
      <c r="AD91" t="s">
        <v>1836</v>
      </c>
      <c r="AE91" t="s">
        <v>1837</v>
      </c>
      <c r="AF91" t="s">
        <v>74</v>
      </c>
      <c r="AG91">
        <v>106</v>
      </c>
      <c r="AH91">
        <v>5</v>
      </c>
      <c r="AI91">
        <v>5</v>
      </c>
      <c r="AJ91">
        <v>3</v>
      </c>
      <c r="AK91">
        <v>3</v>
      </c>
      <c r="AL91" t="s">
        <v>1838</v>
      </c>
      <c r="AM91" t="s">
        <v>1839</v>
      </c>
      <c r="AN91" t="s">
        <v>1840</v>
      </c>
      <c r="AO91" t="s">
        <v>1841</v>
      </c>
      <c r="AP91" t="s">
        <v>1842</v>
      </c>
      <c r="AQ91" t="s">
        <v>74</v>
      </c>
      <c r="AR91" t="s">
        <v>1843</v>
      </c>
      <c r="AS91" t="s">
        <v>1844</v>
      </c>
      <c r="AT91" t="s">
        <v>1817</v>
      </c>
      <c r="AU91">
        <v>2023</v>
      </c>
      <c r="AV91">
        <v>16</v>
      </c>
      <c r="AW91">
        <v>24</v>
      </c>
      <c r="AX91" t="s">
        <v>74</v>
      </c>
      <c r="AY91" t="s">
        <v>74</v>
      </c>
      <c r="AZ91" t="s">
        <v>74</v>
      </c>
      <c r="BA91" t="s">
        <v>74</v>
      </c>
      <c r="BB91">
        <v>7461</v>
      </c>
      <c r="BC91">
        <v>7489</v>
      </c>
      <c r="BD91" t="s">
        <v>74</v>
      </c>
      <c r="BE91" t="s">
        <v>1845</v>
      </c>
      <c r="BF91" t="str">
        <f>HYPERLINK("http://dx.doi.org/10.5194/gmd-16-7461-2023","http://dx.doi.org/10.5194/gmd-16-7461-2023")</f>
        <v>http://dx.doi.org/10.5194/gmd-16-7461-2023</v>
      </c>
      <c r="BG91" t="s">
        <v>74</v>
      </c>
      <c r="BH91" t="s">
        <v>74</v>
      </c>
      <c r="BI91">
        <v>29</v>
      </c>
      <c r="BJ91" t="s">
        <v>535</v>
      </c>
      <c r="BK91" t="s">
        <v>100</v>
      </c>
      <c r="BL91" t="s">
        <v>536</v>
      </c>
      <c r="BM91" t="s">
        <v>1846</v>
      </c>
      <c r="BN91" t="s">
        <v>74</v>
      </c>
      <c r="BO91" t="s">
        <v>131</v>
      </c>
      <c r="BP91" t="s">
        <v>74</v>
      </c>
      <c r="BQ91" t="s">
        <v>74</v>
      </c>
      <c r="BR91" t="s">
        <v>104</v>
      </c>
      <c r="BS91" t="s">
        <v>1847</v>
      </c>
      <c r="BT91" t="str">
        <f>HYPERLINK("https%3A%2F%2Fwww.webofscience.com%2Fwos%2Fwoscc%2Ffull-record%2FWOS:001168864300001","View Full Record in Web of Science")</f>
        <v>View Full Record in Web of Science</v>
      </c>
    </row>
    <row r="92" spans="1:72" x14ac:dyDescent="0.15">
      <c r="A92" t="s">
        <v>72</v>
      </c>
      <c r="B92" t="s">
        <v>1848</v>
      </c>
      <c r="C92" t="s">
        <v>74</v>
      </c>
      <c r="D92" t="s">
        <v>74</v>
      </c>
      <c r="E92" t="s">
        <v>74</v>
      </c>
      <c r="F92" t="s">
        <v>1849</v>
      </c>
      <c r="G92" t="s">
        <v>74</v>
      </c>
      <c r="H92" t="s">
        <v>74</v>
      </c>
      <c r="I92" t="s">
        <v>1850</v>
      </c>
      <c r="J92" t="s">
        <v>1673</v>
      </c>
      <c r="K92" t="s">
        <v>74</v>
      </c>
      <c r="L92" t="s">
        <v>74</v>
      </c>
      <c r="M92" t="s">
        <v>78</v>
      </c>
      <c r="N92" t="s">
        <v>79</v>
      </c>
      <c r="O92" t="s">
        <v>74</v>
      </c>
      <c r="P92" t="s">
        <v>74</v>
      </c>
      <c r="Q92" t="s">
        <v>74</v>
      </c>
      <c r="R92" t="s">
        <v>74</v>
      </c>
      <c r="S92" t="s">
        <v>74</v>
      </c>
      <c r="T92" t="s">
        <v>1851</v>
      </c>
      <c r="U92" t="s">
        <v>1852</v>
      </c>
      <c r="V92" t="s">
        <v>1853</v>
      </c>
      <c r="W92" t="s">
        <v>1854</v>
      </c>
      <c r="X92" t="s">
        <v>1855</v>
      </c>
      <c r="Y92" t="s">
        <v>1856</v>
      </c>
      <c r="Z92" t="s">
        <v>1857</v>
      </c>
      <c r="AA92" t="s">
        <v>74</v>
      </c>
      <c r="AB92" t="s">
        <v>1858</v>
      </c>
      <c r="AC92" t="s">
        <v>1859</v>
      </c>
      <c r="AD92" t="s">
        <v>1859</v>
      </c>
      <c r="AE92" t="s">
        <v>1860</v>
      </c>
      <c r="AF92" t="s">
        <v>74</v>
      </c>
      <c r="AG92">
        <v>34</v>
      </c>
      <c r="AH92">
        <v>0</v>
      </c>
      <c r="AI92">
        <v>0</v>
      </c>
      <c r="AJ92">
        <v>0</v>
      </c>
      <c r="AK92">
        <v>0</v>
      </c>
      <c r="AL92" t="s">
        <v>1685</v>
      </c>
      <c r="AM92" t="s">
        <v>1686</v>
      </c>
      <c r="AN92" t="s">
        <v>1687</v>
      </c>
      <c r="AO92" t="s">
        <v>1688</v>
      </c>
      <c r="AP92" t="s">
        <v>1689</v>
      </c>
      <c r="AQ92" t="s">
        <v>74</v>
      </c>
      <c r="AR92" t="s">
        <v>1673</v>
      </c>
      <c r="AS92" t="s">
        <v>1690</v>
      </c>
      <c r="AT92" t="s">
        <v>1817</v>
      </c>
      <c r="AU92">
        <v>2023</v>
      </c>
      <c r="AV92">
        <v>5389</v>
      </c>
      <c r="AW92">
        <v>4</v>
      </c>
      <c r="AX92" t="s">
        <v>74</v>
      </c>
      <c r="AY92" t="s">
        <v>74</v>
      </c>
      <c r="AZ92" t="s">
        <v>74</v>
      </c>
      <c r="BA92" t="s">
        <v>74</v>
      </c>
      <c r="BB92">
        <v>473</v>
      </c>
      <c r="BC92">
        <v>482</v>
      </c>
      <c r="BD92" t="s">
        <v>74</v>
      </c>
      <c r="BE92" t="s">
        <v>1861</v>
      </c>
      <c r="BF92" t="str">
        <f>HYPERLINK("http://dx.doi.org/10.11646/zootaxa.5389.4.5","http://dx.doi.org/10.11646/zootaxa.5389.4.5")</f>
        <v>http://dx.doi.org/10.11646/zootaxa.5389.4.5</v>
      </c>
      <c r="BG92" t="s">
        <v>74</v>
      </c>
      <c r="BH92" t="s">
        <v>74</v>
      </c>
      <c r="BI92">
        <v>10</v>
      </c>
      <c r="BJ92" t="s">
        <v>1568</v>
      </c>
      <c r="BK92" t="s">
        <v>100</v>
      </c>
      <c r="BL92" t="s">
        <v>1568</v>
      </c>
      <c r="BM92" t="s">
        <v>1862</v>
      </c>
      <c r="BN92">
        <v>38221009</v>
      </c>
      <c r="BO92" t="s">
        <v>74</v>
      </c>
      <c r="BP92" t="s">
        <v>74</v>
      </c>
      <c r="BQ92" t="s">
        <v>74</v>
      </c>
      <c r="BR92" t="s">
        <v>104</v>
      </c>
      <c r="BS92" t="s">
        <v>1863</v>
      </c>
      <c r="BT92" t="str">
        <f>HYPERLINK("https%3A%2F%2Fwww.webofscience.com%2Fwos%2Fwoscc%2Ffull-record%2FWOS:001161554700005","View Full Record in Web of Science")</f>
        <v>View Full Record in Web of Science</v>
      </c>
    </row>
    <row r="93" spans="1:72" x14ac:dyDescent="0.15">
      <c r="A93" t="s">
        <v>72</v>
      </c>
      <c r="B93" t="s">
        <v>1864</v>
      </c>
      <c r="C93" t="s">
        <v>74</v>
      </c>
      <c r="D93" t="s">
        <v>74</v>
      </c>
      <c r="E93" t="s">
        <v>74</v>
      </c>
      <c r="F93" t="s">
        <v>1865</v>
      </c>
      <c r="G93" t="s">
        <v>74</v>
      </c>
      <c r="H93" t="s">
        <v>74</v>
      </c>
      <c r="I93" t="s">
        <v>1866</v>
      </c>
      <c r="J93" t="s">
        <v>1867</v>
      </c>
      <c r="K93" t="s">
        <v>74</v>
      </c>
      <c r="L93" t="s">
        <v>74</v>
      </c>
      <c r="M93" t="s">
        <v>78</v>
      </c>
      <c r="N93" t="s">
        <v>79</v>
      </c>
      <c r="O93" t="s">
        <v>74</v>
      </c>
      <c r="P93" t="s">
        <v>74</v>
      </c>
      <c r="Q93" t="s">
        <v>74</v>
      </c>
      <c r="R93" t="s">
        <v>74</v>
      </c>
      <c r="S93" t="s">
        <v>74</v>
      </c>
      <c r="T93" t="s">
        <v>1868</v>
      </c>
      <c r="U93" t="s">
        <v>1869</v>
      </c>
      <c r="V93" t="s">
        <v>1870</v>
      </c>
      <c r="W93" t="s">
        <v>1871</v>
      </c>
      <c r="X93" t="s">
        <v>1872</v>
      </c>
      <c r="Y93" t="s">
        <v>1873</v>
      </c>
      <c r="Z93" t="s">
        <v>1874</v>
      </c>
      <c r="AA93" t="s">
        <v>1875</v>
      </c>
      <c r="AB93" t="s">
        <v>1876</v>
      </c>
      <c r="AC93" t="s">
        <v>1877</v>
      </c>
      <c r="AD93" t="s">
        <v>1878</v>
      </c>
      <c r="AE93" t="s">
        <v>1879</v>
      </c>
      <c r="AF93" t="s">
        <v>74</v>
      </c>
      <c r="AG93">
        <v>20</v>
      </c>
      <c r="AH93">
        <v>0</v>
      </c>
      <c r="AI93">
        <v>0</v>
      </c>
      <c r="AJ93">
        <v>0</v>
      </c>
      <c r="AK93">
        <v>0</v>
      </c>
      <c r="AL93" t="s">
        <v>1880</v>
      </c>
      <c r="AM93" t="s">
        <v>1881</v>
      </c>
      <c r="AN93" t="s">
        <v>1882</v>
      </c>
      <c r="AO93" t="s">
        <v>1883</v>
      </c>
      <c r="AP93" t="s">
        <v>1884</v>
      </c>
      <c r="AQ93" t="s">
        <v>74</v>
      </c>
      <c r="AR93" t="s">
        <v>1867</v>
      </c>
      <c r="AS93" t="s">
        <v>1885</v>
      </c>
      <c r="AT93" t="s">
        <v>1817</v>
      </c>
      <c r="AU93">
        <v>2023</v>
      </c>
      <c r="AV93" t="s">
        <v>74</v>
      </c>
      <c r="AW93">
        <v>236</v>
      </c>
      <c r="AX93" t="s">
        <v>74</v>
      </c>
      <c r="AY93" t="s">
        <v>74</v>
      </c>
      <c r="AZ93" t="s">
        <v>74</v>
      </c>
      <c r="BA93" t="s">
        <v>74</v>
      </c>
      <c r="BB93">
        <v>197</v>
      </c>
      <c r="BC93">
        <v>213</v>
      </c>
      <c r="BD93" t="s">
        <v>74</v>
      </c>
      <c r="BE93" t="s">
        <v>1886</v>
      </c>
      <c r="BF93" t="str">
        <f>HYPERLINK("http://dx.doi.org/10.3897/phytokeys.236.111109","http://dx.doi.org/10.3897/phytokeys.236.111109")</f>
        <v>http://dx.doi.org/10.3897/phytokeys.236.111109</v>
      </c>
      <c r="BG93" t="s">
        <v>74</v>
      </c>
      <c r="BH93" t="s">
        <v>74</v>
      </c>
      <c r="BI93">
        <v>17</v>
      </c>
      <c r="BJ93" t="s">
        <v>1887</v>
      </c>
      <c r="BK93" t="s">
        <v>100</v>
      </c>
      <c r="BL93" t="s">
        <v>1887</v>
      </c>
      <c r="BM93" t="s">
        <v>1888</v>
      </c>
      <c r="BN93">
        <v>38162925</v>
      </c>
      <c r="BO93" t="s">
        <v>200</v>
      </c>
      <c r="BP93" t="s">
        <v>74</v>
      </c>
      <c r="BQ93" t="s">
        <v>74</v>
      </c>
      <c r="BR93" t="s">
        <v>104</v>
      </c>
      <c r="BS93" t="s">
        <v>1889</v>
      </c>
      <c r="BT93" t="str">
        <f>HYPERLINK("https%3A%2F%2Fwww.webofscience.com%2Fwos%2Fwoscc%2Ffull-record%2FWOS:001150124400001","View Full Record in Web of Science")</f>
        <v>View Full Record in Web of Science</v>
      </c>
    </row>
    <row r="94" spans="1:72" x14ac:dyDescent="0.15">
      <c r="A94" t="s">
        <v>72</v>
      </c>
      <c r="B94" t="s">
        <v>1890</v>
      </c>
      <c r="C94" t="s">
        <v>74</v>
      </c>
      <c r="D94" t="s">
        <v>74</v>
      </c>
      <c r="E94" t="s">
        <v>74</v>
      </c>
      <c r="F94" t="s">
        <v>1891</v>
      </c>
      <c r="G94" t="s">
        <v>74</v>
      </c>
      <c r="H94" t="s">
        <v>74</v>
      </c>
      <c r="I94" t="s">
        <v>1892</v>
      </c>
      <c r="J94" t="s">
        <v>1893</v>
      </c>
      <c r="K94" t="s">
        <v>74</v>
      </c>
      <c r="L94" t="s">
        <v>74</v>
      </c>
      <c r="M94" t="s">
        <v>78</v>
      </c>
      <c r="N94" t="s">
        <v>441</v>
      </c>
      <c r="O94" t="s">
        <v>74</v>
      </c>
      <c r="P94" t="s">
        <v>74</v>
      </c>
      <c r="Q94" t="s">
        <v>74</v>
      </c>
      <c r="R94" t="s">
        <v>74</v>
      </c>
      <c r="S94" t="s">
        <v>74</v>
      </c>
      <c r="T94" t="s">
        <v>1894</v>
      </c>
      <c r="U94" t="s">
        <v>1895</v>
      </c>
      <c r="V94" t="s">
        <v>1896</v>
      </c>
      <c r="W94" t="s">
        <v>1897</v>
      </c>
      <c r="X94" t="s">
        <v>1898</v>
      </c>
      <c r="Y94" t="s">
        <v>1899</v>
      </c>
      <c r="Z94" t="s">
        <v>1900</v>
      </c>
      <c r="AA94" t="s">
        <v>74</v>
      </c>
      <c r="AB94" t="s">
        <v>74</v>
      </c>
      <c r="AC94" t="s">
        <v>1901</v>
      </c>
      <c r="AD94" t="s">
        <v>1902</v>
      </c>
      <c r="AE94" t="s">
        <v>1903</v>
      </c>
      <c r="AF94" t="s">
        <v>74</v>
      </c>
      <c r="AG94">
        <v>302</v>
      </c>
      <c r="AH94">
        <v>0</v>
      </c>
      <c r="AI94">
        <v>0</v>
      </c>
      <c r="AJ94">
        <v>1</v>
      </c>
      <c r="AK94">
        <v>1</v>
      </c>
      <c r="AL94" t="s">
        <v>947</v>
      </c>
      <c r="AM94" t="s">
        <v>948</v>
      </c>
      <c r="AN94" t="s">
        <v>949</v>
      </c>
      <c r="AO94" t="s">
        <v>1904</v>
      </c>
      <c r="AP94" t="s">
        <v>1905</v>
      </c>
      <c r="AQ94" t="s">
        <v>74</v>
      </c>
      <c r="AR94" t="s">
        <v>1906</v>
      </c>
      <c r="AS94" t="s">
        <v>1907</v>
      </c>
      <c r="AT94" t="s">
        <v>1133</v>
      </c>
      <c r="AU94">
        <v>2024</v>
      </c>
      <c r="AV94">
        <v>249</v>
      </c>
      <c r="AW94" t="s">
        <v>74</v>
      </c>
      <c r="AX94" t="s">
        <v>74</v>
      </c>
      <c r="AY94" t="s">
        <v>74</v>
      </c>
      <c r="AZ94" t="s">
        <v>74</v>
      </c>
      <c r="BA94" t="s">
        <v>74</v>
      </c>
      <c r="BB94" t="s">
        <v>74</v>
      </c>
      <c r="BC94" t="s">
        <v>74</v>
      </c>
      <c r="BD94">
        <v>104651</v>
      </c>
      <c r="BE94" t="s">
        <v>1908</v>
      </c>
      <c r="BF94" t="str">
        <f>HYPERLINK("http://dx.doi.org/10.1016/j.earscirev.2023.104651","http://dx.doi.org/10.1016/j.earscirev.2023.104651")</f>
        <v>http://dx.doi.org/10.1016/j.earscirev.2023.104651</v>
      </c>
      <c r="BG94" t="s">
        <v>74</v>
      </c>
      <c r="BH94" t="s">
        <v>98</v>
      </c>
      <c r="BI94">
        <v>38</v>
      </c>
      <c r="BJ94" t="s">
        <v>535</v>
      </c>
      <c r="BK94" t="s">
        <v>100</v>
      </c>
      <c r="BL94" t="s">
        <v>536</v>
      </c>
      <c r="BM94" t="s">
        <v>1909</v>
      </c>
      <c r="BN94" t="s">
        <v>74</v>
      </c>
      <c r="BO94" t="s">
        <v>74</v>
      </c>
      <c r="BP94" t="s">
        <v>74</v>
      </c>
      <c r="BQ94" t="s">
        <v>74</v>
      </c>
      <c r="BR94" t="s">
        <v>104</v>
      </c>
      <c r="BS94" t="s">
        <v>1910</v>
      </c>
      <c r="BT94" t="str">
        <f>HYPERLINK("https%3A%2F%2Fwww.webofscience.com%2Fwos%2Fwoscc%2Ffull-record%2FWOS:001143478900001","View Full Record in Web of Science")</f>
        <v>View Full Record in Web of Science</v>
      </c>
    </row>
    <row r="95" spans="1:72" x14ac:dyDescent="0.15">
      <c r="A95" t="s">
        <v>72</v>
      </c>
      <c r="B95" t="s">
        <v>1911</v>
      </c>
      <c r="C95" t="s">
        <v>74</v>
      </c>
      <c r="D95" t="s">
        <v>74</v>
      </c>
      <c r="E95" t="s">
        <v>74</v>
      </c>
      <c r="F95" t="s">
        <v>1912</v>
      </c>
      <c r="G95" t="s">
        <v>74</v>
      </c>
      <c r="H95" t="s">
        <v>74</v>
      </c>
      <c r="I95" t="s">
        <v>1913</v>
      </c>
      <c r="J95" t="s">
        <v>1401</v>
      </c>
      <c r="K95" t="s">
        <v>74</v>
      </c>
      <c r="L95" t="s">
        <v>74</v>
      </c>
      <c r="M95" t="s">
        <v>78</v>
      </c>
      <c r="N95" t="s">
        <v>79</v>
      </c>
      <c r="O95" t="s">
        <v>74</v>
      </c>
      <c r="P95" t="s">
        <v>74</v>
      </c>
      <c r="Q95" t="s">
        <v>74</v>
      </c>
      <c r="R95" t="s">
        <v>74</v>
      </c>
      <c r="S95" t="s">
        <v>74</v>
      </c>
      <c r="T95" t="s">
        <v>1914</v>
      </c>
      <c r="U95" t="s">
        <v>1915</v>
      </c>
      <c r="V95" t="s">
        <v>1916</v>
      </c>
      <c r="W95" t="s">
        <v>1917</v>
      </c>
      <c r="X95" t="s">
        <v>1918</v>
      </c>
      <c r="Y95" t="s">
        <v>1919</v>
      </c>
      <c r="Z95" t="s">
        <v>1920</v>
      </c>
      <c r="AA95" t="s">
        <v>1921</v>
      </c>
      <c r="AB95" t="s">
        <v>1922</v>
      </c>
      <c r="AC95" t="s">
        <v>1923</v>
      </c>
      <c r="AD95" t="s">
        <v>1924</v>
      </c>
      <c r="AE95" t="s">
        <v>1925</v>
      </c>
      <c r="AF95" t="s">
        <v>74</v>
      </c>
      <c r="AG95">
        <v>55</v>
      </c>
      <c r="AH95">
        <v>0</v>
      </c>
      <c r="AI95">
        <v>0</v>
      </c>
      <c r="AJ95">
        <v>1</v>
      </c>
      <c r="AK95">
        <v>1</v>
      </c>
      <c r="AL95" t="s">
        <v>89</v>
      </c>
      <c r="AM95" t="s">
        <v>90</v>
      </c>
      <c r="AN95" t="s">
        <v>91</v>
      </c>
      <c r="AO95" t="s">
        <v>1412</v>
      </c>
      <c r="AP95" t="s">
        <v>1413</v>
      </c>
      <c r="AQ95" t="s">
        <v>74</v>
      </c>
      <c r="AR95" t="s">
        <v>1414</v>
      </c>
      <c r="AS95" t="s">
        <v>1415</v>
      </c>
      <c r="AT95" t="s">
        <v>1133</v>
      </c>
      <c r="AU95">
        <v>2024</v>
      </c>
      <c r="AV95">
        <v>187</v>
      </c>
      <c r="AW95" t="s">
        <v>74</v>
      </c>
      <c r="AX95" t="s">
        <v>74</v>
      </c>
      <c r="AY95" t="s">
        <v>74</v>
      </c>
      <c r="AZ95" t="s">
        <v>74</v>
      </c>
      <c r="BA95" t="s">
        <v>74</v>
      </c>
      <c r="BB95" t="s">
        <v>74</v>
      </c>
      <c r="BC95" t="s">
        <v>74</v>
      </c>
      <c r="BD95">
        <v>102308</v>
      </c>
      <c r="BE95" t="s">
        <v>1926</v>
      </c>
      <c r="BF95" t="str">
        <f>HYPERLINK("http://dx.doi.org/10.1016/j.ocemod.2023.102308","http://dx.doi.org/10.1016/j.ocemod.2023.102308")</f>
        <v>http://dx.doi.org/10.1016/j.ocemod.2023.102308</v>
      </c>
      <c r="BG95" t="s">
        <v>74</v>
      </c>
      <c r="BH95" t="s">
        <v>98</v>
      </c>
      <c r="BI95">
        <v>11</v>
      </c>
      <c r="BJ95" t="s">
        <v>1417</v>
      </c>
      <c r="BK95" t="s">
        <v>100</v>
      </c>
      <c r="BL95" t="s">
        <v>1417</v>
      </c>
      <c r="BM95" t="s">
        <v>1927</v>
      </c>
      <c r="BN95" t="s">
        <v>74</v>
      </c>
      <c r="BO95" t="s">
        <v>103</v>
      </c>
      <c r="BP95" t="s">
        <v>74</v>
      </c>
      <c r="BQ95" t="s">
        <v>74</v>
      </c>
      <c r="BR95" t="s">
        <v>104</v>
      </c>
      <c r="BS95" t="s">
        <v>1928</v>
      </c>
      <c r="BT95" t="str">
        <f>HYPERLINK("https%3A%2F%2Fwww.webofscience.com%2Fwos%2Fwoscc%2Ffull-record%2FWOS:001142937500001","View Full Record in Web of Science")</f>
        <v>View Full Record in Web of Science</v>
      </c>
    </row>
    <row r="96" spans="1:72" x14ac:dyDescent="0.15">
      <c r="A96" t="s">
        <v>72</v>
      </c>
      <c r="B96" t="s">
        <v>1929</v>
      </c>
      <c r="C96" t="s">
        <v>74</v>
      </c>
      <c r="D96" t="s">
        <v>74</v>
      </c>
      <c r="E96" t="s">
        <v>74</v>
      </c>
      <c r="F96" t="s">
        <v>1930</v>
      </c>
      <c r="G96" t="s">
        <v>74</v>
      </c>
      <c r="H96" t="s">
        <v>74</v>
      </c>
      <c r="I96" t="s">
        <v>1931</v>
      </c>
      <c r="J96" t="s">
        <v>1932</v>
      </c>
      <c r="K96" t="s">
        <v>74</v>
      </c>
      <c r="L96" t="s">
        <v>74</v>
      </c>
      <c r="M96" t="s">
        <v>78</v>
      </c>
      <c r="N96" t="s">
        <v>79</v>
      </c>
      <c r="O96" t="s">
        <v>74</v>
      </c>
      <c r="P96" t="s">
        <v>74</v>
      </c>
      <c r="Q96" t="s">
        <v>74</v>
      </c>
      <c r="R96" t="s">
        <v>74</v>
      </c>
      <c r="S96" t="s">
        <v>74</v>
      </c>
      <c r="T96" t="s">
        <v>1933</v>
      </c>
      <c r="U96" t="s">
        <v>1934</v>
      </c>
      <c r="V96" t="s">
        <v>1935</v>
      </c>
      <c r="W96" t="s">
        <v>1936</v>
      </c>
      <c r="X96" t="s">
        <v>1937</v>
      </c>
      <c r="Y96" t="s">
        <v>1938</v>
      </c>
      <c r="Z96" t="s">
        <v>1939</v>
      </c>
      <c r="AA96" t="s">
        <v>74</v>
      </c>
      <c r="AB96" t="s">
        <v>74</v>
      </c>
      <c r="AC96" t="s">
        <v>1940</v>
      </c>
      <c r="AD96" t="s">
        <v>1941</v>
      </c>
      <c r="AE96" t="s">
        <v>1942</v>
      </c>
      <c r="AF96" t="s">
        <v>74</v>
      </c>
      <c r="AG96">
        <v>43</v>
      </c>
      <c r="AH96">
        <v>1</v>
      </c>
      <c r="AI96">
        <v>1</v>
      </c>
      <c r="AJ96">
        <v>0</v>
      </c>
      <c r="AK96">
        <v>0</v>
      </c>
      <c r="AL96" t="s">
        <v>947</v>
      </c>
      <c r="AM96" t="s">
        <v>948</v>
      </c>
      <c r="AN96" t="s">
        <v>949</v>
      </c>
      <c r="AO96" t="s">
        <v>1943</v>
      </c>
      <c r="AP96" t="s">
        <v>1944</v>
      </c>
      <c r="AQ96" t="s">
        <v>74</v>
      </c>
      <c r="AR96" t="s">
        <v>1945</v>
      </c>
      <c r="AS96" t="s">
        <v>1946</v>
      </c>
      <c r="AT96" t="s">
        <v>1947</v>
      </c>
      <c r="AU96">
        <v>2023</v>
      </c>
      <c r="AV96">
        <v>38</v>
      </c>
      <c r="AW96" t="s">
        <v>74</v>
      </c>
      <c r="AX96" t="s">
        <v>74</v>
      </c>
      <c r="AY96" t="s">
        <v>74</v>
      </c>
      <c r="AZ96" t="s">
        <v>74</v>
      </c>
      <c r="BA96" t="s">
        <v>74</v>
      </c>
      <c r="BB96" t="s">
        <v>74</v>
      </c>
      <c r="BC96" t="s">
        <v>74</v>
      </c>
      <c r="BD96">
        <v>101013</v>
      </c>
      <c r="BE96" t="s">
        <v>1948</v>
      </c>
      <c r="BF96" t="str">
        <f>HYPERLINK("http://dx.doi.org/10.1016/j.polar.2023.101013","http://dx.doi.org/10.1016/j.polar.2023.101013")</f>
        <v>http://dx.doi.org/10.1016/j.polar.2023.101013</v>
      </c>
      <c r="BG96" t="s">
        <v>74</v>
      </c>
      <c r="BH96" t="s">
        <v>98</v>
      </c>
      <c r="BI96">
        <v>11</v>
      </c>
      <c r="BJ96" t="s">
        <v>1949</v>
      </c>
      <c r="BK96" t="s">
        <v>100</v>
      </c>
      <c r="BL96" t="s">
        <v>1950</v>
      </c>
      <c r="BM96" t="s">
        <v>1951</v>
      </c>
      <c r="BN96" t="s">
        <v>74</v>
      </c>
      <c r="BO96" t="s">
        <v>74</v>
      </c>
      <c r="BP96" t="s">
        <v>74</v>
      </c>
      <c r="BQ96" t="s">
        <v>74</v>
      </c>
      <c r="BR96" t="s">
        <v>104</v>
      </c>
      <c r="BS96" t="s">
        <v>1952</v>
      </c>
      <c r="BT96" t="str">
        <f>HYPERLINK("https%3A%2F%2Fwww.webofscience.com%2Fwos%2Fwoscc%2Ffull-record%2FWOS:001143227000001","View Full Record in Web of Science")</f>
        <v>View Full Record in Web of Science</v>
      </c>
    </row>
    <row r="97" spans="1:72" x14ac:dyDescent="0.15">
      <c r="A97" t="s">
        <v>72</v>
      </c>
      <c r="B97" t="s">
        <v>1953</v>
      </c>
      <c r="C97" t="s">
        <v>74</v>
      </c>
      <c r="D97" t="s">
        <v>74</v>
      </c>
      <c r="E97" t="s">
        <v>74</v>
      </c>
      <c r="F97" t="s">
        <v>1954</v>
      </c>
      <c r="G97" t="s">
        <v>74</v>
      </c>
      <c r="H97" t="s">
        <v>74</v>
      </c>
      <c r="I97" t="s">
        <v>1955</v>
      </c>
      <c r="J97" t="s">
        <v>1956</v>
      </c>
      <c r="K97" t="s">
        <v>74</v>
      </c>
      <c r="L97" t="s">
        <v>74</v>
      </c>
      <c r="M97" t="s">
        <v>78</v>
      </c>
      <c r="N97" t="s">
        <v>79</v>
      </c>
      <c r="O97" t="s">
        <v>74</v>
      </c>
      <c r="P97" t="s">
        <v>74</v>
      </c>
      <c r="Q97" t="s">
        <v>74</v>
      </c>
      <c r="R97" t="s">
        <v>74</v>
      </c>
      <c r="S97" t="s">
        <v>74</v>
      </c>
      <c r="T97" t="s">
        <v>1957</v>
      </c>
      <c r="U97" t="s">
        <v>1958</v>
      </c>
      <c r="V97" t="s">
        <v>1959</v>
      </c>
      <c r="W97" t="s">
        <v>1960</v>
      </c>
      <c r="X97" t="s">
        <v>1961</v>
      </c>
      <c r="Y97" t="s">
        <v>1962</v>
      </c>
      <c r="Z97" t="s">
        <v>1963</v>
      </c>
      <c r="AA97" t="s">
        <v>1964</v>
      </c>
      <c r="AB97" t="s">
        <v>1965</v>
      </c>
      <c r="AC97" t="s">
        <v>1966</v>
      </c>
      <c r="AD97" t="s">
        <v>1967</v>
      </c>
      <c r="AE97" t="s">
        <v>1968</v>
      </c>
      <c r="AF97" t="s">
        <v>74</v>
      </c>
      <c r="AG97">
        <v>73</v>
      </c>
      <c r="AH97">
        <v>0</v>
      </c>
      <c r="AI97">
        <v>0</v>
      </c>
      <c r="AJ97">
        <v>7</v>
      </c>
      <c r="AK97">
        <v>7</v>
      </c>
      <c r="AL97" t="s">
        <v>89</v>
      </c>
      <c r="AM97" t="s">
        <v>90</v>
      </c>
      <c r="AN97" t="s">
        <v>91</v>
      </c>
      <c r="AO97" t="s">
        <v>1969</v>
      </c>
      <c r="AP97" t="s">
        <v>1970</v>
      </c>
      <c r="AQ97" t="s">
        <v>74</v>
      </c>
      <c r="AR97" t="s">
        <v>1971</v>
      </c>
      <c r="AS97" t="s">
        <v>1972</v>
      </c>
      <c r="AT97" t="s">
        <v>1973</v>
      </c>
      <c r="AU97">
        <v>2024</v>
      </c>
      <c r="AV97">
        <v>343</v>
      </c>
      <c r="AW97" t="s">
        <v>74</v>
      </c>
      <c r="AX97" t="s">
        <v>74</v>
      </c>
      <c r="AY97" t="s">
        <v>74</v>
      </c>
      <c r="AZ97" t="s">
        <v>74</v>
      </c>
      <c r="BA97" t="s">
        <v>74</v>
      </c>
      <c r="BB97" t="s">
        <v>74</v>
      </c>
      <c r="BC97" t="s">
        <v>74</v>
      </c>
      <c r="BD97">
        <v>123110</v>
      </c>
      <c r="BE97" t="s">
        <v>1974</v>
      </c>
      <c r="BF97" t="str">
        <f>HYPERLINK("http://dx.doi.org/10.1016/j.envpol.2023.123110","http://dx.doi.org/10.1016/j.envpol.2023.123110")</f>
        <v>http://dx.doi.org/10.1016/j.envpol.2023.123110</v>
      </c>
      <c r="BG97" t="s">
        <v>74</v>
      </c>
      <c r="BH97" t="s">
        <v>98</v>
      </c>
      <c r="BI97">
        <v>11</v>
      </c>
      <c r="BJ97" t="s">
        <v>1010</v>
      </c>
      <c r="BK97" t="s">
        <v>100</v>
      </c>
      <c r="BL97" t="s">
        <v>1011</v>
      </c>
      <c r="BM97" t="s">
        <v>1975</v>
      </c>
      <c r="BN97">
        <v>38086506</v>
      </c>
      <c r="BO97" t="s">
        <v>74</v>
      </c>
      <c r="BP97" t="s">
        <v>74</v>
      </c>
      <c r="BQ97" t="s">
        <v>74</v>
      </c>
      <c r="BR97" t="s">
        <v>104</v>
      </c>
      <c r="BS97" t="s">
        <v>1976</v>
      </c>
      <c r="BT97" t="str">
        <f>HYPERLINK("https%3A%2F%2Fwww.webofscience.com%2Fwos%2Fwoscc%2Ffull-record%2FWOS:001145039300001","View Full Record in Web of Science")</f>
        <v>View Full Record in Web of Science</v>
      </c>
    </row>
    <row r="98" spans="1:72" x14ac:dyDescent="0.15">
      <c r="A98" t="s">
        <v>72</v>
      </c>
      <c r="B98" t="s">
        <v>1977</v>
      </c>
      <c r="C98" t="s">
        <v>74</v>
      </c>
      <c r="D98" t="s">
        <v>74</v>
      </c>
      <c r="E98" t="s">
        <v>74</v>
      </c>
      <c r="F98" t="s">
        <v>1978</v>
      </c>
      <c r="G98" t="s">
        <v>74</v>
      </c>
      <c r="H98" t="s">
        <v>74</v>
      </c>
      <c r="I98" t="s">
        <v>1979</v>
      </c>
      <c r="J98" t="s">
        <v>1932</v>
      </c>
      <c r="K98" t="s">
        <v>74</v>
      </c>
      <c r="L98" t="s">
        <v>74</v>
      </c>
      <c r="M98" t="s">
        <v>78</v>
      </c>
      <c r="N98" t="s">
        <v>79</v>
      </c>
      <c r="O98" t="s">
        <v>74</v>
      </c>
      <c r="P98" t="s">
        <v>74</v>
      </c>
      <c r="Q98" t="s">
        <v>74</v>
      </c>
      <c r="R98" t="s">
        <v>74</v>
      </c>
      <c r="S98" t="s">
        <v>74</v>
      </c>
      <c r="T98" t="s">
        <v>1980</v>
      </c>
      <c r="U98" t="s">
        <v>1981</v>
      </c>
      <c r="V98" t="s">
        <v>1982</v>
      </c>
      <c r="W98" t="s">
        <v>1983</v>
      </c>
      <c r="X98" t="s">
        <v>1984</v>
      </c>
      <c r="Y98" t="s">
        <v>1985</v>
      </c>
      <c r="Z98" t="s">
        <v>1986</v>
      </c>
      <c r="AA98" t="s">
        <v>74</v>
      </c>
      <c r="AB98" t="s">
        <v>74</v>
      </c>
      <c r="AC98" t="s">
        <v>1987</v>
      </c>
      <c r="AD98" t="s">
        <v>1988</v>
      </c>
      <c r="AE98" t="s">
        <v>1989</v>
      </c>
      <c r="AF98" t="s">
        <v>74</v>
      </c>
      <c r="AG98">
        <v>32</v>
      </c>
      <c r="AH98">
        <v>0</v>
      </c>
      <c r="AI98">
        <v>0</v>
      </c>
      <c r="AJ98">
        <v>0</v>
      </c>
      <c r="AK98">
        <v>0</v>
      </c>
      <c r="AL98" t="s">
        <v>947</v>
      </c>
      <c r="AM98" t="s">
        <v>948</v>
      </c>
      <c r="AN98" t="s">
        <v>949</v>
      </c>
      <c r="AO98" t="s">
        <v>1943</v>
      </c>
      <c r="AP98" t="s">
        <v>1944</v>
      </c>
      <c r="AQ98" t="s">
        <v>74</v>
      </c>
      <c r="AR98" t="s">
        <v>1945</v>
      </c>
      <c r="AS98" t="s">
        <v>1946</v>
      </c>
      <c r="AT98" t="s">
        <v>1947</v>
      </c>
      <c r="AU98">
        <v>2023</v>
      </c>
      <c r="AV98">
        <v>38</v>
      </c>
      <c r="AW98" t="s">
        <v>74</v>
      </c>
      <c r="AX98" t="s">
        <v>74</v>
      </c>
      <c r="AY98" t="s">
        <v>74</v>
      </c>
      <c r="AZ98" t="s">
        <v>74</v>
      </c>
      <c r="BA98" t="s">
        <v>74</v>
      </c>
      <c r="BB98" t="s">
        <v>74</v>
      </c>
      <c r="BC98" t="s">
        <v>74</v>
      </c>
      <c r="BD98">
        <v>101009</v>
      </c>
      <c r="BE98" t="s">
        <v>1990</v>
      </c>
      <c r="BF98" t="str">
        <f>HYPERLINK("http://dx.doi.org/10.1016/j.polar.2023.101009","http://dx.doi.org/10.1016/j.polar.2023.101009")</f>
        <v>http://dx.doi.org/10.1016/j.polar.2023.101009</v>
      </c>
      <c r="BG98" t="s">
        <v>74</v>
      </c>
      <c r="BH98" t="s">
        <v>98</v>
      </c>
      <c r="BI98">
        <v>9</v>
      </c>
      <c r="BJ98" t="s">
        <v>1949</v>
      </c>
      <c r="BK98" t="s">
        <v>100</v>
      </c>
      <c r="BL98" t="s">
        <v>1950</v>
      </c>
      <c r="BM98" t="s">
        <v>1991</v>
      </c>
      <c r="BN98" t="s">
        <v>74</v>
      </c>
      <c r="BO98" t="s">
        <v>1794</v>
      </c>
      <c r="BP98" t="s">
        <v>74</v>
      </c>
      <c r="BQ98" t="s">
        <v>74</v>
      </c>
      <c r="BR98" t="s">
        <v>104</v>
      </c>
      <c r="BS98" t="s">
        <v>1992</v>
      </c>
      <c r="BT98" t="str">
        <f>HYPERLINK("https%3A%2F%2Fwww.webofscience.com%2Fwos%2Fwoscc%2Ffull-record%2FWOS:001142474900001","View Full Record in Web of Science")</f>
        <v>View Full Record in Web of Science</v>
      </c>
    </row>
    <row r="99" spans="1:72" x14ac:dyDescent="0.15">
      <c r="A99" t="s">
        <v>72</v>
      </c>
      <c r="B99" t="s">
        <v>1993</v>
      </c>
      <c r="C99" t="s">
        <v>74</v>
      </c>
      <c r="D99" t="s">
        <v>74</v>
      </c>
      <c r="E99" t="s">
        <v>74</v>
      </c>
      <c r="F99" t="s">
        <v>1994</v>
      </c>
      <c r="G99" t="s">
        <v>74</v>
      </c>
      <c r="H99" t="s">
        <v>74</v>
      </c>
      <c r="I99" t="s">
        <v>1995</v>
      </c>
      <c r="J99" t="s">
        <v>1932</v>
      </c>
      <c r="K99" t="s">
        <v>74</v>
      </c>
      <c r="L99" t="s">
        <v>74</v>
      </c>
      <c r="M99" t="s">
        <v>78</v>
      </c>
      <c r="N99" t="s">
        <v>79</v>
      </c>
      <c r="O99" t="s">
        <v>74</v>
      </c>
      <c r="P99" t="s">
        <v>74</v>
      </c>
      <c r="Q99" t="s">
        <v>74</v>
      </c>
      <c r="R99" t="s">
        <v>74</v>
      </c>
      <c r="S99" t="s">
        <v>74</v>
      </c>
      <c r="T99" t="s">
        <v>1996</v>
      </c>
      <c r="U99" t="s">
        <v>1997</v>
      </c>
      <c r="V99" t="s">
        <v>1998</v>
      </c>
      <c r="W99" t="s">
        <v>1999</v>
      </c>
      <c r="X99" t="s">
        <v>2000</v>
      </c>
      <c r="Y99" t="s">
        <v>2001</v>
      </c>
      <c r="Z99" t="s">
        <v>2002</v>
      </c>
      <c r="AA99" t="s">
        <v>74</v>
      </c>
      <c r="AB99" t="s">
        <v>74</v>
      </c>
      <c r="AC99" t="s">
        <v>74</v>
      </c>
      <c r="AD99" t="s">
        <v>74</v>
      </c>
      <c r="AE99" t="s">
        <v>74</v>
      </c>
      <c r="AF99" t="s">
        <v>74</v>
      </c>
      <c r="AG99">
        <v>48</v>
      </c>
      <c r="AH99">
        <v>0</v>
      </c>
      <c r="AI99">
        <v>0</v>
      </c>
      <c r="AJ99">
        <v>1</v>
      </c>
      <c r="AK99">
        <v>1</v>
      </c>
      <c r="AL99" t="s">
        <v>947</v>
      </c>
      <c r="AM99" t="s">
        <v>948</v>
      </c>
      <c r="AN99" t="s">
        <v>949</v>
      </c>
      <c r="AO99" t="s">
        <v>1943</v>
      </c>
      <c r="AP99" t="s">
        <v>1944</v>
      </c>
      <c r="AQ99" t="s">
        <v>74</v>
      </c>
      <c r="AR99" t="s">
        <v>1945</v>
      </c>
      <c r="AS99" t="s">
        <v>1946</v>
      </c>
      <c r="AT99" t="s">
        <v>1947</v>
      </c>
      <c r="AU99">
        <v>2023</v>
      </c>
      <c r="AV99">
        <v>38</v>
      </c>
      <c r="AW99" t="s">
        <v>74</v>
      </c>
      <c r="AX99" t="s">
        <v>74</v>
      </c>
      <c r="AY99" t="s">
        <v>74</v>
      </c>
      <c r="AZ99" t="s">
        <v>74</v>
      </c>
      <c r="BA99" t="s">
        <v>74</v>
      </c>
      <c r="BB99" t="s">
        <v>74</v>
      </c>
      <c r="BC99" t="s">
        <v>74</v>
      </c>
      <c r="BD99">
        <v>100969</v>
      </c>
      <c r="BE99" t="s">
        <v>2003</v>
      </c>
      <c r="BF99" t="str">
        <f>HYPERLINK("http://dx.doi.org/10.1016/j.polar.2023.100969","http://dx.doi.org/10.1016/j.polar.2023.100969")</f>
        <v>http://dx.doi.org/10.1016/j.polar.2023.100969</v>
      </c>
      <c r="BG99" t="s">
        <v>74</v>
      </c>
      <c r="BH99" t="s">
        <v>98</v>
      </c>
      <c r="BI99">
        <v>14</v>
      </c>
      <c r="BJ99" t="s">
        <v>1949</v>
      </c>
      <c r="BK99" t="s">
        <v>100</v>
      </c>
      <c r="BL99" t="s">
        <v>1950</v>
      </c>
      <c r="BM99" t="s">
        <v>2004</v>
      </c>
      <c r="BN99" t="s">
        <v>74</v>
      </c>
      <c r="BO99" t="s">
        <v>1794</v>
      </c>
      <c r="BP99" t="s">
        <v>74</v>
      </c>
      <c r="BQ99" t="s">
        <v>74</v>
      </c>
      <c r="BR99" t="s">
        <v>104</v>
      </c>
      <c r="BS99" t="s">
        <v>2005</v>
      </c>
      <c r="BT99" t="str">
        <f>HYPERLINK("https%3A%2F%2Fwww.webofscience.com%2Fwos%2Fwoscc%2Ffull-record%2FWOS:001142742600001","View Full Record in Web of Science")</f>
        <v>View Full Record in Web of Science</v>
      </c>
    </row>
    <row r="100" spans="1:72" x14ac:dyDescent="0.15">
      <c r="A100" t="s">
        <v>72</v>
      </c>
      <c r="B100" t="s">
        <v>2006</v>
      </c>
      <c r="C100" t="s">
        <v>74</v>
      </c>
      <c r="D100" t="s">
        <v>74</v>
      </c>
      <c r="E100" t="s">
        <v>74</v>
      </c>
      <c r="F100" t="s">
        <v>2007</v>
      </c>
      <c r="G100" t="s">
        <v>74</v>
      </c>
      <c r="H100" t="s">
        <v>74</v>
      </c>
      <c r="I100" t="s">
        <v>2008</v>
      </c>
      <c r="J100" t="s">
        <v>1932</v>
      </c>
      <c r="K100" t="s">
        <v>74</v>
      </c>
      <c r="L100" t="s">
        <v>74</v>
      </c>
      <c r="M100" t="s">
        <v>78</v>
      </c>
      <c r="N100" t="s">
        <v>79</v>
      </c>
      <c r="O100" t="s">
        <v>74</v>
      </c>
      <c r="P100" t="s">
        <v>74</v>
      </c>
      <c r="Q100" t="s">
        <v>74</v>
      </c>
      <c r="R100" t="s">
        <v>74</v>
      </c>
      <c r="S100" t="s">
        <v>74</v>
      </c>
      <c r="T100" t="s">
        <v>2009</v>
      </c>
      <c r="U100" t="s">
        <v>2010</v>
      </c>
      <c r="V100" t="s">
        <v>2011</v>
      </c>
      <c r="W100" t="s">
        <v>2012</v>
      </c>
      <c r="X100" t="s">
        <v>2013</v>
      </c>
      <c r="Y100" t="s">
        <v>2014</v>
      </c>
      <c r="Z100" t="s">
        <v>2015</v>
      </c>
      <c r="AA100" t="s">
        <v>2016</v>
      </c>
      <c r="AB100" t="s">
        <v>2017</v>
      </c>
      <c r="AC100" t="s">
        <v>74</v>
      </c>
      <c r="AD100" t="s">
        <v>74</v>
      </c>
      <c r="AE100" t="s">
        <v>74</v>
      </c>
      <c r="AF100" t="s">
        <v>74</v>
      </c>
      <c r="AG100">
        <v>61</v>
      </c>
      <c r="AH100">
        <v>0</v>
      </c>
      <c r="AI100">
        <v>0</v>
      </c>
      <c r="AJ100">
        <v>1</v>
      </c>
      <c r="AK100">
        <v>1</v>
      </c>
      <c r="AL100" t="s">
        <v>947</v>
      </c>
      <c r="AM100" t="s">
        <v>948</v>
      </c>
      <c r="AN100" t="s">
        <v>949</v>
      </c>
      <c r="AO100" t="s">
        <v>1943</v>
      </c>
      <c r="AP100" t="s">
        <v>1944</v>
      </c>
      <c r="AQ100" t="s">
        <v>74</v>
      </c>
      <c r="AR100" t="s">
        <v>1945</v>
      </c>
      <c r="AS100" t="s">
        <v>1946</v>
      </c>
      <c r="AT100" t="s">
        <v>1947</v>
      </c>
      <c r="AU100">
        <v>2023</v>
      </c>
      <c r="AV100">
        <v>38</v>
      </c>
      <c r="AW100" t="s">
        <v>74</v>
      </c>
      <c r="AX100" t="s">
        <v>74</v>
      </c>
      <c r="AY100" t="s">
        <v>74</v>
      </c>
      <c r="AZ100" t="s">
        <v>74</v>
      </c>
      <c r="BA100" t="s">
        <v>74</v>
      </c>
      <c r="BB100" t="s">
        <v>74</v>
      </c>
      <c r="BC100" t="s">
        <v>74</v>
      </c>
      <c r="BD100">
        <v>101010</v>
      </c>
      <c r="BE100" t="s">
        <v>2018</v>
      </c>
      <c r="BF100" t="str">
        <f>HYPERLINK("http://dx.doi.org/10.1016/j.polar.2023.101010","http://dx.doi.org/10.1016/j.polar.2023.101010")</f>
        <v>http://dx.doi.org/10.1016/j.polar.2023.101010</v>
      </c>
      <c r="BG100" t="s">
        <v>74</v>
      </c>
      <c r="BH100" t="s">
        <v>98</v>
      </c>
      <c r="BI100">
        <v>11</v>
      </c>
      <c r="BJ100" t="s">
        <v>1949</v>
      </c>
      <c r="BK100" t="s">
        <v>100</v>
      </c>
      <c r="BL100" t="s">
        <v>1950</v>
      </c>
      <c r="BM100" t="s">
        <v>2019</v>
      </c>
      <c r="BN100" t="s">
        <v>74</v>
      </c>
      <c r="BO100" t="s">
        <v>74</v>
      </c>
      <c r="BP100" t="s">
        <v>74</v>
      </c>
      <c r="BQ100" t="s">
        <v>74</v>
      </c>
      <c r="BR100" t="s">
        <v>104</v>
      </c>
      <c r="BS100" t="s">
        <v>2020</v>
      </c>
      <c r="BT100" t="str">
        <f>HYPERLINK("https%3A%2F%2Fwww.webofscience.com%2Fwos%2Fwoscc%2Ffull-record%2FWOS:001142633700001","View Full Record in Web of Science")</f>
        <v>View Full Record in Web of Science</v>
      </c>
    </row>
    <row r="101" spans="1:72" x14ac:dyDescent="0.15">
      <c r="A101" t="s">
        <v>72</v>
      </c>
      <c r="B101" t="s">
        <v>2021</v>
      </c>
      <c r="C101" t="s">
        <v>74</v>
      </c>
      <c r="D101" t="s">
        <v>74</v>
      </c>
      <c r="E101" t="s">
        <v>74</v>
      </c>
      <c r="F101" t="s">
        <v>2022</v>
      </c>
      <c r="G101" t="s">
        <v>74</v>
      </c>
      <c r="H101" t="s">
        <v>74</v>
      </c>
      <c r="I101" t="s">
        <v>2023</v>
      </c>
      <c r="J101" t="s">
        <v>1932</v>
      </c>
      <c r="K101" t="s">
        <v>74</v>
      </c>
      <c r="L101" t="s">
        <v>74</v>
      </c>
      <c r="M101" t="s">
        <v>78</v>
      </c>
      <c r="N101" t="s">
        <v>79</v>
      </c>
      <c r="O101" t="s">
        <v>74</v>
      </c>
      <c r="P101" t="s">
        <v>74</v>
      </c>
      <c r="Q101" t="s">
        <v>74</v>
      </c>
      <c r="R101" t="s">
        <v>74</v>
      </c>
      <c r="S101" t="s">
        <v>74</v>
      </c>
      <c r="T101" t="s">
        <v>2024</v>
      </c>
      <c r="U101" t="s">
        <v>2025</v>
      </c>
      <c r="V101" t="s">
        <v>2026</v>
      </c>
      <c r="W101" t="s">
        <v>2027</v>
      </c>
      <c r="X101" t="s">
        <v>2028</v>
      </c>
      <c r="Y101" t="s">
        <v>2029</v>
      </c>
      <c r="Z101" t="s">
        <v>2030</v>
      </c>
      <c r="AA101" t="s">
        <v>2031</v>
      </c>
      <c r="AB101" t="s">
        <v>2032</v>
      </c>
      <c r="AC101" t="s">
        <v>2033</v>
      </c>
      <c r="AD101" t="s">
        <v>2033</v>
      </c>
      <c r="AE101" t="s">
        <v>2034</v>
      </c>
      <c r="AF101" t="s">
        <v>74</v>
      </c>
      <c r="AG101">
        <v>95</v>
      </c>
      <c r="AH101">
        <v>1</v>
      </c>
      <c r="AI101">
        <v>1</v>
      </c>
      <c r="AJ101">
        <v>3</v>
      </c>
      <c r="AK101">
        <v>3</v>
      </c>
      <c r="AL101" t="s">
        <v>947</v>
      </c>
      <c r="AM101" t="s">
        <v>948</v>
      </c>
      <c r="AN101" t="s">
        <v>949</v>
      </c>
      <c r="AO101" t="s">
        <v>1943</v>
      </c>
      <c r="AP101" t="s">
        <v>1944</v>
      </c>
      <c r="AQ101" t="s">
        <v>74</v>
      </c>
      <c r="AR101" t="s">
        <v>1945</v>
      </c>
      <c r="AS101" t="s">
        <v>1946</v>
      </c>
      <c r="AT101" t="s">
        <v>1947</v>
      </c>
      <c r="AU101">
        <v>2023</v>
      </c>
      <c r="AV101">
        <v>38</v>
      </c>
      <c r="AW101" t="s">
        <v>74</v>
      </c>
      <c r="AX101" t="s">
        <v>74</v>
      </c>
      <c r="AY101" t="s">
        <v>74</v>
      </c>
      <c r="AZ101" t="s">
        <v>74</v>
      </c>
      <c r="BA101" t="s">
        <v>74</v>
      </c>
      <c r="BB101" t="s">
        <v>74</v>
      </c>
      <c r="BC101" t="s">
        <v>74</v>
      </c>
      <c r="BD101">
        <v>101004</v>
      </c>
      <c r="BE101" t="s">
        <v>2035</v>
      </c>
      <c r="BF101" t="str">
        <f>HYPERLINK("http://dx.doi.org/10.1016/j.polar.2023.101004","http://dx.doi.org/10.1016/j.polar.2023.101004")</f>
        <v>http://dx.doi.org/10.1016/j.polar.2023.101004</v>
      </c>
      <c r="BG101" t="s">
        <v>74</v>
      </c>
      <c r="BH101" t="s">
        <v>98</v>
      </c>
      <c r="BI101">
        <v>16</v>
      </c>
      <c r="BJ101" t="s">
        <v>1949</v>
      </c>
      <c r="BK101" t="s">
        <v>100</v>
      </c>
      <c r="BL101" t="s">
        <v>1950</v>
      </c>
      <c r="BM101" t="s">
        <v>2036</v>
      </c>
      <c r="BN101" t="s">
        <v>74</v>
      </c>
      <c r="BO101" t="s">
        <v>1794</v>
      </c>
      <c r="BP101" t="s">
        <v>74</v>
      </c>
      <c r="BQ101" t="s">
        <v>74</v>
      </c>
      <c r="BR101" t="s">
        <v>104</v>
      </c>
      <c r="BS101" t="s">
        <v>2037</v>
      </c>
      <c r="BT101" t="str">
        <f>HYPERLINK("https%3A%2F%2Fwww.webofscience.com%2Fwos%2Fwoscc%2Ffull-record%2FWOS:001142825400001","View Full Record in Web of Science")</f>
        <v>View Full Record in Web of Science</v>
      </c>
    </row>
    <row r="102" spans="1:72" x14ac:dyDescent="0.15">
      <c r="A102" t="s">
        <v>72</v>
      </c>
      <c r="B102" t="s">
        <v>2038</v>
      </c>
      <c r="C102" t="s">
        <v>74</v>
      </c>
      <c r="D102" t="s">
        <v>74</v>
      </c>
      <c r="E102" t="s">
        <v>74</v>
      </c>
      <c r="F102" t="s">
        <v>2039</v>
      </c>
      <c r="G102" t="s">
        <v>74</v>
      </c>
      <c r="H102" t="s">
        <v>74</v>
      </c>
      <c r="I102" t="s">
        <v>2040</v>
      </c>
      <c r="J102" t="s">
        <v>1932</v>
      </c>
      <c r="K102" t="s">
        <v>74</v>
      </c>
      <c r="L102" t="s">
        <v>74</v>
      </c>
      <c r="M102" t="s">
        <v>78</v>
      </c>
      <c r="N102" t="s">
        <v>79</v>
      </c>
      <c r="O102" t="s">
        <v>74</v>
      </c>
      <c r="P102" t="s">
        <v>74</v>
      </c>
      <c r="Q102" t="s">
        <v>74</v>
      </c>
      <c r="R102" t="s">
        <v>74</v>
      </c>
      <c r="S102" t="s">
        <v>74</v>
      </c>
      <c r="T102" t="s">
        <v>2041</v>
      </c>
      <c r="U102" t="s">
        <v>2042</v>
      </c>
      <c r="V102" t="s">
        <v>2043</v>
      </c>
      <c r="W102" t="s">
        <v>2044</v>
      </c>
      <c r="X102" t="s">
        <v>2045</v>
      </c>
      <c r="Y102" t="s">
        <v>2001</v>
      </c>
      <c r="Z102" t="s">
        <v>2046</v>
      </c>
      <c r="AA102" t="s">
        <v>74</v>
      </c>
      <c r="AB102" t="s">
        <v>74</v>
      </c>
      <c r="AC102" t="s">
        <v>74</v>
      </c>
      <c r="AD102" t="s">
        <v>74</v>
      </c>
      <c r="AE102" t="s">
        <v>74</v>
      </c>
      <c r="AF102" t="s">
        <v>74</v>
      </c>
      <c r="AG102">
        <v>64</v>
      </c>
      <c r="AH102">
        <v>0</v>
      </c>
      <c r="AI102">
        <v>0</v>
      </c>
      <c r="AJ102">
        <v>5</v>
      </c>
      <c r="AK102">
        <v>5</v>
      </c>
      <c r="AL102" t="s">
        <v>947</v>
      </c>
      <c r="AM102" t="s">
        <v>948</v>
      </c>
      <c r="AN102" t="s">
        <v>949</v>
      </c>
      <c r="AO102" t="s">
        <v>1943</v>
      </c>
      <c r="AP102" t="s">
        <v>1944</v>
      </c>
      <c r="AQ102" t="s">
        <v>74</v>
      </c>
      <c r="AR102" t="s">
        <v>1945</v>
      </c>
      <c r="AS102" t="s">
        <v>1946</v>
      </c>
      <c r="AT102" t="s">
        <v>1947</v>
      </c>
      <c r="AU102">
        <v>2023</v>
      </c>
      <c r="AV102">
        <v>38</v>
      </c>
      <c r="AW102" t="s">
        <v>74</v>
      </c>
      <c r="AX102" t="s">
        <v>74</v>
      </c>
      <c r="AY102" t="s">
        <v>74</v>
      </c>
      <c r="AZ102" t="s">
        <v>74</v>
      </c>
      <c r="BA102" t="s">
        <v>74</v>
      </c>
      <c r="BB102" t="s">
        <v>74</v>
      </c>
      <c r="BC102" t="s">
        <v>74</v>
      </c>
      <c r="BD102">
        <v>100949</v>
      </c>
      <c r="BE102" t="s">
        <v>2047</v>
      </c>
      <c r="BF102" t="str">
        <f>HYPERLINK("http://dx.doi.org/10.1016/j.polar.2023.100949","http://dx.doi.org/10.1016/j.polar.2023.100949")</f>
        <v>http://dx.doi.org/10.1016/j.polar.2023.100949</v>
      </c>
      <c r="BG102" t="s">
        <v>74</v>
      </c>
      <c r="BH102" t="s">
        <v>98</v>
      </c>
      <c r="BI102">
        <v>11</v>
      </c>
      <c r="BJ102" t="s">
        <v>1949</v>
      </c>
      <c r="BK102" t="s">
        <v>100</v>
      </c>
      <c r="BL102" t="s">
        <v>1950</v>
      </c>
      <c r="BM102" t="s">
        <v>2048</v>
      </c>
      <c r="BN102" t="s">
        <v>74</v>
      </c>
      <c r="BO102" t="s">
        <v>74</v>
      </c>
      <c r="BP102" t="s">
        <v>74</v>
      </c>
      <c r="BQ102" t="s">
        <v>74</v>
      </c>
      <c r="BR102" t="s">
        <v>104</v>
      </c>
      <c r="BS102" t="s">
        <v>2049</v>
      </c>
      <c r="BT102" t="str">
        <f>HYPERLINK("https%3A%2F%2Fwww.webofscience.com%2Fwos%2Fwoscc%2Ffull-record%2FWOS:001142626200001","View Full Record in Web of Science")</f>
        <v>View Full Record in Web of Science</v>
      </c>
    </row>
    <row r="103" spans="1:72" x14ac:dyDescent="0.15">
      <c r="A103" t="s">
        <v>72</v>
      </c>
      <c r="B103" t="s">
        <v>2050</v>
      </c>
      <c r="C103" t="s">
        <v>74</v>
      </c>
      <c r="D103" t="s">
        <v>74</v>
      </c>
      <c r="E103" t="s">
        <v>74</v>
      </c>
      <c r="F103" t="s">
        <v>2051</v>
      </c>
      <c r="G103" t="s">
        <v>74</v>
      </c>
      <c r="H103" t="s">
        <v>74</v>
      </c>
      <c r="I103" t="s">
        <v>2052</v>
      </c>
      <c r="J103" t="s">
        <v>1932</v>
      </c>
      <c r="K103" t="s">
        <v>74</v>
      </c>
      <c r="L103" t="s">
        <v>74</v>
      </c>
      <c r="M103" t="s">
        <v>78</v>
      </c>
      <c r="N103" t="s">
        <v>79</v>
      </c>
      <c r="O103" t="s">
        <v>74</v>
      </c>
      <c r="P103" t="s">
        <v>74</v>
      </c>
      <c r="Q103" t="s">
        <v>74</v>
      </c>
      <c r="R103" t="s">
        <v>74</v>
      </c>
      <c r="S103" t="s">
        <v>74</v>
      </c>
      <c r="T103" t="s">
        <v>2053</v>
      </c>
      <c r="U103" t="s">
        <v>2054</v>
      </c>
      <c r="V103" t="s">
        <v>2055</v>
      </c>
      <c r="W103" t="s">
        <v>2056</v>
      </c>
      <c r="X103" t="s">
        <v>2057</v>
      </c>
      <c r="Y103" t="s">
        <v>2058</v>
      </c>
      <c r="Z103" t="s">
        <v>2059</v>
      </c>
      <c r="AA103" t="s">
        <v>74</v>
      </c>
      <c r="AB103" t="s">
        <v>74</v>
      </c>
      <c r="AC103" t="s">
        <v>2060</v>
      </c>
      <c r="AD103" t="s">
        <v>2061</v>
      </c>
      <c r="AE103" t="s">
        <v>2062</v>
      </c>
      <c r="AF103" t="s">
        <v>74</v>
      </c>
      <c r="AG103">
        <v>18</v>
      </c>
      <c r="AH103">
        <v>1</v>
      </c>
      <c r="AI103">
        <v>1</v>
      </c>
      <c r="AJ103">
        <v>1</v>
      </c>
      <c r="AK103">
        <v>1</v>
      </c>
      <c r="AL103" t="s">
        <v>947</v>
      </c>
      <c r="AM103" t="s">
        <v>948</v>
      </c>
      <c r="AN103" t="s">
        <v>949</v>
      </c>
      <c r="AO103" t="s">
        <v>1943</v>
      </c>
      <c r="AP103" t="s">
        <v>1944</v>
      </c>
      <c r="AQ103" t="s">
        <v>74</v>
      </c>
      <c r="AR103" t="s">
        <v>1945</v>
      </c>
      <c r="AS103" t="s">
        <v>1946</v>
      </c>
      <c r="AT103" t="s">
        <v>1947</v>
      </c>
      <c r="AU103">
        <v>2023</v>
      </c>
      <c r="AV103">
        <v>38</v>
      </c>
      <c r="AW103" t="s">
        <v>74</v>
      </c>
      <c r="AX103" t="s">
        <v>74</v>
      </c>
      <c r="AY103" t="s">
        <v>74</v>
      </c>
      <c r="AZ103" t="s">
        <v>74</v>
      </c>
      <c r="BA103" t="s">
        <v>74</v>
      </c>
      <c r="BB103" t="s">
        <v>74</v>
      </c>
      <c r="BC103" t="s">
        <v>74</v>
      </c>
      <c r="BD103">
        <v>100979</v>
      </c>
      <c r="BE103" t="s">
        <v>2063</v>
      </c>
      <c r="BF103" t="str">
        <f>HYPERLINK("http://dx.doi.org/10.1016/j.polar.2023.100979","http://dx.doi.org/10.1016/j.polar.2023.100979")</f>
        <v>http://dx.doi.org/10.1016/j.polar.2023.100979</v>
      </c>
      <c r="BG103" t="s">
        <v>74</v>
      </c>
      <c r="BH103" t="s">
        <v>98</v>
      </c>
      <c r="BI103">
        <v>9</v>
      </c>
      <c r="BJ103" t="s">
        <v>1949</v>
      </c>
      <c r="BK103" t="s">
        <v>100</v>
      </c>
      <c r="BL103" t="s">
        <v>1950</v>
      </c>
      <c r="BM103" t="s">
        <v>2064</v>
      </c>
      <c r="BN103" t="s">
        <v>74</v>
      </c>
      <c r="BO103" t="s">
        <v>1794</v>
      </c>
      <c r="BP103" t="s">
        <v>74</v>
      </c>
      <c r="BQ103" t="s">
        <v>74</v>
      </c>
      <c r="BR103" t="s">
        <v>104</v>
      </c>
      <c r="BS103" t="s">
        <v>2065</v>
      </c>
      <c r="BT103" t="str">
        <f>HYPERLINK("https%3A%2F%2Fwww.webofscience.com%2Fwos%2Fwoscc%2Ffull-record%2FWOS:001143602700001","View Full Record in Web of Science")</f>
        <v>View Full Record in Web of Science</v>
      </c>
    </row>
    <row r="104" spans="1:72" x14ac:dyDescent="0.15">
      <c r="A104" t="s">
        <v>72</v>
      </c>
      <c r="B104" t="s">
        <v>2066</v>
      </c>
      <c r="C104" t="s">
        <v>74</v>
      </c>
      <c r="D104" t="s">
        <v>74</v>
      </c>
      <c r="E104" t="s">
        <v>74</v>
      </c>
      <c r="F104" t="s">
        <v>2067</v>
      </c>
      <c r="G104" t="s">
        <v>74</v>
      </c>
      <c r="H104" t="s">
        <v>74</v>
      </c>
      <c r="I104" t="s">
        <v>2068</v>
      </c>
      <c r="J104" t="s">
        <v>1932</v>
      </c>
      <c r="K104" t="s">
        <v>74</v>
      </c>
      <c r="L104" t="s">
        <v>74</v>
      </c>
      <c r="M104" t="s">
        <v>78</v>
      </c>
      <c r="N104" t="s">
        <v>79</v>
      </c>
      <c r="O104" t="s">
        <v>74</v>
      </c>
      <c r="P104" t="s">
        <v>74</v>
      </c>
      <c r="Q104" t="s">
        <v>74</v>
      </c>
      <c r="R104" t="s">
        <v>74</v>
      </c>
      <c r="S104" t="s">
        <v>74</v>
      </c>
      <c r="T104" t="s">
        <v>2069</v>
      </c>
      <c r="U104" t="s">
        <v>2070</v>
      </c>
      <c r="V104" t="s">
        <v>2071</v>
      </c>
      <c r="W104" t="s">
        <v>2072</v>
      </c>
      <c r="X104" t="s">
        <v>2073</v>
      </c>
      <c r="Y104" t="s">
        <v>2074</v>
      </c>
      <c r="Z104" t="s">
        <v>2075</v>
      </c>
      <c r="AA104" t="s">
        <v>74</v>
      </c>
      <c r="AB104" t="s">
        <v>2076</v>
      </c>
      <c r="AC104" t="s">
        <v>74</v>
      </c>
      <c r="AD104" t="s">
        <v>74</v>
      </c>
      <c r="AE104" t="s">
        <v>74</v>
      </c>
      <c r="AF104" t="s">
        <v>74</v>
      </c>
      <c r="AG104">
        <v>29</v>
      </c>
      <c r="AH104">
        <v>0</v>
      </c>
      <c r="AI104">
        <v>0</v>
      </c>
      <c r="AJ104">
        <v>0</v>
      </c>
      <c r="AK104">
        <v>0</v>
      </c>
      <c r="AL104" t="s">
        <v>947</v>
      </c>
      <c r="AM104" t="s">
        <v>948</v>
      </c>
      <c r="AN104" t="s">
        <v>949</v>
      </c>
      <c r="AO104" t="s">
        <v>1943</v>
      </c>
      <c r="AP104" t="s">
        <v>1944</v>
      </c>
      <c r="AQ104" t="s">
        <v>74</v>
      </c>
      <c r="AR104" t="s">
        <v>1945</v>
      </c>
      <c r="AS104" t="s">
        <v>1946</v>
      </c>
      <c r="AT104" t="s">
        <v>1947</v>
      </c>
      <c r="AU104">
        <v>2023</v>
      </c>
      <c r="AV104">
        <v>38</v>
      </c>
      <c r="AW104" t="s">
        <v>74</v>
      </c>
      <c r="AX104" t="s">
        <v>74</v>
      </c>
      <c r="AY104" t="s">
        <v>74</v>
      </c>
      <c r="AZ104" t="s">
        <v>74</v>
      </c>
      <c r="BA104" t="s">
        <v>74</v>
      </c>
      <c r="BB104" t="s">
        <v>74</v>
      </c>
      <c r="BC104" t="s">
        <v>74</v>
      </c>
      <c r="BD104">
        <v>101012</v>
      </c>
      <c r="BE104" t="s">
        <v>2077</v>
      </c>
      <c r="BF104" t="str">
        <f>HYPERLINK("http://dx.doi.org/10.1016/j.polar.2023.101012","http://dx.doi.org/10.1016/j.polar.2023.101012")</f>
        <v>http://dx.doi.org/10.1016/j.polar.2023.101012</v>
      </c>
      <c r="BG104" t="s">
        <v>74</v>
      </c>
      <c r="BH104" t="s">
        <v>98</v>
      </c>
      <c r="BI104">
        <v>9</v>
      </c>
      <c r="BJ104" t="s">
        <v>1949</v>
      </c>
      <c r="BK104" t="s">
        <v>100</v>
      </c>
      <c r="BL104" t="s">
        <v>1950</v>
      </c>
      <c r="BM104" t="s">
        <v>2078</v>
      </c>
      <c r="BN104" t="s">
        <v>74</v>
      </c>
      <c r="BO104" t="s">
        <v>74</v>
      </c>
      <c r="BP104" t="s">
        <v>74</v>
      </c>
      <c r="BQ104" t="s">
        <v>74</v>
      </c>
      <c r="BR104" t="s">
        <v>104</v>
      </c>
      <c r="BS104" t="s">
        <v>2079</v>
      </c>
      <c r="BT104" t="str">
        <f>HYPERLINK("https%3A%2F%2Fwww.webofscience.com%2Fwos%2Fwoscc%2Ffull-record%2FWOS:001142667000001","View Full Record in Web of Science")</f>
        <v>View Full Record in Web of Science</v>
      </c>
    </row>
    <row r="105" spans="1:72" x14ac:dyDescent="0.15">
      <c r="A105" t="s">
        <v>72</v>
      </c>
      <c r="B105" t="s">
        <v>2080</v>
      </c>
      <c r="C105" t="s">
        <v>74</v>
      </c>
      <c r="D105" t="s">
        <v>74</v>
      </c>
      <c r="E105" t="s">
        <v>74</v>
      </c>
      <c r="F105" t="s">
        <v>2081</v>
      </c>
      <c r="G105" t="s">
        <v>74</v>
      </c>
      <c r="H105" t="s">
        <v>74</v>
      </c>
      <c r="I105" t="s">
        <v>2082</v>
      </c>
      <c r="J105" t="s">
        <v>2083</v>
      </c>
      <c r="K105" t="s">
        <v>74</v>
      </c>
      <c r="L105" t="s">
        <v>74</v>
      </c>
      <c r="M105" t="s">
        <v>78</v>
      </c>
      <c r="N105" t="s">
        <v>79</v>
      </c>
      <c r="O105" t="s">
        <v>74</v>
      </c>
      <c r="P105" t="s">
        <v>74</v>
      </c>
      <c r="Q105" t="s">
        <v>74</v>
      </c>
      <c r="R105" t="s">
        <v>74</v>
      </c>
      <c r="S105" t="s">
        <v>74</v>
      </c>
      <c r="T105" t="s">
        <v>2084</v>
      </c>
      <c r="U105" t="s">
        <v>2085</v>
      </c>
      <c r="V105" t="s">
        <v>2086</v>
      </c>
      <c r="W105" t="s">
        <v>2087</v>
      </c>
      <c r="X105" t="s">
        <v>2088</v>
      </c>
      <c r="Y105" t="s">
        <v>2089</v>
      </c>
      <c r="Z105" t="s">
        <v>2090</v>
      </c>
      <c r="AA105" t="s">
        <v>74</v>
      </c>
      <c r="AB105" t="s">
        <v>74</v>
      </c>
      <c r="AC105" t="s">
        <v>2091</v>
      </c>
      <c r="AD105" t="s">
        <v>2092</v>
      </c>
      <c r="AE105" t="s">
        <v>2093</v>
      </c>
      <c r="AF105" t="s">
        <v>74</v>
      </c>
      <c r="AG105">
        <v>47</v>
      </c>
      <c r="AH105">
        <v>0</v>
      </c>
      <c r="AI105">
        <v>0</v>
      </c>
      <c r="AJ105">
        <v>1</v>
      </c>
      <c r="AK105">
        <v>1</v>
      </c>
      <c r="AL105" t="s">
        <v>2094</v>
      </c>
      <c r="AM105" t="s">
        <v>2095</v>
      </c>
      <c r="AN105" t="s">
        <v>2096</v>
      </c>
      <c r="AO105" t="s">
        <v>2097</v>
      </c>
      <c r="AP105" t="s">
        <v>2098</v>
      </c>
      <c r="AQ105" t="s">
        <v>74</v>
      </c>
      <c r="AR105" t="s">
        <v>2099</v>
      </c>
      <c r="AS105" t="s">
        <v>2100</v>
      </c>
      <c r="AT105" t="s">
        <v>2101</v>
      </c>
      <c r="AU105">
        <v>2023</v>
      </c>
      <c r="AV105">
        <v>55</v>
      </c>
      <c r="AW105">
        <v>4</v>
      </c>
      <c r="AX105" t="s">
        <v>74</v>
      </c>
      <c r="AY105" t="s">
        <v>74</v>
      </c>
      <c r="AZ105" t="s">
        <v>74</v>
      </c>
      <c r="BA105" t="s">
        <v>74</v>
      </c>
      <c r="BB105">
        <v>307</v>
      </c>
      <c r="BC105">
        <v>316</v>
      </c>
      <c r="BD105" t="s">
        <v>74</v>
      </c>
      <c r="BE105" t="s">
        <v>2102</v>
      </c>
      <c r="BF105" t="str">
        <f>HYPERLINK("http://dx.doi.org/10.1016/j.ram.2023.04.004","http://dx.doi.org/10.1016/j.ram.2023.04.004")</f>
        <v>http://dx.doi.org/10.1016/j.ram.2023.04.004</v>
      </c>
      <c r="BG105" t="s">
        <v>74</v>
      </c>
      <c r="BH105" t="s">
        <v>98</v>
      </c>
      <c r="BI105">
        <v>10</v>
      </c>
      <c r="BJ105" t="s">
        <v>1084</v>
      </c>
      <c r="BK105" t="s">
        <v>100</v>
      </c>
      <c r="BL105" t="s">
        <v>1084</v>
      </c>
      <c r="BM105" t="s">
        <v>2103</v>
      </c>
      <c r="BN105">
        <v>37344239</v>
      </c>
      <c r="BO105" t="s">
        <v>131</v>
      </c>
      <c r="BP105" t="s">
        <v>74</v>
      </c>
      <c r="BQ105" t="s">
        <v>74</v>
      </c>
      <c r="BR105" t="s">
        <v>104</v>
      </c>
      <c r="BS105" t="s">
        <v>2104</v>
      </c>
      <c r="BT105" t="str">
        <f>HYPERLINK("https%3A%2F%2Fwww.webofscience.com%2Fwos%2Fwoscc%2Ffull-record%2FWOS:001144244300001","View Full Record in Web of Science")</f>
        <v>View Full Record in Web of Science</v>
      </c>
    </row>
    <row r="106" spans="1:72" x14ac:dyDescent="0.15">
      <c r="A106" t="s">
        <v>72</v>
      </c>
      <c r="B106" t="s">
        <v>2105</v>
      </c>
      <c r="C106" t="s">
        <v>74</v>
      </c>
      <c r="D106" t="s">
        <v>74</v>
      </c>
      <c r="E106" t="s">
        <v>74</v>
      </c>
      <c r="F106" t="s">
        <v>2106</v>
      </c>
      <c r="G106" t="s">
        <v>74</v>
      </c>
      <c r="H106" t="s">
        <v>74</v>
      </c>
      <c r="I106" t="s">
        <v>2107</v>
      </c>
      <c r="J106" t="s">
        <v>991</v>
      </c>
      <c r="K106" t="s">
        <v>74</v>
      </c>
      <c r="L106" t="s">
        <v>74</v>
      </c>
      <c r="M106" t="s">
        <v>78</v>
      </c>
      <c r="N106" t="s">
        <v>79</v>
      </c>
      <c r="O106" t="s">
        <v>74</v>
      </c>
      <c r="P106" t="s">
        <v>74</v>
      </c>
      <c r="Q106" t="s">
        <v>74</v>
      </c>
      <c r="R106" t="s">
        <v>74</v>
      </c>
      <c r="S106" t="s">
        <v>74</v>
      </c>
      <c r="T106" t="s">
        <v>2108</v>
      </c>
      <c r="U106" t="s">
        <v>2109</v>
      </c>
      <c r="V106" t="s">
        <v>2110</v>
      </c>
      <c r="W106" t="s">
        <v>2111</v>
      </c>
      <c r="X106" t="s">
        <v>2112</v>
      </c>
      <c r="Y106" t="s">
        <v>2113</v>
      </c>
      <c r="Z106" t="s">
        <v>2114</v>
      </c>
      <c r="AA106" t="s">
        <v>74</v>
      </c>
      <c r="AB106" t="s">
        <v>74</v>
      </c>
      <c r="AC106" t="s">
        <v>2115</v>
      </c>
      <c r="AD106" t="s">
        <v>2116</v>
      </c>
      <c r="AE106" t="s">
        <v>2117</v>
      </c>
      <c r="AF106" t="s">
        <v>74</v>
      </c>
      <c r="AG106">
        <v>69</v>
      </c>
      <c r="AH106">
        <v>0</v>
      </c>
      <c r="AI106">
        <v>0</v>
      </c>
      <c r="AJ106">
        <v>61</v>
      </c>
      <c r="AK106">
        <v>61</v>
      </c>
      <c r="AL106" t="s">
        <v>947</v>
      </c>
      <c r="AM106" t="s">
        <v>948</v>
      </c>
      <c r="AN106" t="s">
        <v>949</v>
      </c>
      <c r="AO106" t="s">
        <v>1004</v>
      </c>
      <c r="AP106" t="s">
        <v>1005</v>
      </c>
      <c r="AQ106" t="s">
        <v>74</v>
      </c>
      <c r="AR106" t="s">
        <v>1006</v>
      </c>
      <c r="AS106" t="s">
        <v>1007</v>
      </c>
      <c r="AT106" t="s">
        <v>1008</v>
      </c>
      <c r="AU106">
        <v>2024</v>
      </c>
      <c r="AV106">
        <v>912</v>
      </c>
      <c r="AW106" t="s">
        <v>74</v>
      </c>
      <c r="AX106" t="s">
        <v>74</v>
      </c>
      <c r="AY106" t="s">
        <v>74</v>
      </c>
      <c r="AZ106" t="s">
        <v>74</v>
      </c>
      <c r="BA106" t="s">
        <v>74</v>
      </c>
      <c r="BB106" t="s">
        <v>74</v>
      </c>
      <c r="BC106" t="s">
        <v>74</v>
      </c>
      <c r="BD106">
        <v>169394</v>
      </c>
      <c r="BE106" t="s">
        <v>2118</v>
      </c>
      <c r="BF106" t="str">
        <f>HYPERLINK("http://dx.doi.org/10.1016/j.scitotenv.2023.169394","http://dx.doi.org/10.1016/j.scitotenv.2023.169394")</f>
        <v>http://dx.doi.org/10.1016/j.scitotenv.2023.169394</v>
      </c>
      <c r="BG106" t="s">
        <v>74</v>
      </c>
      <c r="BH106" t="s">
        <v>98</v>
      </c>
      <c r="BI106">
        <v>10</v>
      </c>
      <c r="BJ106" t="s">
        <v>1010</v>
      </c>
      <c r="BK106" t="s">
        <v>100</v>
      </c>
      <c r="BL106" t="s">
        <v>1011</v>
      </c>
      <c r="BM106" t="s">
        <v>2119</v>
      </c>
      <c r="BN106">
        <v>38135091</v>
      </c>
      <c r="BO106" t="s">
        <v>74</v>
      </c>
      <c r="BP106" t="s">
        <v>74</v>
      </c>
      <c r="BQ106" t="s">
        <v>74</v>
      </c>
      <c r="BR106" t="s">
        <v>104</v>
      </c>
      <c r="BS106" t="s">
        <v>2120</v>
      </c>
      <c r="BT106" t="str">
        <f>HYPERLINK("https%3A%2F%2Fwww.webofscience.com%2Fwos%2Fwoscc%2Ffull-record%2FWOS:001144094000001","View Full Record in Web of Science")</f>
        <v>View Full Record in Web of Science</v>
      </c>
    </row>
    <row r="107" spans="1:72" x14ac:dyDescent="0.15">
      <c r="A107" t="s">
        <v>72</v>
      </c>
      <c r="B107" t="s">
        <v>2121</v>
      </c>
      <c r="C107" t="s">
        <v>74</v>
      </c>
      <c r="D107" t="s">
        <v>74</v>
      </c>
      <c r="E107" t="s">
        <v>74</v>
      </c>
      <c r="F107" t="s">
        <v>2122</v>
      </c>
      <c r="G107" t="s">
        <v>74</v>
      </c>
      <c r="H107" t="s">
        <v>74</v>
      </c>
      <c r="I107" t="s">
        <v>2123</v>
      </c>
      <c r="J107" t="s">
        <v>2124</v>
      </c>
      <c r="K107" t="s">
        <v>74</v>
      </c>
      <c r="L107" t="s">
        <v>74</v>
      </c>
      <c r="M107" t="s">
        <v>78</v>
      </c>
      <c r="N107" t="s">
        <v>79</v>
      </c>
      <c r="O107" t="s">
        <v>74</v>
      </c>
      <c r="P107" t="s">
        <v>74</v>
      </c>
      <c r="Q107" t="s">
        <v>74</v>
      </c>
      <c r="R107" t="s">
        <v>74</v>
      </c>
      <c r="S107" t="s">
        <v>74</v>
      </c>
      <c r="T107" t="s">
        <v>2125</v>
      </c>
      <c r="U107" t="s">
        <v>2126</v>
      </c>
      <c r="V107" t="s">
        <v>2127</v>
      </c>
      <c r="W107" t="s">
        <v>2128</v>
      </c>
      <c r="X107" t="s">
        <v>2129</v>
      </c>
      <c r="Y107" t="s">
        <v>2130</v>
      </c>
      <c r="Z107" t="s">
        <v>2131</v>
      </c>
      <c r="AA107" t="s">
        <v>74</v>
      </c>
      <c r="AB107" t="s">
        <v>2132</v>
      </c>
      <c r="AC107" t="s">
        <v>2133</v>
      </c>
      <c r="AD107" t="s">
        <v>2134</v>
      </c>
      <c r="AE107" t="s">
        <v>2135</v>
      </c>
      <c r="AF107" t="s">
        <v>74</v>
      </c>
      <c r="AG107">
        <v>60</v>
      </c>
      <c r="AH107">
        <v>0</v>
      </c>
      <c r="AI107">
        <v>0</v>
      </c>
      <c r="AJ107">
        <v>5</v>
      </c>
      <c r="AK107">
        <v>5</v>
      </c>
      <c r="AL107" t="s">
        <v>947</v>
      </c>
      <c r="AM107" t="s">
        <v>948</v>
      </c>
      <c r="AN107" t="s">
        <v>949</v>
      </c>
      <c r="AO107" t="s">
        <v>2136</v>
      </c>
      <c r="AP107" t="s">
        <v>2137</v>
      </c>
      <c r="AQ107" t="s">
        <v>74</v>
      </c>
      <c r="AR107" t="s">
        <v>2124</v>
      </c>
      <c r="AS107" t="s">
        <v>2138</v>
      </c>
      <c r="AT107" t="s">
        <v>2139</v>
      </c>
      <c r="AU107">
        <v>2024</v>
      </c>
      <c r="AV107">
        <v>581</v>
      </c>
      <c r="AW107" t="s">
        <v>74</v>
      </c>
      <c r="AX107" t="s">
        <v>74</v>
      </c>
      <c r="AY107" t="s">
        <v>74</v>
      </c>
      <c r="AZ107" t="s">
        <v>74</v>
      </c>
      <c r="BA107" t="s">
        <v>74</v>
      </c>
      <c r="BB107" t="s">
        <v>74</v>
      </c>
      <c r="BC107" t="s">
        <v>74</v>
      </c>
      <c r="BD107">
        <v>740486</v>
      </c>
      <c r="BE107" t="s">
        <v>2140</v>
      </c>
      <c r="BF107" t="str">
        <f>HYPERLINK("http://dx.doi.org/10.1016/j.aquaculture.2023.740486","http://dx.doi.org/10.1016/j.aquaculture.2023.740486")</f>
        <v>http://dx.doi.org/10.1016/j.aquaculture.2023.740486</v>
      </c>
      <c r="BG107" t="s">
        <v>74</v>
      </c>
      <c r="BH107" t="s">
        <v>98</v>
      </c>
      <c r="BI107">
        <v>11</v>
      </c>
      <c r="BJ107" t="s">
        <v>2141</v>
      </c>
      <c r="BK107" t="s">
        <v>100</v>
      </c>
      <c r="BL107" t="s">
        <v>2141</v>
      </c>
      <c r="BM107" t="s">
        <v>2142</v>
      </c>
      <c r="BN107" t="s">
        <v>74</v>
      </c>
      <c r="BO107" t="s">
        <v>103</v>
      </c>
      <c r="BP107" t="s">
        <v>74</v>
      </c>
      <c r="BQ107" t="s">
        <v>74</v>
      </c>
      <c r="BR107" t="s">
        <v>104</v>
      </c>
      <c r="BS107" t="s">
        <v>2143</v>
      </c>
      <c r="BT107" t="str">
        <f>HYPERLINK("https%3A%2F%2Fwww.webofscience.com%2Fwos%2Fwoscc%2Ffull-record%2FWOS:001146597200001","View Full Record in Web of Science")</f>
        <v>View Full Record in Web of Science</v>
      </c>
    </row>
    <row r="108" spans="1:72" x14ac:dyDescent="0.15">
      <c r="A108" t="s">
        <v>72</v>
      </c>
      <c r="B108" t="s">
        <v>2144</v>
      </c>
      <c r="C108" t="s">
        <v>74</v>
      </c>
      <c r="D108" t="s">
        <v>74</v>
      </c>
      <c r="E108" t="s">
        <v>74</v>
      </c>
      <c r="F108" t="s">
        <v>2145</v>
      </c>
      <c r="G108" t="s">
        <v>74</v>
      </c>
      <c r="H108" t="s">
        <v>74</v>
      </c>
      <c r="I108" t="s">
        <v>2146</v>
      </c>
      <c r="J108" t="s">
        <v>1932</v>
      </c>
      <c r="K108" t="s">
        <v>74</v>
      </c>
      <c r="L108" t="s">
        <v>74</v>
      </c>
      <c r="M108" t="s">
        <v>78</v>
      </c>
      <c r="N108" t="s">
        <v>79</v>
      </c>
      <c r="O108" t="s">
        <v>74</v>
      </c>
      <c r="P108" t="s">
        <v>74</v>
      </c>
      <c r="Q108" t="s">
        <v>74</v>
      </c>
      <c r="R108" t="s">
        <v>74</v>
      </c>
      <c r="S108" t="s">
        <v>74</v>
      </c>
      <c r="T108" t="s">
        <v>2147</v>
      </c>
      <c r="U108" t="s">
        <v>74</v>
      </c>
      <c r="V108" t="s">
        <v>2148</v>
      </c>
      <c r="W108" t="s">
        <v>2149</v>
      </c>
      <c r="X108" t="s">
        <v>2150</v>
      </c>
      <c r="Y108" t="s">
        <v>2151</v>
      </c>
      <c r="Z108" t="s">
        <v>2152</v>
      </c>
      <c r="AA108" t="s">
        <v>74</v>
      </c>
      <c r="AB108" t="s">
        <v>74</v>
      </c>
      <c r="AC108" t="s">
        <v>74</v>
      </c>
      <c r="AD108" t="s">
        <v>74</v>
      </c>
      <c r="AE108" t="s">
        <v>74</v>
      </c>
      <c r="AF108" t="s">
        <v>74</v>
      </c>
      <c r="AG108">
        <v>15</v>
      </c>
      <c r="AH108">
        <v>0</v>
      </c>
      <c r="AI108">
        <v>0</v>
      </c>
      <c r="AJ108">
        <v>3</v>
      </c>
      <c r="AK108">
        <v>3</v>
      </c>
      <c r="AL108" t="s">
        <v>947</v>
      </c>
      <c r="AM108" t="s">
        <v>948</v>
      </c>
      <c r="AN108" t="s">
        <v>949</v>
      </c>
      <c r="AO108" t="s">
        <v>1943</v>
      </c>
      <c r="AP108" t="s">
        <v>1944</v>
      </c>
      <c r="AQ108" t="s">
        <v>74</v>
      </c>
      <c r="AR108" t="s">
        <v>1945</v>
      </c>
      <c r="AS108" t="s">
        <v>1946</v>
      </c>
      <c r="AT108" t="s">
        <v>1947</v>
      </c>
      <c r="AU108">
        <v>2023</v>
      </c>
      <c r="AV108">
        <v>38</v>
      </c>
      <c r="AW108" t="s">
        <v>74</v>
      </c>
      <c r="AX108" t="s">
        <v>74</v>
      </c>
      <c r="AY108" t="s">
        <v>74</v>
      </c>
      <c r="AZ108" t="s">
        <v>74</v>
      </c>
      <c r="BA108" t="s">
        <v>74</v>
      </c>
      <c r="BB108" t="s">
        <v>74</v>
      </c>
      <c r="BC108" t="s">
        <v>74</v>
      </c>
      <c r="BD108">
        <v>100925</v>
      </c>
      <c r="BE108" t="s">
        <v>2153</v>
      </c>
      <c r="BF108" t="str">
        <f>HYPERLINK("http://dx.doi.org/10.1016/j.polar.2023.100925","http://dx.doi.org/10.1016/j.polar.2023.100925")</f>
        <v>http://dx.doi.org/10.1016/j.polar.2023.100925</v>
      </c>
      <c r="BG108" t="s">
        <v>74</v>
      </c>
      <c r="BH108" t="s">
        <v>98</v>
      </c>
      <c r="BI108">
        <v>8</v>
      </c>
      <c r="BJ108" t="s">
        <v>1949</v>
      </c>
      <c r="BK108" t="s">
        <v>100</v>
      </c>
      <c r="BL108" t="s">
        <v>1950</v>
      </c>
      <c r="BM108" t="s">
        <v>2154</v>
      </c>
      <c r="BN108" t="s">
        <v>74</v>
      </c>
      <c r="BO108" t="s">
        <v>1794</v>
      </c>
      <c r="BP108" t="s">
        <v>74</v>
      </c>
      <c r="BQ108" t="s">
        <v>74</v>
      </c>
      <c r="BR108" t="s">
        <v>104</v>
      </c>
      <c r="BS108" t="s">
        <v>2155</v>
      </c>
      <c r="BT108" t="str">
        <f>HYPERLINK("https%3A%2F%2Fwww.webofscience.com%2Fwos%2Fwoscc%2Ffull-record%2FWOS:001142626600001","View Full Record in Web of Science")</f>
        <v>View Full Record in Web of Science</v>
      </c>
    </row>
    <row r="109" spans="1:72" x14ac:dyDescent="0.15">
      <c r="A109" t="s">
        <v>72</v>
      </c>
      <c r="B109" t="s">
        <v>2156</v>
      </c>
      <c r="C109" t="s">
        <v>74</v>
      </c>
      <c r="D109" t="s">
        <v>74</v>
      </c>
      <c r="E109" t="s">
        <v>74</v>
      </c>
      <c r="F109" t="s">
        <v>2157</v>
      </c>
      <c r="G109" t="s">
        <v>74</v>
      </c>
      <c r="H109" t="s">
        <v>74</v>
      </c>
      <c r="I109" t="s">
        <v>2158</v>
      </c>
      <c r="J109" t="s">
        <v>1932</v>
      </c>
      <c r="K109" t="s">
        <v>74</v>
      </c>
      <c r="L109" t="s">
        <v>74</v>
      </c>
      <c r="M109" t="s">
        <v>78</v>
      </c>
      <c r="N109" t="s">
        <v>79</v>
      </c>
      <c r="O109" t="s">
        <v>74</v>
      </c>
      <c r="P109" t="s">
        <v>74</v>
      </c>
      <c r="Q109" t="s">
        <v>74</v>
      </c>
      <c r="R109" t="s">
        <v>74</v>
      </c>
      <c r="S109" t="s">
        <v>74</v>
      </c>
      <c r="T109" t="s">
        <v>2159</v>
      </c>
      <c r="U109" t="s">
        <v>2160</v>
      </c>
      <c r="V109" t="s">
        <v>2161</v>
      </c>
      <c r="W109" t="s">
        <v>2162</v>
      </c>
      <c r="X109" t="s">
        <v>2163</v>
      </c>
      <c r="Y109" t="s">
        <v>2164</v>
      </c>
      <c r="Z109" t="s">
        <v>2165</v>
      </c>
      <c r="AA109" t="s">
        <v>2166</v>
      </c>
      <c r="AB109" t="s">
        <v>2167</v>
      </c>
      <c r="AC109" t="s">
        <v>2168</v>
      </c>
      <c r="AD109" t="s">
        <v>2169</v>
      </c>
      <c r="AE109" t="s">
        <v>2170</v>
      </c>
      <c r="AF109" t="s">
        <v>74</v>
      </c>
      <c r="AG109">
        <v>66</v>
      </c>
      <c r="AH109">
        <v>1</v>
      </c>
      <c r="AI109">
        <v>1</v>
      </c>
      <c r="AJ109">
        <v>1</v>
      </c>
      <c r="AK109">
        <v>1</v>
      </c>
      <c r="AL109" t="s">
        <v>947</v>
      </c>
      <c r="AM109" t="s">
        <v>948</v>
      </c>
      <c r="AN109" t="s">
        <v>949</v>
      </c>
      <c r="AO109" t="s">
        <v>1943</v>
      </c>
      <c r="AP109" t="s">
        <v>1944</v>
      </c>
      <c r="AQ109" t="s">
        <v>74</v>
      </c>
      <c r="AR109" t="s">
        <v>1945</v>
      </c>
      <c r="AS109" t="s">
        <v>1946</v>
      </c>
      <c r="AT109" t="s">
        <v>1947</v>
      </c>
      <c r="AU109">
        <v>2023</v>
      </c>
      <c r="AV109">
        <v>38</v>
      </c>
      <c r="AW109" t="s">
        <v>74</v>
      </c>
      <c r="AX109" t="s">
        <v>74</v>
      </c>
      <c r="AY109" t="s">
        <v>74</v>
      </c>
      <c r="AZ109" t="s">
        <v>74</v>
      </c>
      <c r="BA109" t="s">
        <v>74</v>
      </c>
      <c r="BB109" t="s">
        <v>74</v>
      </c>
      <c r="BC109" t="s">
        <v>74</v>
      </c>
      <c r="BD109">
        <v>100968</v>
      </c>
      <c r="BE109" t="s">
        <v>2171</v>
      </c>
      <c r="BF109" t="str">
        <f>HYPERLINK("http://dx.doi.org/10.1016/j.polar.2023.100968","http://dx.doi.org/10.1016/j.polar.2023.100968")</f>
        <v>http://dx.doi.org/10.1016/j.polar.2023.100968</v>
      </c>
      <c r="BG109" t="s">
        <v>74</v>
      </c>
      <c r="BH109" t="s">
        <v>98</v>
      </c>
      <c r="BI109">
        <v>8</v>
      </c>
      <c r="BJ109" t="s">
        <v>1949</v>
      </c>
      <c r="BK109" t="s">
        <v>100</v>
      </c>
      <c r="BL109" t="s">
        <v>1950</v>
      </c>
      <c r="BM109" t="s">
        <v>2172</v>
      </c>
      <c r="BN109" t="s">
        <v>74</v>
      </c>
      <c r="BO109" t="s">
        <v>74</v>
      </c>
      <c r="BP109" t="s">
        <v>74</v>
      </c>
      <c r="BQ109" t="s">
        <v>74</v>
      </c>
      <c r="BR109" t="s">
        <v>104</v>
      </c>
      <c r="BS109" t="s">
        <v>2173</v>
      </c>
      <c r="BT109" t="str">
        <f>HYPERLINK("https%3A%2F%2Fwww.webofscience.com%2Fwos%2Fwoscc%2Ffull-record%2FWOS:001142752300001","View Full Record in Web of Science")</f>
        <v>View Full Record in Web of Science</v>
      </c>
    </row>
    <row r="110" spans="1:72" x14ac:dyDescent="0.15">
      <c r="A110" t="s">
        <v>72</v>
      </c>
      <c r="B110" t="s">
        <v>2174</v>
      </c>
      <c r="C110" t="s">
        <v>74</v>
      </c>
      <c r="D110" t="s">
        <v>74</v>
      </c>
      <c r="E110" t="s">
        <v>74</v>
      </c>
      <c r="F110" t="s">
        <v>2175</v>
      </c>
      <c r="G110" t="s">
        <v>74</v>
      </c>
      <c r="H110" t="s">
        <v>74</v>
      </c>
      <c r="I110" t="s">
        <v>2176</v>
      </c>
      <c r="J110" t="s">
        <v>1932</v>
      </c>
      <c r="K110" t="s">
        <v>74</v>
      </c>
      <c r="L110" t="s">
        <v>74</v>
      </c>
      <c r="M110" t="s">
        <v>78</v>
      </c>
      <c r="N110" t="s">
        <v>79</v>
      </c>
      <c r="O110" t="s">
        <v>74</v>
      </c>
      <c r="P110" t="s">
        <v>74</v>
      </c>
      <c r="Q110" t="s">
        <v>74</v>
      </c>
      <c r="R110" t="s">
        <v>74</v>
      </c>
      <c r="S110" t="s">
        <v>74</v>
      </c>
      <c r="T110" t="s">
        <v>2177</v>
      </c>
      <c r="U110" t="s">
        <v>2178</v>
      </c>
      <c r="V110" t="s">
        <v>2179</v>
      </c>
      <c r="W110" t="s">
        <v>2180</v>
      </c>
      <c r="X110" t="s">
        <v>2181</v>
      </c>
      <c r="Y110" t="s">
        <v>2182</v>
      </c>
      <c r="Z110" t="s">
        <v>2183</v>
      </c>
      <c r="AA110" t="s">
        <v>74</v>
      </c>
      <c r="AB110" t="s">
        <v>74</v>
      </c>
      <c r="AC110" t="s">
        <v>2184</v>
      </c>
      <c r="AD110" t="s">
        <v>2184</v>
      </c>
      <c r="AE110" t="s">
        <v>2185</v>
      </c>
      <c r="AF110" t="s">
        <v>74</v>
      </c>
      <c r="AG110">
        <v>37</v>
      </c>
      <c r="AH110">
        <v>0</v>
      </c>
      <c r="AI110">
        <v>0</v>
      </c>
      <c r="AJ110">
        <v>2</v>
      </c>
      <c r="AK110">
        <v>2</v>
      </c>
      <c r="AL110" t="s">
        <v>947</v>
      </c>
      <c r="AM110" t="s">
        <v>948</v>
      </c>
      <c r="AN110" t="s">
        <v>949</v>
      </c>
      <c r="AO110" t="s">
        <v>1943</v>
      </c>
      <c r="AP110" t="s">
        <v>1944</v>
      </c>
      <c r="AQ110" t="s">
        <v>74</v>
      </c>
      <c r="AR110" t="s">
        <v>1945</v>
      </c>
      <c r="AS110" t="s">
        <v>1946</v>
      </c>
      <c r="AT110" t="s">
        <v>1947</v>
      </c>
      <c r="AU110">
        <v>2023</v>
      </c>
      <c r="AV110">
        <v>38</v>
      </c>
      <c r="AW110" t="s">
        <v>74</v>
      </c>
      <c r="AX110" t="s">
        <v>74</v>
      </c>
      <c r="AY110" t="s">
        <v>74</v>
      </c>
      <c r="AZ110" t="s">
        <v>74</v>
      </c>
      <c r="BA110" t="s">
        <v>74</v>
      </c>
      <c r="BB110" t="s">
        <v>74</v>
      </c>
      <c r="BC110" t="s">
        <v>74</v>
      </c>
      <c r="BD110">
        <v>101011</v>
      </c>
      <c r="BE110" t="s">
        <v>2186</v>
      </c>
      <c r="BF110" t="str">
        <f>HYPERLINK("http://dx.doi.org/10.1016/j.polar.2023.101011","http://dx.doi.org/10.1016/j.polar.2023.101011")</f>
        <v>http://dx.doi.org/10.1016/j.polar.2023.101011</v>
      </c>
      <c r="BG110" t="s">
        <v>74</v>
      </c>
      <c r="BH110" t="s">
        <v>98</v>
      </c>
      <c r="BI110">
        <v>7</v>
      </c>
      <c r="BJ110" t="s">
        <v>1949</v>
      </c>
      <c r="BK110" t="s">
        <v>100</v>
      </c>
      <c r="BL110" t="s">
        <v>1950</v>
      </c>
      <c r="BM110" t="s">
        <v>2187</v>
      </c>
      <c r="BN110" t="s">
        <v>74</v>
      </c>
      <c r="BO110" t="s">
        <v>74</v>
      </c>
      <c r="BP110" t="s">
        <v>74</v>
      </c>
      <c r="BQ110" t="s">
        <v>74</v>
      </c>
      <c r="BR110" t="s">
        <v>104</v>
      </c>
      <c r="BS110" t="s">
        <v>2188</v>
      </c>
      <c r="BT110" t="str">
        <f>HYPERLINK("https%3A%2F%2Fwww.webofscience.com%2Fwos%2Fwoscc%2Ffull-record%2FWOS:001142968000001","View Full Record in Web of Science")</f>
        <v>View Full Record in Web of Science</v>
      </c>
    </row>
    <row r="111" spans="1:72" x14ac:dyDescent="0.15">
      <c r="A111" t="s">
        <v>72</v>
      </c>
      <c r="B111" t="s">
        <v>2189</v>
      </c>
      <c r="C111" t="s">
        <v>74</v>
      </c>
      <c r="D111" t="s">
        <v>74</v>
      </c>
      <c r="E111" t="s">
        <v>74</v>
      </c>
      <c r="F111" t="s">
        <v>2190</v>
      </c>
      <c r="G111" t="s">
        <v>74</v>
      </c>
      <c r="H111" t="s">
        <v>74</v>
      </c>
      <c r="I111" t="s">
        <v>2191</v>
      </c>
      <c r="J111" t="s">
        <v>1932</v>
      </c>
      <c r="K111" t="s">
        <v>74</v>
      </c>
      <c r="L111" t="s">
        <v>74</v>
      </c>
      <c r="M111" t="s">
        <v>78</v>
      </c>
      <c r="N111" t="s">
        <v>79</v>
      </c>
      <c r="O111" t="s">
        <v>74</v>
      </c>
      <c r="P111" t="s">
        <v>74</v>
      </c>
      <c r="Q111" t="s">
        <v>74</v>
      </c>
      <c r="R111" t="s">
        <v>74</v>
      </c>
      <c r="S111" t="s">
        <v>74</v>
      </c>
      <c r="T111" t="s">
        <v>2192</v>
      </c>
      <c r="U111" t="s">
        <v>2193</v>
      </c>
      <c r="V111" t="s">
        <v>2194</v>
      </c>
      <c r="W111" t="s">
        <v>2195</v>
      </c>
      <c r="X111" t="s">
        <v>2196</v>
      </c>
      <c r="Y111" t="s">
        <v>2197</v>
      </c>
      <c r="Z111" t="s">
        <v>2198</v>
      </c>
      <c r="AA111" t="s">
        <v>2199</v>
      </c>
      <c r="AB111" t="s">
        <v>2200</v>
      </c>
      <c r="AC111" t="s">
        <v>74</v>
      </c>
      <c r="AD111" t="s">
        <v>74</v>
      </c>
      <c r="AE111" t="s">
        <v>74</v>
      </c>
      <c r="AF111" t="s">
        <v>74</v>
      </c>
      <c r="AG111">
        <v>47</v>
      </c>
      <c r="AH111">
        <v>0</v>
      </c>
      <c r="AI111">
        <v>0</v>
      </c>
      <c r="AJ111">
        <v>1</v>
      </c>
      <c r="AK111">
        <v>1</v>
      </c>
      <c r="AL111" t="s">
        <v>947</v>
      </c>
      <c r="AM111" t="s">
        <v>948</v>
      </c>
      <c r="AN111" t="s">
        <v>949</v>
      </c>
      <c r="AO111" t="s">
        <v>1943</v>
      </c>
      <c r="AP111" t="s">
        <v>1944</v>
      </c>
      <c r="AQ111" t="s">
        <v>74</v>
      </c>
      <c r="AR111" t="s">
        <v>1945</v>
      </c>
      <c r="AS111" t="s">
        <v>1946</v>
      </c>
      <c r="AT111" t="s">
        <v>1947</v>
      </c>
      <c r="AU111">
        <v>2023</v>
      </c>
      <c r="AV111">
        <v>38</v>
      </c>
      <c r="AW111" t="s">
        <v>74</v>
      </c>
      <c r="AX111" t="s">
        <v>74</v>
      </c>
      <c r="AY111" t="s">
        <v>74</v>
      </c>
      <c r="AZ111" t="s">
        <v>74</v>
      </c>
      <c r="BA111" t="s">
        <v>74</v>
      </c>
      <c r="BB111" t="s">
        <v>74</v>
      </c>
      <c r="BC111" t="s">
        <v>74</v>
      </c>
      <c r="BD111">
        <v>100971</v>
      </c>
      <c r="BE111" t="s">
        <v>2201</v>
      </c>
      <c r="BF111" t="str">
        <f>HYPERLINK("http://dx.doi.org/10.1016/j.polar.2023.100971","http://dx.doi.org/10.1016/j.polar.2023.100971")</f>
        <v>http://dx.doi.org/10.1016/j.polar.2023.100971</v>
      </c>
      <c r="BG111" t="s">
        <v>74</v>
      </c>
      <c r="BH111" t="s">
        <v>98</v>
      </c>
      <c r="BI111">
        <v>8</v>
      </c>
      <c r="BJ111" t="s">
        <v>1949</v>
      </c>
      <c r="BK111" t="s">
        <v>100</v>
      </c>
      <c r="BL111" t="s">
        <v>1950</v>
      </c>
      <c r="BM111" t="s">
        <v>2202</v>
      </c>
      <c r="BN111" t="s">
        <v>74</v>
      </c>
      <c r="BO111" t="s">
        <v>74</v>
      </c>
      <c r="BP111" t="s">
        <v>74</v>
      </c>
      <c r="BQ111" t="s">
        <v>74</v>
      </c>
      <c r="BR111" t="s">
        <v>104</v>
      </c>
      <c r="BS111" t="s">
        <v>2203</v>
      </c>
      <c r="BT111" t="str">
        <f>HYPERLINK("https%3A%2F%2Fwww.webofscience.com%2Fwos%2Fwoscc%2Ffull-record%2FWOS:001142805000001","View Full Record in Web of Science")</f>
        <v>View Full Record in Web of Science</v>
      </c>
    </row>
    <row r="112" spans="1:72" x14ac:dyDescent="0.15">
      <c r="A112" t="s">
        <v>72</v>
      </c>
      <c r="B112" t="s">
        <v>2204</v>
      </c>
      <c r="C112" t="s">
        <v>74</v>
      </c>
      <c r="D112" t="s">
        <v>74</v>
      </c>
      <c r="E112" t="s">
        <v>74</v>
      </c>
      <c r="F112" t="s">
        <v>2205</v>
      </c>
      <c r="G112" t="s">
        <v>74</v>
      </c>
      <c r="H112" t="s">
        <v>74</v>
      </c>
      <c r="I112" t="s">
        <v>2206</v>
      </c>
      <c r="J112" t="s">
        <v>1932</v>
      </c>
      <c r="K112" t="s">
        <v>74</v>
      </c>
      <c r="L112" t="s">
        <v>74</v>
      </c>
      <c r="M112" t="s">
        <v>78</v>
      </c>
      <c r="N112" t="s">
        <v>79</v>
      </c>
      <c r="O112" t="s">
        <v>74</v>
      </c>
      <c r="P112" t="s">
        <v>74</v>
      </c>
      <c r="Q112" t="s">
        <v>74</v>
      </c>
      <c r="R112" t="s">
        <v>74</v>
      </c>
      <c r="S112" t="s">
        <v>74</v>
      </c>
      <c r="T112" t="s">
        <v>2207</v>
      </c>
      <c r="U112" t="s">
        <v>2208</v>
      </c>
      <c r="V112" t="s">
        <v>2209</v>
      </c>
      <c r="W112" t="s">
        <v>2210</v>
      </c>
      <c r="X112" t="s">
        <v>2211</v>
      </c>
      <c r="Y112" t="s">
        <v>2212</v>
      </c>
      <c r="Z112" t="s">
        <v>2213</v>
      </c>
      <c r="AA112" t="s">
        <v>74</v>
      </c>
      <c r="AB112" t="s">
        <v>2214</v>
      </c>
      <c r="AC112" t="s">
        <v>2215</v>
      </c>
      <c r="AD112" t="s">
        <v>2215</v>
      </c>
      <c r="AE112" t="s">
        <v>2216</v>
      </c>
      <c r="AF112" t="s">
        <v>74</v>
      </c>
      <c r="AG112">
        <v>44</v>
      </c>
      <c r="AH112">
        <v>0</v>
      </c>
      <c r="AI112">
        <v>0</v>
      </c>
      <c r="AJ112">
        <v>0</v>
      </c>
      <c r="AK112">
        <v>0</v>
      </c>
      <c r="AL112" t="s">
        <v>947</v>
      </c>
      <c r="AM112" t="s">
        <v>948</v>
      </c>
      <c r="AN112" t="s">
        <v>949</v>
      </c>
      <c r="AO112" t="s">
        <v>1943</v>
      </c>
      <c r="AP112" t="s">
        <v>1944</v>
      </c>
      <c r="AQ112" t="s">
        <v>74</v>
      </c>
      <c r="AR112" t="s">
        <v>1945</v>
      </c>
      <c r="AS112" t="s">
        <v>1946</v>
      </c>
      <c r="AT112" t="s">
        <v>1947</v>
      </c>
      <c r="AU112">
        <v>2023</v>
      </c>
      <c r="AV112">
        <v>38</v>
      </c>
      <c r="AW112" t="s">
        <v>74</v>
      </c>
      <c r="AX112" t="s">
        <v>74</v>
      </c>
      <c r="AY112" t="s">
        <v>74</v>
      </c>
      <c r="AZ112" t="s">
        <v>74</v>
      </c>
      <c r="BA112" t="s">
        <v>74</v>
      </c>
      <c r="BB112" t="s">
        <v>74</v>
      </c>
      <c r="BC112" t="s">
        <v>74</v>
      </c>
      <c r="BD112">
        <v>101003</v>
      </c>
      <c r="BE112" t="s">
        <v>2217</v>
      </c>
      <c r="BF112" t="str">
        <f>HYPERLINK("http://dx.doi.org/10.1016/j.polar.2023.101003","http://dx.doi.org/10.1016/j.polar.2023.101003")</f>
        <v>http://dx.doi.org/10.1016/j.polar.2023.101003</v>
      </c>
      <c r="BG112" t="s">
        <v>74</v>
      </c>
      <c r="BH112" t="s">
        <v>98</v>
      </c>
      <c r="BI112">
        <v>9</v>
      </c>
      <c r="BJ112" t="s">
        <v>1949</v>
      </c>
      <c r="BK112" t="s">
        <v>100</v>
      </c>
      <c r="BL112" t="s">
        <v>1950</v>
      </c>
      <c r="BM112" t="s">
        <v>2218</v>
      </c>
      <c r="BN112" t="s">
        <v>74</v>
      </c>
      <c r="BO112" t="s">
        <v>74</v>
      </c>
      <c r="BP112" t="s">
        <v>74</v>
      </c>
      <c r="BQ112" t="s">
        <v>74</v>
      </c>
      <c r="BR112" t="s">
        <v>104</v>
      </c>
      <c r="BS112" t="s">
        <v>2219</v>
      </c>
      <c r="BT112" t="str">
        <f>HYPERLINK("https%3A%2F%2Fwww.webofscience.com%2Fwos%2Fwoscc%2Ffull-record%2FWOS:001142681200001","View Full Record in Web of Science")</f>
        <v>View Full Record in Web of Science</v>
      </c>
    </row>
    <row r="113" spans="1:72" x14ac:dyDescent="0.15">
      <c r="A113" t="s">
        <v>72</v>
      </c>
      <c r="B113" t="s">
        <v>2220</v>
      </c>
      <c r="C113" t="s">
        <v>74</v>
      </c>
      <c r="D113" t="s">
        <v>74</v>
      </c>
      <c r="E113" t="s">
        <v>74</v>
      </c>
      <c r="F113" t="s">
        <v>2221</v>
      </c>
      <c r="G113" t="s">
        <v>74</v>
      </c>
      <c r="H113" t="s">
        <v>74</v>
      </c>
      <c r="I113" t="s">
        <v>2222</v>
      </c>
      <c r="J113" t="s">
        <v>1932</v>
      </c>
      <c r="K113" t="s">
        <v>74</v>
      </c>
      <c r="L113" t="s">
        <v>74</v>
      </c>
      <c r="M113" t="s">
        <v>78</v>
      </c>
      <c r="N113" t="s">
        <v>79</v>
      </c>
      <c r="O113" t="s">
        <v>74</v>
      </c>
      <c r="P113" t="s">
        <v>74</v>
      </c>
      <c r="Q113" t="s">
        <v>74</v>
      </c>
      <c r="R113" t="s">
        <v>74</v>
      </c>
      <c r="S113" t="s">
        <v>74</v>
      </c>
      <c r="T113" t="s">
        <v>2223</v>
      </c>
      <c r="U113" t="s">
        <v>2224</v>
      </c>
      <c r="V113" t="s">
        <v>2225</v>
      </c>
      <c r="W113" t="s">
        <v>2226</v>
      </c>
      <c r="X113" t="s">
        <v>2057</v>
      </c>
      <c r="Y113" t="s">
        <v>2227</v>
      </c>
      <c r="Z113" t="s">
        <v>2228</v>
      </c>
      <c r="AA113" t="s">
        <v>74</v>
      </c>
      <c r="AB113" t="s">
        <v>2229</v>
      </c>
      <c r="AC113" t="s">
        <v>2230</v>
      </c>
      <c r="AD113" t="s">
        <v>2230</v>
      </c>
      <c r="AE113" t="s">
        <v>2231</v>
      </c>
      <c r="AF113" t="s">
        <v>74</v>
      </c>
      <c r="AG113">
        <v>62</v>
      </c>
      <c r="AH113">
        <v>1</v>
      </c>
      <c r="AI113">
        <v>1</v>
      </c>
      <c r="AJ113">
        <v>3</v>
      </c>
      <c r="AK113">
        <v>3</v>
      </c>
      <c r="AL113" t="s">
        <v>947</v>
      </c>
      <c r="AM113" t="s">
        <v>948</v>
      </c>
      <c r="AN113" t="s">
        <v>949</v>
      </c>
      <c r="AO113" t="s">
        <v>1943</v>
      </c>
      <c r="AP113" t="s">
        <v>1944</v>
      </c>
      <c r="AQ113" t="s">
        <v>74</v>
      </c>
      <c r="AR113" t="s">
        <v>1945</v>
      </c>
      <c r="AS113" t="s">
        <v>1946</v>
      </c>
      <c r="AT113" t="s">
        <v>1947</v>
      </c>
      <c r="AU113">
        <v>2023</v>
      </c>
      <c r="AV113">
        <v>38</v>
      </c>
      <c r="AW113" t="s">
        <v>74</v>
      </c>
      <c r="AX113" t="s">
        <v>74</v>
      </c>
      <c r="AY113" t="s">
        <v>74</v>
      </c>
      <c r="AZ113" t="s">
        <v>74</v>
      </c>
      <c r="BA113" t="s">
        <v>74</v>
      </c>
      <c r="BB113" t="s">
        <v>74</v>
      </c>
      <c r="BC113" t="s">
        <v>74</v>
      </c>
      <c r="BD113">
        <v>101001</v>
      </c>
      <c r="BE113" t="s">
        <v>2232</v>
      </c>
      <c r="BF113" t="str">
        <f>HYPERLINK("http://dx.doi.org/10.1016/j.polar.2023.101001","http://dx.doi.org/10.1016/j.polar.2023.101001")</f>
        <v>http://dx.doi.org/10.1016/j.polar.2023.101001</v>
      </c>
      <c r="BG113" t="s">
        <v>74</v>
      </c>
      <c r="BH113" t="s">
        <v>98</v>
      </c>
      <c r="BI113">
        <v>7</v>
      </c>
      <c r="BJ113" t="s">
        <v>1949</v>
      </c>
      <c r="BK113" t="s">
        <v>100</v>
      </c>
      <c r="BL113" t="s">
        <v>1950</v>
      </c>
      <c r="BM113" t="s">
        <v>2233</v>
      </c>
      <c r="BN113" t="s">
        <v>74</v>
      </c>
      <c r="BO113" t="s">
        <v>74</v>
      </c>
      <c r="BP113" t="s">
        <v>74</v>
      </c>
      <c r="BQ113" t="s">
        <v>74</v>
      </c>
      <c r="BR113" t="s">
        <v>104</v>
      </c>
      <c r="BS113" t="s">
        <v>2234</v>
      </c>
      <c r="BT113" t="str">
        <f>HYPERLINK("https%3A%2F%2Fwww.webofscience.com%2Fwos%2Fwoscc%2Ffull-record%2FWOS:001142620100001","View Full Record in Web of Science")</f>
        <v>View Full Record in Web of Science</v>
      </c>
    </row>
    <row r="114" spans="1:72" x14ac:dyDescent="0.15">
      <c r="A114" t="s">
        <v>72</v>
      </c>
      <c r="B114" t="s">
        <v>2235</v>
      </c>
      <c r="C114" t="s">
        <v>74</v>
      </c>
      <c r="D114" t="s">
        <v>74</v>
      </c>
      <c r="E114" t="s">
        <v>74</v>
      </c>
      <c r="F114" t="s">
        <v>2236</v>
      </c>
      <c r="G114" t="s">
        <v>74</v>
      </c>
      <c r="H114" t="s">
        <v>74</v>
      </c>
      <c r="I114" t="s">
        <v>2237</v>
      </c>
      <c r="J114" t="s">
        <v>1932</v>
      </c>
      <c r="K114" t="s">
        <v>74</v>
      </c>
      <c r="L114" t="s">
        <v>74</v>
      </c>
      <c r="M114" t="s">
        <v>78</v>
      </c>
      <c r="N114" t="s">
        <v>79</v>
      </c>
      <c r="O114" t="s">
        <v>74</v>
      </c>
      <c r="P114" t="s">
        <v>74</v>
      </c>
      <c r="Q114" t="s">
        <v>74</v>
      </c>
      <c r="R114" t="s">
        <v>74</v>
      </c>
      <c r="S114" t="s">
        <v>74</v>
      </c>
      <c r="T114" t="s">
        <v>2238</v>
      </c>
      <c r="U114" t="s">
        <v>2239</v>
      </c>
      <c r="V114" t="s">
        <v>2240</v>
      </c>
      <c r="W114" t="s">
        <v>2241</v>
      </c>
      <c r="X114" t="s">
        <v>2242</v>
      </c>
      <c r="Y114" t="s">
        <v>2243</v>
      </c>
      <c r="Z114" t="s">
        <v>2244</v>
      </c>
      <c r="AA114" t="s">
        <v>2245</v>
      </c>
      <c r="AB114" t="s">
        <v>2246</v>
      </c>
      <c r="AC114" t="s">
        <v>2247</v>
      </c>
      <c r="AD114" t="s">
        <v>1450</v>
      </c>
      <c r="AE114" t="s">
        <v>2248</v>
      </c>
      <c r="AF114" t="s">
        <v>74</v>
      </c>
      <c r="AG114">
        <v>24</v>
      </c>
      <c r="AH114">
        <v>0</v>
      </c>
      <c r="AI114">
        <v>0</v>
      </c>
      <c r="AJ114">
        <v>2</v>
      </c>
      <c r="AK114">
        <v>2</v>
      </c>
      <c r="AL114" t="s">
        <v>947</v>
      </c>
      <c r="AM114" t="s">
        <v>948</v>
      </c>
      <c r="AN114" t="s">
        <v>949</v>
      </c>
      <c r="AO114" t="s">
        <v>1943</v>
      </c>
      <c r="AP114" t="s">
        <v>1944</v>
      </c>
      <c r="AQ114" t="s">
        <v>74</v>
      </c>
      <c r="AR114" t="s">
        <v>1945</v>
      </c>
      <c r="AS114" t="s">
        <v>1946</v>
      </c>
      <c r="AT114" t="s">
        <v>1947</v>
      </c>
      <c r="AU114">
        <v>2023</v>
      </c>
      <c r="AV114">
        <v>38</v>
      </c>
      <c r="AW114" t="s">
        <v>74</v>
      </c>
      <c r="AX114" t="s">
        <v>74</v>
      </c>
      <c r="AY114" t="s">
        <v>74</v>
      </c>
      <c r="AZ114" t="s">
        <v>74</v>
      </c>
      <c r="BA114" t="s">
        <v>74</v>
      </c>
      <c r="BB114" t="s">
        <v>74</v>
      </c>
      <c r="BC114" t="s">
        <v>74</v>
      </c>
      <c r="BD114">
        <v>101006</v>
      </c>
      <c r="BE114" t="s">
        <v>2249</v>
      </c>
      <c r="BF114" t="str">
        <f>HYPERLINK("http://dx.doi.org/10.1016/j.polar.2023.101006","http://dx.doi.org/10.1016/j.polar.2023.101006")</f>
        <v>http://dx.doi.org/10.1016/j.polar.2023.101006</v>
      </c>
      <c r="BG114" t="s">
        <v>74</v>
      </c>
      <c r="BH114" t="s">
        <v>98</v>
      </c>
      <c r="BI114">
        <v>12</v>
      </c>
      <c r="BJ114" t="s">
        <v>1949</v>
      </c>
      <c r="BK114" t="s">
        <v>100</v>
      </c>
      <c r="BL114" t="s">
        <v>1950</v>
      </c>
      <c r="BM114" t="s">
        <v>2250</v>
      </c>
      <c r="BN114" t="s">
        <v>74</v>
      </c>
      <c r="BO114" t="s">
        <v>1794</v>
      </c>
      <c r="BP114" t="s">
        <v>74</v>
      </c>
      <c r="BQ114" t="s">
        <v>74</v>
      </c>
      <c r="BR114" t="s">
        <v>104</v>
      </c>
      <c r="BS114" t="s">
        <v>2251</v>
      </c>
      <c r="BT114" t="str">
        <f>HYPERLINK("https%3A%2F%2Fwww.webofscience.com%2Fwos%2Fwoscc%2Ffull-record%2FWOS:001142982100001","View Full Record in Web of Science")</f>
        <v>View Full Record in Web of Science</v>
      </c>
    </row>
    <row r="115" spans="1:72" x14ac:dyDescent="0.15">
      <c r="A115" t="s">
        <v>72</v>
      </c>
      <c r="B115" t="s">
        <v>2252</v>
      </c>
      <c r="C115" t="s">
        <v>74</v>
      </c>
      <c r="D115" t="s">
        <v>74</v>
      </c>
      <c r="E115" t="s">
        <v>74</v>
      </c>
      <c r="F115" t="s">
        <v>2253</v>
      </c>
      <c r="G115" t="s">
        <v>74</v>
      </c>
      <c r="H115" t="s">
        <v>74</v>
      </c>
      <c r="I115" t="s">
        <v>2254</v>
      </c>
      <c r="J115" t="s">
        <v>1932</v>
      </c>
      <c r="K115" t="s">
        <v>74</v>
      </c>
      <c r="L115" t="s">
        <v>74</v>
      </c>
      <c r="M115" t="s">
        <v>78</v>
      </c>
      <c r="N115" t="s">
        <v>920</v>
      </c>
      <c r="O115" t="s">
        <v>74</v>
      </c>
      <c r="P115" t="s">
        <v>74</v>
      </c>
      <c r="Q115" t="s">
        <v>74</v>
      </c>
      <c r="R115" t="s">
        <v>74</v>
      </c>
      <c r="S115" t="s">
        <v>74</v>
      </c>
      <c r="T115" t="s">
        <v>2255</v>
      </c>
      <c r="U115" t="s">
        <v>74</v>
      </c>
      <c r="V115" t="s">
        <v>2256</v>
      </c>
      <c r="W115" t="s">
        <v>2257</v>
      </c>
      <c r="X115" t="s">
        <v>2258</v>
      </c>
      <c r="Y115" t="s">
        <v>2259</v>
      </c>
      <c r="Z115" t="s">
        <v>74</v>
      </c>
      <c r="AA115" t="s">
        <v>74</v>
      </c>
      <c r="AB115" t="s">
        <v>74</v>
      </c>
      <c r="AC115" t="s">
        <v>74</v>
      </c>
      <c r="AD115" t="s">
        <v>74</v>
      </c>
      <c r="AE115" t="s">
        <v>74</v>
      </c>
      <c r="AF115" t="s">
        <v>74</v>
      </c>
      <c r="AG115">
        <v>25</v>
      </c>
      <c r="AH115">
        <v>0</v>
      </c>
      <c r="AI115">
        <v>0</v>
      </c>
      <c r="AJ115">
        <v>0</v>
      </c>
      <c r="AK115">
        <v>0</v>
      </c>
      <c r="AL115" t="s">
        <v>947</v>
      </c>
      <c r="AM115" t="s">
        <v>948</v>
      </c>
      <c r="AN115" t="s">
        <v>949</v>
      </c>
      <c r="AO115" t="s">
        <v>1943</v>
      </c>
      <c r="AP115" t="s">
        <v>1944</v>
      </c>
      <c r="AQ115" t="s">
        <v>74</v>
      </c>
      <c r="AR115" t="s">
        <v>1945</v>
      </c>
      <c r="AS115" t="s">
        <v>1946</v>
      </c>
      <c r="AT115" t="s">
        <v>1947</v>
      </c>
      <c r="AU115">
        <v>2023</v>
      </c>
      <c r="AV115">
        <v>38</v>
      </c>
      <c r="AW115" t="s">
        <v>74</v>
      </c>
      <c r="AX115" t="s">
        <v>74</v>
      </c>
      <c r="AY115" t="s">
        <v>74</v>
      </c>
      <c r="AZ115" t="s">
        <v>74</v>
      </c>
      <c r="BA115" t="s">
        <v>74</v>
      </c>
      <c r="BB115" t="s">
        <v>74</v>
      </c>
      <c r="BC115" t="s">
        <v>74</v>
      </c>
      <c r="BD115">
        <v>101025</v>
      </c>
      <c r="BE115" t="s">
        <v>2260</v>
      </c>
      <c r="BF115" t="str">
        <f>HYPERLINK("http://dx.doi.org/10.1016/j.polar.2023.101025","http://dx.doi.org/10.1016/j.polar.2023.101025")</f>
        <v>http://dx.doi.org/10.1016/j.polar.2023.101025</v>
      </c>
      <c r="BG115" t="s">
        <v>74</v>
      </c>
      <c r="BH115" t="s">
        <v>98</v>
      </c>
      <c r="BI115">
        <v>3</v>
      </c>
      <c r="BJ115" t="s">
        <v>1949</v>
      </c>
      <c r="BK115" t="s">
        <v>100</v>
      </c>
      <c r="BL115" t="s">
        <v>1950</v>
      </c>
      <c r="BM115" t="s">
        <v>2261</v>
      </c>
      <c r="BN115" t="s">
        <v>74</v>
      </c>
      <c r="BO115" t="s">
        <v>1794</v>
      </c>
      <c r="BP115" t="s">
        <v>74</v>
      </c>
      <c r="BQ115" t="s">
        <v>74</v>
      </c>
      <c r="BR115" t="s">
        <v>104</v>
      </c>
      <c r="BS115" t="s">
        <v>2262</v>
      </c>
      <c r="BT115" t="str">
        <f>HYPERLINK("https%3A%2F%2Fwww.webofscience.com%2Fwos%2Fwoscc%2Ffull-record%2FWOS:001143538800001","View Full Record in Web of Science")</f>
        <v>View Full Record in Web of Science</v>
      </c>
    </row>
    <row r="116" spans="1:72" x14ac:dyDescent="0.15">
      <c r="A116" t="s">
        <v>72</v>
      </c>
      <c r="B116" t="s">
        <v>2263</v>
      </c>
      <c r="C116" t="s">
        <v>74</v>
      </c>
      <c r="D116" t="s">
        <v>74</v>
      </c>
      <c r="E116" t="s">
        <v>74</v>
      </c>
      <c r="F116" t="s">
        <v>2264</v>
      </c>
      <c r="G116" t="s">
        <v>74</v>
      </c>
      <c r="H116" t="s">
        <v>74</v>
      </c>
      <c r="I116" t="s">
        <v>2265</v>
      </c>
      <c r="J116" t="s">
        <v>1932</v>
      </c>
      <c r="K116" t="s">
        <v>74</v>
      </c>
      <c r="L116" t="s">
        <v>74</v>
      </c>
      <c r="M116" t="s">
        <v>78</v>
      </c>
      <c r="N116" t="s">
        <v>79</v>
      </c>
      <c r="O116" t="s">
        <v>74</v>
      </c>
      <c r="P116" t="s">
        <v>74</v>
      </c>
      <c r="Q116" t="s">
        <v>74</v>
      </c>
      <c r="R116" t="s">
        <v>74</v>
      </c>
      <c r="S116" t="s">
        <v>74</v>
      </c>
      <c r="T116" t="s">
        <v>2266</v>
      </c>
      <c r="U116" t="s">
        <v>2267</v>
      </c>
      <c r="V116" t="s">
        <v>2268</v>
      </c>
      <c r="W116" t="s">
        <v>2269</v>
      </c>
      <c r="X116" t="s">
        <v>2270</v>
      </c>
      <c r="Y116" t="s">
        <v>2271</v>
      </c>
      <c r="Z116" t="s">
        <v>2272</v>
      </c>
      <c r="AA116" t="s">
        <v>2273</v>
      </c>
      <c r="AB116" t="s">
        <v>2274</v>
      </c>
      <c r="AC116" t="s">
        <v>2275</v>
      </c>
      <c r="AD116" t="s">
        <v>2275</v>
      </c>
      <c r="AE116" t="s">
        <v>2276</v>
      </c>
      <c r="AF116" t="s">
        <v>74</v>
      </c>
      <c r="AG116">
        <v>46</v>
      </c>
      <c r="AH116">
        <v>0</v>
      </c>
      <c r="AI116">
        <v>0</v>
      </c>
      <c r="AJ116">
        <v>2</v>
      </c>
      <c r="AK116">
        <v>2</v>
      </c>
      <c r="AL116" t="s">
        <v>947</v>
      </c>
      <c r="AM116" t="s">
        <v>948</v>
      </c>
      <c r="AN116" t="s">
        <v>949</v>
      </c>
      <c r="AO116" t="s">
        <v>1943</v>
      </c>
      <c r="AP116" t="s">
        <v>1944</v>
      </c>
      <c r="AQ116" t="s">
        <v>74</v>
      </c>
      <c r="AR116" t="s">
        <v>1945</v>
      </c>
      <c r="AS116" t="s">
        <v>1946</v>
      </c>
      <c r="AT116" t="s">
        <v>1947</v>
      </c>
      <c r="AU116">
        <v>2023</v>
      </c>
      <c r="AV116">
        <v>38</v>
      </c>
      <c r="AW116" t="s">
        <v>74</v>
      </c>
      <c r="AX116" t="s">
        <v>74</v>
      </c>
      <c r="AY116" t="s">
        <v>74</v>
      </c>
      <c r="AZ116" t="s">
        <v>74</v>
      </c>
      <c r="BA116" t="s">
        <v>74</v>
      </c>
      <c r="BB116" t="s">
        <v>74</v>
      </c>
      <c r="BC116" t="s">
        <v>74</v>
      </c>
      <c r="BD116">
        <v>100972</v>
      </c>
      <c r="BE116" t="s">
        <v>2277</v>
      </c>
      <c r="BF116" t="str">
        <f>HYPERLINK("http://dx.doi.org/10.1016/j.polar.2023.100972","http://dx.doi.org/10.1016/j.polar.2023.100972")</f>
        <v>http://dx.doi.org/10.1016/j.polar.2023.100972</v>
      </c>
      <c r="BG116" t="s">
        <v>74</v>
      </c>
      <c r="BH116" t="s">
        <v>98</v>
      </c>
      <c r="BI116">
        <v>6</v>
      </c>
      <c r="BJ116" t="s">
        <v>1949</v>
      </c>
      <c r="BK116" t="s">
        <v>100</v>
      </c>
      <c r="BL116" t="s">
        <v>1950</v>
      </c>
      <c r="BM116" t="s">
        <v>2278</v>
      </c>
      <c r="BN116" t="s">
        <v>74</v>
      </c>
      <c r="BO116" t="s">
        <v>74</v>
      </c>
      <c r="BP116" t="s">
        <v>74</v>
      </c>
      <c r="BQ116" t="s">
        <v>74</v>
      </c>
      <c r="BR116" t="s">
        <v>104</v>
      </c>
      <c r="BS116" t="s">
        <v>2279</v>
      </c>
      <c r="BT116" t="str">
        <f>HYPERLINK("https%3A%2F%2Fwww.webofscience.com%2Fwos%2Fwoscc%2Ffull-record%2FWOS:001143370000001","View Full Record in Web of Science")</f>
        <v>View Full Record in Web of Science</v>
      </c>
    </row>
    <row r="117" spans="1:72" x14ac:dyDescent="0.15">
      <c r="A117" t="s">
        <v>72</v>
      </c>
      <c r="B117" t="s">
        <v>2280</v>
      </c>
      <c r="C117" t="s">
        <v>74</v>
      </c>
      <c r="D117" t="s">
        <v>74</v>
      </c>
      <c r="E117" t="s">
        <v>74</v>
      </c>
      <c r="F117" t="s">
        <v>2281</v>
      </c>
      <c r="G117" t="s">
        <v>74</v>
      </c>
      <c r="H117" t="s">
        <v>74</v>
      </c>
      <c r="I117" t="s">
        <v>2282</v>
      </c>
      <c r="J117" t="s">
        <v>2283</v>
      </c>
      <c r="K117" t="s">
        <v>74</v>
      </c>
      <c r="L117" t="s">
        <v>74</v>
      </c>
      <c r="M117" t="s">
        <v>78</v>
      </c>
      <c r="N117" t="s">
        <v>79</v>
      </c>
      <c r="O117" t="s">
        <v>74</v>
      </c>
      <c r="P117" t="s">
        <v>74</v>
      </c>
      <c r="Q117" t="s">
        <v>74</v>
      </c>
      <c r="R117" t="s">
        <v>74</v>
      </c>
      <c r="S117" t="s">
        <v>74</v>
      </c>
      <c r="T117" t="s">
        <v>74</v>
      </c>
      <c r="U117" t="s">
        <v>2284</v>
      </c>
      <c r="V117" t="s">
        <v>2285</v>
      </c>
      <c r="W117" t="s">
        <v>2286</v>
      </c>
      <c r="X117" t="s">
        <v>2287</v>
      </c>
      <c r="Y117" t="s">
        <v>2288</v>
      </c>
      <c r="Z117" t="s">
        <v>2289</v>
      </c>
      <c r="AA117" t="s">
        <v>74</v>
      </c>
      <c r="AB117" t="s">
        <v>2290</v>
      </c>
      <c r="AC117" t="s">
        <v>2291</v>
      </c>
      <c r="AD117" t="s">
        <v>2291</v>
      </c>
      <c r="AE117" t="s">
        <v>2292</v>
      </c>
      <c r="AF117" t="s">
        <v>74</v>
      </c>
      <c r="AG117">
        <v>31</v>
      </c>
      <c r="AH117">
        <v>0</v>
      </c>
      <c r="AI117">
        <v>0</v>
      </c>
      <c r="AJ117">
        <v>1</v>
      </c>
      <c r="AK117">
        <v>1</v>
      </c>
      <c r="AL117" t="s">
        <v>2293</v>
      </c>
      <c r="AM117" t="s">
        <v>2294</v>
      </c>
      <c r="AN117" t="s">
        <v>2295</v>
      </c>
      <c r="AO117" t="s">
        <v>2296</v>
      </c>
      <c r="AP117" t="s">
        <v>2297</v>
      </c>
      <c r="AQ117" t="s">
        <v>74</v>
      </c>
      <c r="AR117" t="s">
        <v>2298</v>
      </c>
      <c r="AS117" t="s">
        <v>2299</v>
      </c>
      <c r="AT117" t="s">
        <v>1817</v>
      </c>
      <c r="AU117">
        <v>2023</v>
      </c>
      <c r="AV117">
        <v>2023</v>
      </c>
      <c r="AW117" t="s">
        <v>74</v>
      </c>
      <c r="AX117" t="s">
        <v>74</v>
      </c>
      <c r="AY117" t="s">
        <v>74</v>
      </c>
      <c r="AZ117" t="s">
        <v>74</v>
      </c>
      <c r="BA117" t="s">
        <v>74</v>
      </c>
      <c r="BB117" t="s">
        <v>74</v>
      </c>
      <c r="BC117" t="s">
        <v>74</v>
      </c>
      <c r="BD117">
        <v>9743267</v>
      </c>
      <c r="BE117" t="s">
        <v>2300</v>
      </c>
      <c r="BF117" t="str">
        <f>HYPERLINK("http://dx.doi.org/10.1155/2023/9743267","http://dx.doi.org/10.1155/2023/9743267")</f>
        <v>http://dx.doi.org/10.1155/2023/9743267</v>
      </c>
      <c r="BG117" t="s">
        <v>74</v>
      </c>
      <c r="BH117" t="s">
        <v>74</v>
      </c>
      <c r="BI117">
        <v>9</v>
      </c>
      <c r="BJ117" t="s">
        <v>2301</v>
      </c>
      <c r="BK117" t="s">
        <v>100</v>
      </c>
      <c r="BL117" t="s">
        <v>2301</v>
      </c>
      <c r="BM117" t="s">
        <v>2302</v>
      </c>
      <c r="BN117" t="s">
        <v>74</v>
      </c>
      <c r="BO117" t="s">
        <v>131</v>
      </c>
      <c r="BP117" t="s">
        <v>74</v>
      </c>
      <c r="BQ117" t="s">
        <v>74</v>
      </c>
      <c r="BR117" t="s">
        <v>104</v>
      </c>
      <c r="BS117" t="s">
        <v>2303</v>
      </c>
      <c r="BT117" t="str">
        <f>HYPERLINK("https%3A%2F%2Fwww.webofscience.com%2Fwos%2Fwoscc%2Ffull-record%2FWOS:001131679400001","View Full Record in Web of Science")</f>
        <v>View Full Record in Web of Science</v>
      </c>
    </row>
    <row r="118" spans="1:72" x14ac:dyDescent="0.15">
      <c r="A118" t="s">
        <v>72</v>
      </c>
      <c r="B118" t="s">
        <v>2304</v>
      </c>
      <c r="C118" t="s">
        <v>74</v>
      </c>
      <c r="D118" t="s">
        <v>74</v>
      </c>
      <c r="E118" t="s">
        <v>74</v>
      </c>
      <c r="F118" t="s">
        <v>2305</v>
      </c>
      <c r="G118" t="s">
        <v>74</v>
      </c>
      <c r="H118" t="s">
        <v>74</v>
      </c>
      <c r="I118" t="s">
        <v>2306</v>
      </c>
      <c r="J118" t="s">
        <v>1770</v>
      </c>
      <c r="K118" t="s">
        <v>74</v>
      </c>
      <c r="L118" t="s">
        <v>74</v>
      </c>
      <c r="M118" t="s">
        <v>78</v>
      </c>
      <c r="N118" t="s">
        <v>1547</v>
      </c>
      <c r="O118" t="s">
        <v>74</v>
      </c>
      <c r="P118" t="s">
        <v>74</v>
      </c>
      <c r="Q118" t="s">
        <v>74</v>
      </c>
      <c r="R118" t="s">
        <v>74</v>
      </c>
      <c r="S118" t="s">
        <v>74</v>
      </c>
      <c r="T118" t="s">
        <v>2307</v>
      </c>
      <c r="U118" t="s">
        <v>2308</v>
      </c>
      <c r="V118" t="s">
        <v>2309</v>
      </c>
      <c r="W118" t="s">
        <v>2310</v>
      </c>
      <c r="X118" t="s">
        <v>2311</v>
      </c>
      <c r="Y118" t="s">
        <v>2312</v>
      </c>
      <c r="Z118" t="s">
        <v>2313</v>
      </c>
      <c r="AA118" t="s">
        <v>2314</v>
      </c>
      <c r="AB118" t="s">
        <v>2315</v>
      </c>
      <c r="AC118" t="s">
        <v>74</v>
      </c>
      <c r="AD118" t="s">
        <v>74</v>
      </c>
      <c r="AE118" t="s">
        <v>74</v>
      </c>
      <c r="AF118" t="s">
        <v>74</v>
      </c>
      <c r="AG118">
        <v>57</v>
      </c>
      <c r="AH118">
        <v>0</v>
      </c>
      <c r="AI118">
        <v>0</v>
      </c>
      <c r="AJ118">
        <v>2</v>
      </c>
      <c r="AK118">
        <v>2</v>
      </c>
      <c r="AL118" t="s">
        <v>1782</v>
      </c>
      <c r="AM118" t="s">
        <v>1783</v>
      </c>
      <c r="AN118" t="s">
        <v>1784</v>
      </c>
      <c r="AO118" t="s">
        <v>1785</v>
      </c>
      <c r="AP118" t="s">
        <v>1786</v>
      </c>
      <c r="AQ118" t="s">
        <v>74</v>
      </c>
      <c r="AR118" t="s">
        <v>1787</v>
      </c>
      <c r="AS118" t="s">
        <v>1788</v>
      </c>
      <c r="AT118" t="s">
        <v>2316</v>
      </c>
      <c r="AU118">
        <v>2023</v>
      </c>
      <c r="AV118" t="s">
        <v>74</v>
      </c>
      <c r="AW118" t="s">
        <v>74</v>
      </c>
      <c r="AX118" t="s">
        <v>74</v>
      </c>
      <c r="AY118" t="s">
        <v>74</v>
      </c>
      <c r="AZ118" t="s">
        <v>74</v>
      </c>
      <c r="BA118" t="s">
        <v>74</v>
      </c>
      <c r="BB118" t="s">
        <v>74</v>
      </c>
      <c r="BC118" t="s">
        <v>74</v>
      </c>
      <c r="BD118" t="s">
        <v>74</v>
      </c>
      <c r="BE118" t="s">
        <v>2317</v>
      </c>
      <c r="BF118" t="str">
        <f>HYPERLINK("http://dx.doi.org/10.1017/S0954102023000342","http://dx.doi.org/10.1017/S0954102023000342")</f>
        <v>http://dx.doi.org/10.1017/S0954102023000342</v>
      </c>
      <c r="BG118" t="s">
        <v>74</v>
      </c>
      <c r="BH118" t="s">
        <v>98</v>
      </c>
      <c r="BI118">
        <v>8</v>
      </c>
      <c r="BJ118" t="s">
        <v>1791</v>
      </c>
      <c r="BK118" t="s">
        <v>100</v>
      </c>
      <c r="BL118" t="s">
        <v>1792</v>
      </c>
      <c r="BM118" t="s">
        <v>2318</v>
      </c>
      <c r="BN118" t="s">
        <v>74</v>
      </c>
      <c r="BO118" t="s">
        <v>103</v>
      </c>
      <c r="BP118" t="s">
        <v>74</v>
      </c>
      <c r="BQ118" t="s">
        <v>74</v>
      </c>
      <c r="BR118" t="s">
        <v>104</v>
      </c>
      <c r="BS118" t="s">
        <v>2319</v>
      </c>
      <c r="BT118" t="str">
        <f>HYPERLINK("https%3A%2F%2Fwww.webofscience.com%2Fwos%2Fwoscc%2Ffull-record%2FWOS:001129482200001","View Full Record in Web of Science")</f>
        <v>View Full Record in Web of Science</v>
      </c>
    </row>
    <row r="119" spans="1:72" x14ac:dyDescent="0.15">
      <c r="A119" t="s">
        <v>72</v>
      </c>
      <c r="B119" t="s">
        <v>2320</v>
      </c>
      <c r="C119" t="s">
        <v>74</v>
      </c>
      <c r="D119" t="s">
        <v>74</v>
      </c>
      <c r="E119" t="s">
        <v>74</v>
      </c>
      <c r="F119" t="s">
        <v>2321</v>
      </c>
      <c r="G119" t="s">
        <v>74</v>
      </c>
      <c r="H119" t="s">
        <v>74</v>
      </c>
      <c r="I119" t="s">
        <v>2322</v>
      </c>
      <c r="J119" t="s">
        <v>1770</v>
      </c>
      <c r="K119" t="s">
        <v>74</v>
      </c>
      <c r="L119" t="s">
        <v>74</v>
      </c>
      <c r="M119" t="s">
        <v>78</v>
      </c>
      <c r="N119" t="s">
        <v>1547</v>
      </c>
      <c r="O119" t="s">
        <v>74</v>
      </c>
      <c r="P119" t="s">
        <v>74</v>
      </c>
      <c r="Q119" t="s">
        <v>74</v>
      </c>
      <c r="R119" t="s">
        <v>74</v>
      </c>
      <c r="S119" t="s">
        <v>74</v>
      </c>
      <c r="T119" t="s">
        <v>74</v>
      </c>
      <c r="U119" t="s">
        <v>74</v>
      </c>
      <c r="V119" t="s">
        <v>2323</v>
      </c>
      <c r="W119" t="s">
        <v>2324</v>
      </c>
      <c r="X119" t="s">
        <v>2325</v>
      </c>
      <c r="Y119" t="s">
        <v>2326</v>
      </c>
      <c r="Z119" t="s">
        <v>2327</v>
      </c>
      <c r="AA119" t="s">
        <v>2328</v>
      </c>
      <c r="AB119" t="s">
        <v>2329</v>
      </c>
      <c r="AC119" t="s">
        <v>2330</v>
      </c>
      <c r="AD119" t="s">
        <v>2331</v>
      </c>
      <c r="AE119" t="s">
        <v>2332</v>
      </c>
      <c r="AF119" t="s">
        <v>74</v>
      </c>
      <c r="AG119">
        <v>12</v>
      </c>
      <c r="AH119">
        <v>0</v>
      </c>
      <c r="AI119">
        <v>0</v>
      </c>
      <c r="AJ119">
        <v>1</v>
      </c>
      <c r="AK119">
        <v>1</v>
      </c>
      <c r="AL119" t="s">
        <v>1782</v>
      </c>
      <c r="AM119" t="s">
        <v>1783</v>
      </c>
      <c r="AN119" t="s">
        <v>1784</v>
      </c>
      <c r="AO119" t="s">
        <v>1785</v>
      </c>
      <c r="AP119" t="s">
        <v>1786</v>
      </c>
      <c r="AQ119" t="s">
        <v>74</v>
      </c>
      <c r="AR119" t="s">
        <v>1787</v>
      </c>
      <c r="AS119" t="s">
        <v>1788</v>
      </c>
      <c r="AT119" t="s">
        <v>2316</v>
      </c>
      <c r="AU119">
        <v>2023</v>
      </c>
      <c r="AV119" t="s">
        <v>74</v>
      </c>
      <c r="AW119" t="s">
        <v>74</v>
      </c>
      <c r="AX119" t="s">
        <v>74</v>
      </c>
      <c r="AY119" t="s">
        <v>74</v>
      </c>
      <c r="AZ119" t="s">
        <v>74</v>
      </c>
      <c r="BA119" t="s">
        <v>74</v>
      </c>
      <c r="BB119" t="s">
        <v>74</v>
      </c>
      <c r="BC119" t="s">
        <v>74</v>
      </c>
      <c r="BD119" t="s">
        <v>74</v>
      </c>
      <c r="BE119" t="s">
        <v>2333</v>
      </c>
      <c r="BF119" t="str">
        <f>HYPERLINK("http://dx.doi.org/10.1017/S0954102023000305","http://dx.doi.org/10.1017/S0954102023000305")</f>
        <v>http://dx.doi.org/10.1017/S0954102023000305</v>
      </c>
      <c r="BG119" t="s">
        <v>74</v>
      </c>
      <c r="BH119" t="s">
        <v>98</v>
      </c>
      <c r="BI119">
        <v>4</v>
      </c>
      <c r="BJ119" t="s">
        <v>1791</v>
      </c>
      <c r="BK119" t="s">
        <v>100</v>
      </c>
      <c r="BL119" t="s">
        <v>1792</v>
      </c>
      <c r="BM119" t="s">
        <v>2334</v>
      </c>
      <c r="BN119" t="s">
        <v>74</v>
      </c>
      <c r="BO119" t="s">
        <v>103</v>
      </c>
      <c r="BP119" t="s">
        <v>74</v>
      </c>
      <c r="BQ119" t="s">
        <v>74</v>
      </c>
      <c r="BR119" t="s">
        <v>104</v>
      </c>
      <c r="BS119" t="s">
        <v>2335</v>
      </c>
      <c r="BT119" t="str">
        <f>HYPERLINK("https%3A%2F%2Fwww.webofscience.com%2Fwos%2Fwoscc%2Ffull-record%2FWOS:001129483400001","View Full Record in Web of Science")</f>
        <v>View Full Record in Web of Science</v>
      </c>
    </row>
    <row r="120" spans="1:72" x14ac:dyDescent="0.15">
      <c r="A120" t="s">
        <v>72</v>
      </c>
      <c r="B120" t="s">
        <v>2336</v>
      </c>
      <c r="C120" t="s">
        <v>74</v>
      </c>
      <c r="D120" t="s">
        <v>74</v>
      </c>
      <c r="E120" t="s">
        <v>74</v>
      </c>
      <c r="F120" t="s">
        <v>2337</v>
      </c>
      <c r="G120" t="s">
        <v>74</v>
      </c>
      <c r="H120" t="s">
        <v>74</v>
      </c>
      <c r="I120" t="s">
        <v>2338</v>
      </c>
      <c r="J120" t="s">
        <v>2339</v>
      </c>
      <c r="K120" t="s">
        <v>74</v>
      </c>
      <c r="L120" t="s">
        <v>74</v>
      </c>
      <c r="M120" t="s">
        <v>78</v>
      </c>
      <c r="N120" t="s">
        <v>79</v>
      </c>
      <c r="O120" t="s">
        <v>74</v>
      </c>
      <c r="P120" t="s">
        <v>74</v>
      </c>
      <c r="Q120" t="s">
        <v>74</v>
      </c>
      <c r="R120" t="s">
        <v>74</v>
      </c>
      <c r="S120" t="s">
        <v>74</v>
      </c>
      <c r="T120" t="s">
        <v>2340</v>
      </c>
      <c r="U120" t="s">
        <v>2341</v>
      </c>
      <c r="V120" t="s">
        <v>2342</v>
      </c>
      <c r="W120" t="s">
        <v>2343</v>
      </c>
      <c r="X120" t="s">
        <v>2344</v>
      </c>
      <c r="Y120" t="s">
        <v>2345</v>
      </c>
      <c r="Z120" t="s">
        <v>2346</v>
      </c>
      <c r="AA120" t="s">
        <v>2347</v>
      </c>
      <c r="AB120" t="s">
        <v>2348</v>
      </c>
      <c r="AC120" t="s">
        <v>2349</v>
      </c>
      <c r="AD120" t="s">
        <v>2350</v>
      </c>
      <c r="AE120" t="s">
        <v>2351</v>
      </c>
      <c r="AF120" t="s">
        <v>74</v>
      </c>
      <c r="AG120">
        <v>88</v>
      </c>
      <c r="AH120">
        <v>0</v>
      </c>
      <c r="AI120">
        <v>0</v>
      </c>
      <c r="AJ120">
        <v>1</v>
      </c>
      <c r="AK120">
        <v>1</v>
      </c>
      <c r="AL120" t="s">
        <v>2352</v>
      </c>
      <c r="AM120" t="s">
        <v>2353</v>
      </c>
      <c r="AN120" t="s">
        <v>2354</v>
      </c>
      <c r="AO120" t="s">
        <v>74</v>
      </c>
      <c r="AP120" t="s">
        <v>2355</v>
      </c>
      <c r="AQ120" t="s">
        <v>74</v>
      </c>
      <c r="AR120" t="s">
        <v>2356</v>
      </c>
      <c r="AS120" t="s">
        <v>2357</v>
      </c>
      <c r="AT120" t="s">
        <v>2358</v>
      </c>
      <c r="AU120">
        <v>2023</v>
      </c>
      <c r="AV120">
        <v>75</v>
      </c>
      <c r="AW120">
        <v>1</v>
      </c>
      <c r="AX120" t="s">
        <v>74</v>
      </c>
      <c r="AY120" t="s">
        <v>74</v>
      </c>
      <c r="AZ120" t="s">
        <v>74</v>
      </c>
      <c r="BA120" t="s">
        <v>74</v>
      </c>
      <c r="BB120">
        <v>392</v>
      </c>
      <c r="BC120">
        <v>409</v>
      </c>
      <c r="BD120" t="s">
        <v>74</v>
      </c>
      <c r="BE120" t="s">
        <v>2359</v>
      </c>
      <c r="BF120" t="str">
        <f>HYPERLINK("http://dx.doi.org/10.16993/tellusa.3231","http://dx.doi.org/10.16993/tellusa.3231")</f>
        <v>http://dx.doi.org/10.16993/tellusa.3231</v>
      </c>
      <c r="BG120" t="s">
        <v>74</v>
      </c>
      <c r="BH120" t="s">
        <v>74</v>
      </c>
      <c r="BI120">
        <v>18</v>
      </c>
      <c r="BJ120" t="s">
        <v>1417</v>
      </c>
      <c r="BK120" t="s">
        <v>100</v>
      </c>
      <c r="BL120" t="s">
        <v>1417</v>
      </c>
      <c r="BM120" t="s">
        <v>2360</v>
      </c>
      <c r="BN120" t="s">
        <v>74</v>
      </c>
      <c r="BO120" t="s">
        <v>2361</v>
      </c>
      <c r="BP120" t="s">
        <v>74</v>
      </c>
      <c r="BQ120" t="s">
        <v>74</v>
      </c>
      <c r="BR120" t="s">
        <v>104</v>
      </c>
      <c r="BS120" t="s">
        <v>2362</v>
      </c>
      <c r="BT120" t="str">
        <f>HYPERLINK("https%3A%2F%2Fwww.webofscience.com%2Fwos%2Fwoscc%2Ffull-record%2FWOS:001177197100001","View Full Record in Web of Science")</f>
        <v>View Full Record in Web of Science</v>
      </c>
    </row>
    <row r="121" spans="1:72" x14ac:dyDescent="0.15">
      <c r="A121" t="s">
        <v>72</v>
      </c>
      <c r="B121" t="s">
        <v>2363</v>
      </c>
      <c r="C121" t="s">
        <v>74</v>
      </c>
      <c r="D121" t="s">
        <v>74</v>
      </c>
      <c r="E121" t="s">
        <v>74</v>
      </c>
      <c r="F121" t="s">
        <v>2364</v>
      </c>
      <c r="G121" t="s">
        <v>74</v>
      </c>
      <c r="H121" t="s">
        <v>74</v>
      </c>
      <c r="I121" t="s">
        <v>2365</v>
      </c>
      <c r="J121" t="s">
        <v>2366</v>
      </c>
      <c r="K121" t="s">
        <v>74</v>
      </c>
      <c r="L121" t="s">
        <v>74</v>
      </c>
      <c r="M121" t="s">
        <v>78</v>
      </c>
      <c r="N121" t="s">
        <v>79</v>
      </c>
      <c r="O121" t="s">
        <v>74</v>
      </c>
      <c r="P121" t="s">
        <v>74</v>
      </c>
      <c r="Q121" t="s">
        <v>74</v>
      </c>
      <c r="R121" t="s">
        <v>74</v>
      </c>
      <c r="S121" t="s">
        <v>74</v>
      </c>
      <c r="T121" t="s">
        <v>74</v>
      </c>
      <c r="U121" t="s">
        <v>2367</v>
      </c>
      <c r="V121" t="s">
        <v>2368</v>
      </c>
      <c r="W121" t="s">
        <v>2369</v>
      </c>
      <c r="X121" t="s">
        <v>2370</v>
      </c>
      <c r="Y121" t="s">
        <v>2371</v>
      </c>
      <c r="Z121" t="s">
        <v>2372</v>
      </c>
      <c r="AA121" t="s">
        <v>74</v>
      </c>
      <c r="AB121" t="s">
        <v>2373</v>
      </c>
      <c r="AC121" t="s">
        <v>2374</v>
      </c>
      <c r="AD121" t="s">
        <v>2375</v>
      </c>
      <c r="AE121" t="s">
        <v>2376</v>
      </c>
      <c r="AF121" t="s">
        <v>74</v>
      </c>
      <c r="AG121">
        <v>69</v>
      </c>
      <c r="AH121">
        <v>0</v>
      </c>
      <c r="AI121">
        <v>0</v>
      </c>
      <c r="AJ121">
        <v>5</v>
      </c>
      <c r="AK121">
        <v>5</v>
      </c>
      <c r="AL121" t="s">
        <v>1838</v>
      </c>
      <c r="AM121" t="s">
        <v>1839</v>
      </c>
      <c r="AN121" t="s">
        <v>1840</v>
      </c>
      <c r="AO121" t="s">
        <v>2377</v>
      </c>
      <c r="AP121" t="s">
        <v>2378</v>
      </c>
      <c r="AQ121" t="s">
        <v>74</v>
      </c>
      <c r="AR121" t="s">
        <v>2379</v>
      </c>
      <c r="AS121" t="s">
        <v>2380</v>
      </c>
      <c r="AT121" t="s">
        <v>2358</v>
      </c>
      <c r="AU121">
        <v>2023</v>
      </c>
      <c r="AV121">
        <v>23</v>
      </c>
      <c r="AW121">
        <v>24</v>
      </c>
      <c r="AX121" t="s">
        <v>74</v>
      </c>
      <c r="AY121" t="s">
        <v>74</v>
      </c>
      <c r="AZ121" t="s">
        <v>74</v>
      </c>
      <c r="BA121" t="s">
        <v>74</v>
      </c>
      <c r="BB121">
        <v>15655</v>
      </c>
      <c r="BC121">
        <v>15670</v>
      </c>
      <c r="BD121" t="s">
        <v>74</v>
      </c>
      <c r="BE121" t="s">
        <v>2381</v>
      </c>
      <c r="BF121" t="str">
        <f>HYPERLINK("http://dx.doi.org/10.5194/acp-23-15655-2023","http://dx.doi.org/10.5194/acp-23-15655-2023")</f>
        <v>http://dx.doi.org/10.5194/acp-23-15655-2023</v>
      </c>
      <c r="BG121" t="s">
        <v>74</v>
      </c>
      <c r="BH121" t="s">
        <v>74</v>
      </c>
      <c r="BI121">
        <v>16</v>
      </c>
      <c r="BJ121" t="s">
        <v>2382</v>
      </c>
      <c r="BK121" t="s">
        <v>100</v>
      </c>
      <c r="BL121" t="s">
        <v>2383</v>
      </c>
      <c r="BM121" t="s">
        <v>2384</v>
      </c>
      <c r="BN121" t="s">
        <v>74</v>
      </c>
      <c r="BO121" t="s">
        <v>349</v>
      </c>
      <c r="BP121" t="s">
        <v>74</v>
      </c>
      <c r="BQ121" t="s">
        <v>74</v>
      </c>
      <c r="BR121" t="s">
        <v>104</v>
      </c>
      <c r="BS121" t="s">
        <v>2385</v>
      </c>
      <c r="BT121" t="str">
        <f>HYPERLINK("https%3A%2F%2Fwww.webofscience.com%2Fwos%2Fwoscc%2Ffull-record%2FWOS:001168866100001","View Full Record in Web of Science")</f>
        <v>View Full Record in Web of Science</v>
      </c>
    </row>
    <row r="122" spans="1:72" x14ac:dyDescent="0.15">
      <c r="A122" t="s">
        <v>72</v>
      </c>
      <c r="B122" t="s">
        <v>2386</v>
      </c>
      <c r="C122" t="s">
        <v>74</v>
      </c>
      <c r="D122" t="s">
        <v>74</v>
      </c>
      <c r="E122" t="s">
        <v>74</v>
      </c>
      <c r="F122" t="s">
        <v>2387</v>
      </c>
      <c r="G122" t="s">
        <v>74</v>
      </c>
      <c r="H122" t="s">
        <v>74</v>
      </c>
      <c r="I122" t="s">
        <v>2388</v>
      </c>
      <c r="J122" t="s">
        <v>2389</v>
      </c>
      <c r="K122" t="s">
        <v>74</v>
      </c>
      <c r="L122" t="s">
        <v>74</v>
      </c>
      <c r="M122" t="s">
        <v>78</v>
      </c>
      <c r="N122" t="s">
        <v>79</v>
      </c>
      <c r="O122" t="s">
        <v>74</v>
      </c>
      <c r="P122" t="s">
        <v>74</v>
      </c>
      <c r="Q122" t="s">
        <v>74</v>
      </c>
      <c r="R122" t="s">
        <v>74</v>
      </c>
      <c r="S122" t="s">
        <v>74</v>
      </c>
      <c r="T122" t="s">
        <v>74</v>
      </c>
      <c r="U122" t="s">
        <v>2390</v>
      </c>
      <c r="V122" t="s">
        <v>2391</v>
      </c>
      <c r="W122" t="s">
        <v>2392</v>
      </c>
      <c r="X122" t="s">
        <v>2393</v>
      </c>
      <c r="Y122" t="s">
        <v>2394</v>
      </c>
      <c r="Z122" t="s">
        <v>2395</v>
      </c>
      <c r="AA122" t="s">
        <v>74</v>
      </c>
      <c r="AB122" t="s">
        <v>2396</v>
      </c>
      <c r="AC122" t="s">
        <v>2397</v>
      </c>
      <c r="AD122" t="s">
        <v>2398</v>
      </c>
      <c r="AE122" t="s">
        <v>2399</v>
      </c>
      <c r="AF122" t="s">
        <v>74</v>
      </c>
      <c r="AG122">
        <v>74</v>
      </c>
      <c r="AH122">
        <v>0</v>
      </c>
      <c r="AI122">
        <v>0</v>
      </c>
      <c r="AJ122">
        <v>2</v>
      </c>
      <c r="AK122">
        <v>2</v>
      </c>
      <c r="AL122" t="s">
        <v>1838</v>
      </c>
      <c r="AM122" t="s">
        <v>1839</v>
      </c>
      <c r="AN122" t="s">
        <v>1840</v>
      </c>
      <c r="AO122" t="s">
        <v>2400</v>
      </c>
      <c r="AP122" t="s">
        <v>2401</v>
      </c>
      <c r="AQ122" t="s">
        <v>74</v>
      </c>
      <c r="AR122" t="s">
        <v>2402</v>
      </c>
      <c r="AS122" t="s">
        <v>2403</v>
      </c>
      <c r="AT122" t="s">
        <v>2358</v>
      </c>
      <c r="AU122">
        <v>2023</v>
      </c>
      <c r="AV122">
        <v>15</v>
      </c>
      <c r="AW122">
        <v>12</v>
      </c>
      <c r="AX122" t="s">
        <v>74</v>
      </c>
      <c r="AY122" t="s">
        <v>74</v>
      </c>
      <c r="AZ122" t="s">
        <v>74</v>
      </c>
      <c r="BA122" t="s">
        <v>74</v>
      </c>
      <c r="BB122">
        <v>5807</v>
      </c>
      <c r="BC122">
        <v>5834</v>
      </c>
      <c r="BD122" t="s">
        <v>74</v>
      </c>
      <c r="BE122" t="s">
        <v>2404</v>
      </c>
      <c r="BF122" t="str">
        <f>HYPERLINK("http://dx.doi.org/10.5194/essd-15-5807-2023","http://dx.doi.org/10.5194/essd-15-5807-2023")</f>
        <v>http://dx.doi.org/10.5194/essd-15-5807-2023</v>
      </c>
      <c r="BG122" t="s">
        <v>74</v>
      </c>
      <c r="BH122" t="s">
        <v>74</v>
      </c>
      <c r="BI122">
        <v>28</v>
      </c>
      <c r="BJ122" t="s">
        <v>2405</v>
      </c>
      <c r="BK122" t="s">
        <v>100</v>
      </c>
      <c r="BL122" t="s">
        <v>2406</v>
      </c>
      <c r="BM122" t="s">
        <v>2407</v>
      </c>
      <c r="BN122" t="s">
        <v>74</v>
      </c>
      <c r="BO122" t="s">
        <v>183</v>
      </c>
      <c r="BP122" t="s">
        <v>74</v>
      </c>
      <c r="BQ122" t="s">
        <v>74</v>
      </c>
      <c r="BR122" t="s">
        <v>104</v>
      </c>
      <c r="BS122" t="s">
        <v>2408</v>
      </c>
      <c r="BT122" t="str">
        <f>HYPERLINK("https%3A%2F%2Fwww.webofscience.com%2Fwos%2Fwoscc%2Ffull-record%2FWOS:001170789800001","View Full Record in Web of Science")</f>
        <v>View Full Record in Web of Science</v>
      </c>
    </row>
    <row r="123" spans="1:72" x14ac:dyDescent="0.15">
      <c r="A123" t="s">
        <v>72</v>
      </c>
      <c r="B123" t="s">
        <v>2409</v>
      </c>
      <c r="C123" t="s">
        <v>74</v>
      </c>
      <c r="D123" t="s">
        <v>74</v>
      </c>
      <c r="E123" t="s">
        <v>74</v>
      </c>
      <c r="F123" t="s">
        <v>2410</v>
      </c>
      <c r="G123" t="s">
        <v>74</v>
      </c>
      <c r="H123" t="s">
        <v>74</v>
      </c>
      <c r="I123" t="s">
        <v>2411</v>
      </c>
      <c r="J123" t="s">
        <v>2412</v>
      </c>
      <c r="K123" t="s">
        <v>74</v>
      </c>
      <c r="L123" t="s">
        <v>74</v>
      </c>
      <c r="M123" t="s">
        <v>78</v>
      </c>
      <c r="N123" t="s">
        <v>79</v>
      </c>
      <c r="O123" t="s">
        <v>74</v>
      </c>
      <c r="P123" t="s">
        <v>74</v>
      </c>
      <c r="Q123" t="s">
        <v>74</v>
      </c>
      <c r="R123" t="s">
        <v>74</v>
      </c>
      <c r="S123" t="s">
        <v>74</v>
      </c>
      <c r="T123" t="s">
        <v>2413</v>
      </c>
      <c r="U123" t="s">
        <v>2414</v>
      </c>
      <c r="V123" t="s">
        <v>2415</v>
      </c>
      <c r="W123" t="s">
        <v>2416</v>
      </c>
      <c r="X123" t="s">
        <v>2417</v>
      </c>
      <c r="Y123" t="s">
        <v>2418</v>
      </c>
      <c r="Z123" t="s">
        <v>2419</v>
      </c>
      <c r="AA123" t="s">
        <v>2420</v>
      </c>
      <c r="AB123" t="s">
        <v>74</v>
      </c>
      <c r="AC123" t="s">
        <v>2421</v>
      </c>
      <c r="AD123" t="s">
        <v>2422</v>
      </c>
      <c r="AE123" t="s">
        <v>2423</v>
      </c>
      <c r="AF123" t="s">
        <v>74</v>
      </c>
      <c r="AG123">
        <v>51</v>
      </c>
      <c r="AH123">
        <v>0</v>
      </c>
      <c r="AI123">
        <v>0</v>
      </c>
      <c r="AJ123">
        <v>4</v>
      </c>
      <c r="AK123">
        <v>4</v>
      </c>
      <c r="AL123" t="s">
        <v>947</v>
      </c>
      <c r="AM123" t="s">
        <v>948</v>
      </c>
      <c r="AN123" t="s">
        <v>949</v>
      </c>
      <c r="AO123" t="s">
        <v>2424</v>
      </c>
      <c r="AP123" t="s">
        <v>2425</v>
      </c>
      <c r="AQ123" t="s">
        <v>74</v>
      </c>
      <c r="AR123" t="s">
        <v>2426</v>
      </c>
      <c r="AS123" t="s">
        <v>2427</v>
      </c>
      <c r="AT123" t="s">
        <v>954</v>
      </c>
      <c r="AU123">
        <v>2024</v>
      </c>
      <c r="AV123">
        <v>232</v>
      </c>
      <c r="AW123" t="s">
        <v>74</v>
      </c>
      <c r="AX123" t="s">
        <v>74</v>
      </c>
      <c r="AY123" t="s">
        <v>74</v>
      </c>
      <c r="AZ123" t="s">
        <v>74</v>
      </c>
      <c r="BA123" t="s">
        <v>74</v>
      </c>
      <c r="BB123" t="s">
        <v>74</v>
      </c>
      <c r="BC123" t="s">
        <v>74</v>
      </c>
      <c r="BD123">
        <v>104327</v>
      </c>
      <c r="BE123" t="s">
        <v>2428</v>
      </c>
      <c r="BF123" t="str">
        <f>HYPERLINK("http://dx.doi.org/10.1016/j.gloplacha.2023.104327","http://dx.doi.org/10.1016/j.gloplacha.2023.104327")</f>
        <v>http://dx.doi.org/10.1016/j.gloplacha.2023.104327</v>
      </c>
      <c r="BG123" t="s">
        <v>74</v>
      </c>
      <c r="BH123" t="s">
        <v>98</v>
      </c>
      <c r="BI123">
        <v>12</v>
      </c>
      <c r="BJ123" t="s">
        <v>984</v>
      </c>
      <c r="BK123" t="s">
        <v>100</v>
      </c>
      <c r="BL123" t="s">
        <v>985</v>
      </c>
      <c r="BM123" t="s">
        <v>2429</v>
      </c>
      <c r="BN123" t="s">
        <v>74</v>
      </c>
      <c r="BO123" t="s">
        <v>74</v>
      </c>
      <c r="BP123" t="s">
        <v>74</v>
      </c>
      <c r="BQ123" t="s">
        <v>74</v>
      </c>
      <c r="BR123" t="s">
        <v>104</v>
      </c>
      <c r="BS123" t="s">
        <v>2430</v>
      </c>
      <c r="BT123" t="str">
        <f>HYPERLINK("https%3A%2F%2Fwww.webofscience.com%2Fwos%2Fwoscc%2Ffull-record%2FWOS:001145991400001","View Full Record in Web of Science")</f>
        <v>View Full Record in Web of Science</v>
      </c>
    </row>
    <row r="124" spans="1:72" x14ac:dyDescent="0.15">
      <c r="A124" t="s">
        <v>72</v>
      </c>
      <c r="B124" t="s">
        <v>2431</v>
      </c>
      <c r="C124" t="s">
        <v>74</v>
      </c>
      <c r="D124" t="s">
        <v>74</v>
      </c>
      <c r="E124" t="s">
        <v>74</v>
      </c>
      <c r="F124" t="s">
        <v>2432</v>
      </c>
      <c r="G124" t="s">
        <v>74</v>
      </c>
      <c r="H124" t="s">
        <v>74</v>
      </c>
      <c r="I124" t="s">
        <v>2433</v>
      </c>
      <c r="J124" t="s">
        <v>2434</v>
      </c>
      <c r="K124" t="s">
        <v>74</v>
      </c>
      <c r="L124" t="s">
        <v>74</v>
      </c>
      <c r="M124" t="s">
        <v>78</v>
      </c>
      <c r="N124" t="s">
        <v>79</v>
      </c>
      <c r="O124" t="s">
        <v>74</v>
      </c>
      <c r="P124" t="s">
        <v>74</v>
      </c>
      <c r="Q124" t="s">
        <v>74</v>
      </c>
      <c r="R124" t="s">
        <v>74</v>
      </c>
      <c r="S124" t="s">
        <v>74</v>
      </c>
      <c r="T124" t="s">
        <v>74</v>
      </c>
      <c r="U124" t="s">
        <v>2435</v>
      </c>
      <c r="V124" t="s">
        <v>2436</v>
      </c>
      <c r="W124" t="s">
        <v>2437</v>
      </c>
      <c r="X124" t="s">
        <v>2438</v>
      </c>
      <c r="Y124" t="s">
        <v>2439</v>
      </c>
      <c r="Z124" t="s">
        <v>2440</v>
      </c>
      <c r="AA124" t="s">
        <v>2441</v>
      </c>
      <c r="AB124" t="s">
        <v>2442</v>
      </c>
      <c r="AC124" t="s">
        <v>2443</v>
      </c>
      <c r="AD124" t="s">
        <v>2444</v>
      </c>
      <c r="AE124" t="s">
        <v>2445</v>
      </c>
      <c r="AF124" t="s">
        <v>74</v>
      </c>
      <c r="AG124">
        <v>61</v>
      </c>
      <c r="AH124">
        <v>0</v>
      </c>
      <c r="AI124">
        <v>0</v>
      </c>
      <c r="AJ124">
        <v>4</v>
      </c>
      <c r="AK124">
        <v>4</v>
      </c>
      <c r="AL124" t="s">
        <v>975</v>
      </c>
      <c r="AM124" t="s">
        <v>976</v>
      </c>
      <c r="AN124" t="s">
        <v>977</v>
      </c>
      <c r="AO124" t="s">
        <v>2446</v>
      </c>
      <c r="AP124" t="s">
        <v>2447</v>
      </c>
      <c r="AQ124" t="s">
        <v>74</v>
      </c>
      <c r="AR124" t="s">
        <v>2448</v>
      </c>
      <c r="AS124" t="s">
        <v>2449</v>
      </c>
      <c r="AT124" t="s">
        <v>1973</v>
      </c>
      <c r="AU124">
        <v>2024</v>
      </c>
      <c r="AV124">
        <v>319</v>
      </c>
      <c r="AW124" t="s">
        <v>74</v>
      </c>
      <c r="AX124" t="s">
        <v>74</v>
      </c>
      <c r="AY124" t="s">
        <v>74</v>
      </c>
      <c r="AZ124" t="s">
        <v>74</v>
      </c>
      <c r="BA124" t="s">
        <v>74</v>
      </c>
      <c r="BB124" t="s">
        <v>74</v>
      </c>
      <c r="BC124" t="s">
        <v>74</v>
      </c>
      <c r="BD124">
        <v>120279</v>
      </c>
      <c r="BE124" t="s">
        <v>2450</v>
      </c>
      <c r="BF124" t="str">
        <f>HYPERLINK("http://dx.doi.org/10.1016/j.atmosenv.2023.120279","http://dx.doi.org/10.1016/j.atmosenv.2023.120279")</f>
        <v>http://dx.doi.org/10.1016/j.atmosenv.2023.120279</v>
      </c>
      <c r="BG124" t="s">
        <v>74</v>
      </c>
      <c r="BH124" t="s">
        <v>98</v>
      </c>
      <c r="BI124">
        <v>9</v>
      </c>
      <c r="BJ124" t="s">
        <v>2382</v>
      </c>
      <c r="BK124" t="s">
        <v>100</v>
      </c>
      <c r="BL124" t="s">
        <v>2383</v>
      </c>
      <c r="BM124" t="s">
        <v>2451</v>
      </c>
      <c r="BN124" t="s">
        <v>74</v>
      </c>
      <c r="BO124" t="s">
        <v>2452</v>
      </c>
      <c r="BP124" t="s">
        <v>74</v>
      </c>
      <c r="BQ124" t="s">
        <v>74</v>
      </c>
      <c r="BR124" t="s">
        <v>104</v>
      </c>
      <c r="BS124" t="s">
        <v>2453</v>
      </c>
      <c r="BT124" t="str">
        <f>HYPERLINK("https%3A%2F%2Fwww.webofscience.com%2Fwos%2Fwoscc%2Ffull-record%2FWOS:001146986200001","View Full Record in Web of Science")</f>
        <v>View Full Record in Web of Science</v>
      </c>
    </row>
    <row r="125" spans="1:72" x14ac:dyDescent="0.15">
      <c r="A125" t="s">
        <v>72</v>
      </c>
      <c r="B125" t="s">
        <v>2454</v>
      </c>
      <c r="C125" t="s">
        <v>74</v>
      </c>
      <c r="D125" t="s">
        <v>74</v>
      </c>
      <c r="E125" t="s">
        <v>74</v>
      </c>
      <c r="F125" t="s">
        <v>2455</v>
      </c>
      <c r="G125" t="s">
        <v>74</v>
      </c>
      <c r="H125" t="s">
        <v>74</v>
      </c>
      <c r="I125" t="s">
        <v>2456</v>
      </c>
      <c r="J125" t="s">
        <v>1142</v>
      </c>
      <c r="K125" t="s">
        <v>74</v>
      </c>
      <c r="L125" t="s">
        <v>74</v>
      </c>
      <c r="M125" t="s">
        <v>78</v>
      </c>
      <c r="N125" t="s">
        <v>79</v>
      </c>
      <c r="O125" t="s">
        <v>74</v>
      </c>
      <c r="P125" t="s">
        <v>74</v>
      </c>
      <c r="Q125" t="s">
        <v>74</v>
      </c>
      <c r="R125" t="s">
        <v>74</v>
      </c>
      <c r="S125" t="s">
        <v>74</v>
      </c>
      <c r="T125" t="s">
        <v>2457</v>
      </c>
      <c r="U125" t="s">
        <v>2458</v>
      </c>
      <c r="V125" t="s">
        <v>2459</v>
      </c>
      <c r="W125" t="s">
        <v>2460</v>
      </c>
      <c r="X125" t="s">
        <v>2461</v>
      </c>
      <c r="Y125" t="s">
        <v>2462</v>
      </c>
      <c r="Z125" t="s">
        <v>74</v>
      </c>
      <c r="AA125" t="s">
        <v>74</v>
      </c>
      <c r="AB125" t="s">
        <v>2463</v>
      </c>
      <c r="AC125" t="s">
        <v>2464</v>
      </c>
      <c r="AD125" t="s">
        <v>2465</v>
      </c>
      <c r="AE125" t="s">
        <v>2466</v>
      </c>
      <c r="AF125" t="s">
        <v>74</v>
      </c>
      <c r="AG125">
        <v>55</v>
      </c>
      <c r="AH125">
        <v>0</v>
      </c>
      <c r="AI125">
        <v>0</v>
      </c>
      <c r="AJ125">
        <v>0</v>
      </c>
      <c r="AK125">
        <v>0</v>
      </c>
      <c r="AL125" t="s">
        <v>89</v>
      </c>
      <c r="AM125" t="s">
        <v>90</v>
      </c>
      <c r="AN125" t="s">
        <v>91</v>
      </c>
      <c r="AO125" t="s">
        <v>1155</v>
      </c>
      <c r="AP125" t="s">
        <v>1156</v>
      </c>
      <c r="AQ125" t="s">
        <v>74</v>
      </c>
      <c r="AR125" t="s">
        <v>1157</v>
      </c>
      <c r="AS125" t="s">
        <v>1158</v>
      </c>
      <c r="AT125" t="s">
        <v>982</v>
      </c>
      <c r="AU125">
        <v>2024</v>
      </c>
      <c r="AV125">
        <v>248</v>
      </c>
      <c r="AW125" t="s">
        <v>74</v>
      </c>
      <c r="AX125" t="s">
        <v>74</v>
      </c>
      <c r="AY125" t="s">
        <v>74</v>
      </c>
      <c r="AZ125" t="s">
        <v>74</v>
      </c>
      <c r="BA125" t="s">
        <v>74</v>
      </c>
      <c r="BB125" t="s">
        <v>74</v>
      </c>
      <c r="BC125" t="s">
        <v>74</v>
      </c>
      <c r="BD125">
        <v>106975</v>
      </c>
      <c r="BE125" t="s">
        <v>2467</v>
      </c>
      <c r="BF125" t="str">
        <f>HYPERLINK("http://dx.doi.org/10.1016/j.ocecoaman.2023.106975","http://dx.doi.org/10.1016/j.ocecoaman.2023.106975")</f>
        <v>http://dx.doi.org/10.1016/j.ocecoaman.2023.106975</v>
      </c>
      <c r="BG125" t="s">
        <v>74</v>
      </c>
      <c r="BH125" t="s">
        <v>98</v>
      </c>
      <c r="BI125">
        <v>8</v>
      </c>
      <c r="BJ125" t="s">
        <v>1161</v>
      </c>
      <c r="BK125" t="s">
        <v>100</v>
      </c>
      <c r="BL125" t="s">
        <v>1161</v>
      </c>
      <c r="BM125" t="s">
        <v>2468</v>
      </c>
      <c r="BN125" t="s">
        <v>74</v>
      </c>
      <c r="BO125" t="s">
        <v>74</v>
      </c>
      <c r="BP125" t="s">
        <v>74</v>
      </c>
      <c r="BQ125" t="s">
        <v>74</v>
      </c>
      <c r="BR125" t="s">
        <v>104</v>
      </c>
      <c r="BS125" t="s">
        <v>2469</v>
      </c>
      <c r="BT125" t="str">
        <f>HYPERLINK("https%3A%2F%2Fwww.webofscience.com%2Fwos%2Fwoscc%2Ffull-record%2FWOS:001143078000001","View Full Record in Web of Science")</f>
        <v>View Full Record in Web of Science</v>
      </c>
    </row>
    <row r="126" spans="1:72" x14ac:dyDescent="0.15">
      <c r="A126" t="s">
        <v>72</v>
      </c>
      <c r="B126" t="s">
        <v>2470</v>
      </c>
      <c r="C126" t="s">
        <v>74</v>
      </c>
      <c r="D126" t="s">
        <v>74</v>
      </c>
      <c r="E126" t="s">
        <v>74</v>
      </c>
      <c r="F126" t="s">
        <v>2471</v>
      </c>
      <c r="G126" t="s">
        <v>74</v>
      </c>
      <c r="H126" t="s">
        <v>74</v>
      </c>
      <c r="I126" t="s">
        <v>2472</v>
      </c>
      <c r="J126" t="s">
        <v>2473</v>
      </c>
      <c r="K126" t="s">
        <v>74</v>
      </c>
      <c r="L126" t="s">
        <v>74</v>
      </c>
      <c r="M126" t="s">
        <v>78</v>
      </c>
      <c r="N126" t="s">
        <v>79</v>
      </c>
      <c r="O126" t="s">
        <v>74</v>
      </c>
      <c r="P126" t="s">
        <v>74</v>
      </c>
      <c r="Q126" t="s">
        <v>74</v>
      </c>
      <c r="R126" t="s">
        <v>74</v>
      </c>
      <c r="S126" t="s">
        <v>74</v>
      </c>
      <c r="T126" t="s">
        <v>2474</v>
      </c>
      <c r="U126" t="s">
        <v>2475</v>
      </c>
      <c r="V126" t="s">
        <v>2476</v>
      </c>
      <c r="W126" t="s">
        <v>2477</v>
      </c>
      <c r="X126" t="s">
        <v>2478</v>
      </c>
      <c r="Y126" t="s">
        <v>2479</v>
      </c>
      <c r="Z126" t="s">
        <v>2480</v>
      </c>
      <c r="AA126" t="s">
        <v>74</v>
      </c>
      <c r="AB126" t="s">
        <v>74</v>
      </c>
      <c r="AC126" t="s">
        <v>2481</v>
      </c>
      <c r="AD126" t="s">
        <v>2482</v>
      </c>
      <c r="AE126" t="s">
        <v>2483</v>
      </c>
      <c r="AF126" t="s">
        <v>74</v>
      </c>
      <c r="AG126">
        <v>49</v>
      </c>
      <c r="AH126">
        <v>0</v>
      </c>
      <c r="AI126">
        <v>0</v>
      </c>
      <c r="AJ126">
        <v>5</v>
      </c>
      <c r="AK126">
        <v>5</v>
      </c>
      <c r="AL126" t="s">
        <v>947</v>
      </c>
      <c r="AM126" t="s">
        <v>948</v>
      </c>
      <c r="AN126" t="s">
        <v>949</v>
      </c>
      <c r="AO126" t="s">
        <v>2484</v>
      </c>
      <c r="AP126" t="s">
        <v>74</v>
      </c>
      <c r="AQ126" t="s">
        <v>74</v>
      </c>
      <c r="AR126" t="s">
        <v>2485</v>
      </c>
      <c r="AS126" t="s">
        <v>2486</v>
      </c>
      <c r="AT126" t="s">
        <v>1082</v>
      </c>
      <c r="AU126">
        <v>2024</v>
      </c>
      <c r="AV126">
        <v>37</v>
      </c>
      <c r="AW126" t="s">
        <v>74</v>
      </c>
      <c r="AX126" t="s">
        <v>74</v>
      </c>
      <c r="AY126" t="s">
        <v>74</v>
      </c>
      <c r="AZ126" t="s">
        <v>74</v>
      </c>
      <c r="BA126" t="s">
        <v>74</v>
      </c>
      <c r="BB126" t="s">
        <v>74</v>
      </c>
      <c r="BC126" t="s">
        <v>74</v>
      </c>
      <c r="BD126">
        <v>101610</v>
      </c>
      <c r="BE126" t="s">
        <v>2487</v>
      </c>
      <c r="BF126" t="str">
        <f>HYPERLINK("http://dx.doi.org/10.1016/j.bbrep.2023.101610","http://dx.doi.org/10.1016/j.bbrep.2023.101610")</f>
        <v>http://dx.doi.org/10.1016/j.bbrep.2023.101610</v>
      </c>
      <c r="BG126" t="s">
        <v>74</v>
      </c>
      <c r="BH126" t="s">
        <v>98</v>
      </c>
      <c r="BI126">
        <v>10</v>
      </c>
      <c r="BJ126" t="s">
        <v>930</v>
      </c>
      <c r="BK126" t="s">
        <v>912</v>
      </c>
      <c r="BL126" t="s">
        <v>930</v>
      </c>
      <c r="BM126" t="s">
        <v>2488</v>
      </c>
      <c r="BN126">
        <v>38155944</v>
      </c>
      <c r="BO126" t="s">
        <v>200</v>
      </c>
      <c r="BP126" t="s">
        <v>74</v>
      </c>
      <c r="BQ126" t="s">
        <v>74</v>
      </c>
      <c r="BR126" t="s">
        <v>104</v>
      </c>
      <c r="BS126" t="s">
        <v>2489</v>
      </c>
      <c r="BT126" t="str">
        <f>HYPERLINK("https%3A%2F%2Fwww.webofscience.com%2Fwos%2Fwoscc%2Ffull-record%2FWOS:001147518500001","View Full Record in Web of Science")</f>
        <v>View Full Record in Web of Science</v>
      </c>
    </row>
    <row r="127" spans="1:72" x14ac:dyDescent="0.15">
      <c r="A127" t="s">
        <v>72</v>
      </c>
      <c r="B127" t="s">
        <v>2490</v>
      </c>
      <c r="C127" t="s">
        <v>74</v>
      </c>
      <c r="D127" t="s">
        <v>74</v>
      </c>
      <c r="E127" t="s">
        <v>74</v>
      </c>
      <c r="F127" t="s">
        <v>2491</v>
      </c>
      <c r="G127" t="s">
        <v>74</v>
      </c>
      <c r="H127" t="s">
        <v>74</v>
      </c>
      <c r="I127" t="s">
        <v>2492</v>
      </c>
      <c r="J127" t="s">
        <v>1574</v>
      </c>
      <c r="K127" t="s">
        <v>74</v>
      </c>
      <c r="L127" t="s">
        <v>74</v>
      </c>
      <c r="M127" t="s">
        <v>78</v>
      </c>
      <c r="N127" t="s">
        <v>79</v>
      </c>
      <c r="O127" t="s">
        <v>74</v>
      </c>
      <c r="P127" t="s">
        <v>74</v>
      </c>
      <c r="Q127" t="s">
        <v>74</v>
      </c>
      <c r="R127" t="s">
        <v>74</v>
      </c>
      <c r="S127" t="s">
        <v>74</v>
      </c>
      <c r="T127" t="s">
        <v>2493</v>
      </c>
      <c r="U127" t="s">
        <v>74</v>
      </c>
      <c r="V127" t="s">
        <v>2494</v>
      </c>
      <c r="W127" t="s">
        <v>2495</v>
      </c>
      <c r="X127" t="s">
        <v>2496</v>
      </c>
      <c r="Y127" t="s">
        <v>2497</v>
      </c>
      <c r="Z127" t="s">
        <v>2498</v>
      </c>
      <c r="AA127" t="s">
        <v>74</v>
      </c>
      <c r="AB127" t="s">
        <v>2499</v>
      </c>
      <c r="AC127" t="s">
        <v>2500</v>
      </c>
      <c r="AD127" t="s">
        <v>2500</v>
      </c>
      <c r="AE127" t="s">
        <v>2501</v>
      </c>
      <c r="AF127" t="s">
        <v>74</v>
      </c>
      <c r="AG127">
        <v>58</v>
      </c>
      <c r="AH127">
        <v>0</v>
      </c>
      <c r="AI127">
        <v>0</v>
      </c>
      <c r="AJ127">
        <v>15</v>
      </c>
      <c r="AK127">
        <v>15</v>
      </c>
      <c r="AL127" t="s">
        <v>947</v>
      </c>
      <c r="AM127" t="s">
        <v>948</v>
      </c>
      <c r="AN127" t="s">
        <v>949</v>
      </c>
      <c r="AO127" t="s">
        <v>1586</v>
      </c>
      <c r="AP127" t="s">
        <v>1587</v>
      </c>
      <c r="AQ127" t="s">
        <v>74</v>
      </c>
      <c r="AR127" t="s">
        <v>1588</v>
      </c>
      <c r="AS127" t="s">
        <v>1589</v>
      </c>
      <c r="AT127" t="s">
        <v>1590</v>
      </c>
      <c r="AU127">
        <v>2024</v>
      </c>
      <c r="AV127">
        <v>465</v>
      </c>
      <c r="AW127" t="s">
        <v>74</v>
      </c>
      <c r="AX127" t="s">
        <v>74</v>
      </c>
      <c r="AY127" t="s">
        <v>74</v>
      </c>
      <c r="AZ127" t="s">
        <v>74</v>
      </c>
      <c r="BA127" t="s">
        <v>74</v>
      </c>
      <c r="BB127" t="s">
        <v>74</v>
      </c>
      <c r="BC127" t="s">
        <v>74</v>
      </c>
      <c r="BD127">
        <v>133276</v>
      </c>
      <c r="BE127" t="s">
        <v>2502</v>
      </c>
      <c r="BF127" t="str">
        <f>HYPERLINK("http://dx.doi.org/10.1016/j.jhazmat.2023.133276","http://dx.doi.org/10.1016/j.jhazmat.2023.133276")</f>
        <v>http://dx.doi.org/10.1016/j.jhazmat.2023.133276</v>
      </c>
      <c r="BG127" t="s">
        <v>74</v>
      </c>
      <c r="BH127" t="s">
        <v>98</v>
      </c>
      <c r="BI127">
        <v>11</v>
      </c>
      <c r="BJ127" t="s">
        <v>1592</v>
      </c>
      <c r="BK127" t="s">
        <v>100</v>
      </c>
      <c r="BL127" t="s">
        <v>1593</v>
      </c>
      <c r="BM127" t="s">
        <v>2503</v>
      </c>
      <c r="BN127">
        <v>38128232</v>
      </c>
      <c r="BO127" t="s">
        <v>103</v>
      </c>
      <c r="BP127" t="s">
        <v>74</v>
      </c>
      <c r="BQ127" t="s">
        <v>74</v>
      </c>
      <c r="BR127" t="s">
        <v>104</v>
      </c>
      <c r="BS127" t="s">
        <v>2504</v>
      </c>
      <c r="BT127" t="str">
        <f>HYPERLINK("https%3A%2F%2Fwww.webofscience.com%2Fwos%2Fwoscc%2Ffull-record%2FWOS:001142656100001","View Full Record in Web of Science")</f>
        <v>View Full Record in Web of Science</v>
      </c>
    </row>
    <row r="128" spans="1:72" x14ac:dyDescent="0.15">
      <c r="A128" t="s">
        <v>72</v>
      </c>
      <c r="B128" t="s">
        <v>2505</v>
      </c>
      <c r="C128" t="s">
        <v>74</v>
      </c>
      <c r="D128" t="s">
        <v>74</v>
      </c>
      <c r="E128" t="s">
        <v>74</v>
      </c>
      <c r="F128" t="s">
        <v>2506</v>
      </c>
      <c r="G128" t="s">
        <v>74</v>
      </c>
      <c r="H128" t="s">
        <v>74</v>
      </c>
      <c r="I128" t="s">
        <v>2507</v>
      </c>
      <c r="J128" t="s">
        <v>2124</v>
      </c>
      <c r="K128" t="s">
        <v>74</v>
      </c>
      <c r="L128" t="s">
        <v>74</v>
      </c>
      <c r="M128" t="s">
        <v>78</v>
      </c>
      <c r="N128" t="s">
        <v>462</v>
      </c>
      <c r="O128" t="s">
        <v>74</v>
      </c>
      <c r="P128" t="s">
        <v>74</v>
      </c>
      <c r="Q128" t="s">
        <v>74</v>
      </c>
      <c r="R128" t="s">
        <v>74</v>
      </c>
      <c r="S128" t="s">
        <v>74</v>
      </c>
      <c r="T128" t="s">
        <v>74</v>
      </c>
      <c r="U128" t="s">
        <v>74</v>
      </c>
      <c r="V128" t="s">
        <v>74</v>
      </c>
      <c r="W128" t="s">
        <v>2508</v>
      </c>
      <c r="X128" t="s">
        <v>2509</v>
      </c>
      <c r="Y128" t="s">
        <v>2510</v>
      </c>
      <c r="Z128" t="s">
        <v>2511</v>
      </c>
      <c r="AA128" t="s">
        <v>74</v>
      </c>
      <c r="AB128" t="s">
        <v>74</v>
      </c>
      <c r="AC128" t="s">
        <v>74</v>
      </c>
      <c r="AD128" t="s">
        <v>74</v>
      </c>
      <c r="AE128" t="s">
        <v>74</v>
      </c>
      <c r="AF128" t="s">
        <v>74</v>
      </c>
      <c r="AG128">
        <v>1</v>
      </c>
      <c r="AH128">
        <v>0</v>
      </c>
      <c r="AI128">
        <v>0</v>
      </c>
      <c r="AJ128">
        <v>0</v>
      </c>
      <c r="AK128">
        <v>0</v>
      </c>
      <c r="AL128" t="s">
        <v>947</v>
      </c>
      <c r="AM128" t="s">
        <v>948</v>
      </c>
      <c r="AN128" t="s">
        <v>949</v>
      </c>
      <c r="AO128" t="s">
        <v>2136</v>
      </c>
      <c r="AP128" t="s">
        <v>2137</v>
      </c>
      <c r="AQ128" t="s">
        <v>74</v>
      </c>
      <c r="AR128" t="s">
        <v>2124</v>
      </c>
      <c r="AS128" t="s">
        <v>2138</v>
      </c>
      <c r="AT128" t="s">
        <v>2139</v>
      </c>
      <c r="AU128">
        <v>2024</v>
      </c>
      <c r="AV128">
        <v>581</v>
      </c>
      <c r="AW128" t="s">
        <v>74</v>
      </c>
      <c r="AX128" t="s">
        <v>74</v>
      </c>
      <c r="AY128" t="s">
        <v>74</v>
      </c>
      <c r="AZ128" t="s">
        <v>74</v>
      </c>
      <c r="BA128" t="s">
        <v>74</v>
      </c>
      <c r="BB128" t="s">
        <v>74</v>
      </c>
      <c r="BC128" t="s">
        <v>74</v>
      </c>
      <c r="BD128">
        <v>740471</v>
      </c>
      <c r="BE128" t="s">
        <v>2512</v>
      </c>
      <c r="BF128" t="str">
        <f>HYPERLINK("http://dx.doi.org/10.1016/j.aquaculture.2023.740471","http://dx.doi.org/10.1016/j.aquaculture.2023.740471")</f>
        <v>http://dx.doi.org/10.1016/j.aquaculture.2023.740471</v>
      </c>
      <c r="BG128" t="s">
        <v>74</v>
      </c>
      <c r="BH128" t="s">
        <v>98</v>
      </c>
      <c r="BI128">
        <v>1</v>
      </c>
      <c r="BJ128" t="s">
        <v>2141</v>
      </c>
      <c r="BK128" t="s">
        <v>100</v>
      </c>
      <c r="BL128" t="s">
        <v>2141</v>
      </c>
      <c r="BM128" t="s">
        <v>2513</v>
      </c>
      <c r="BN128" t="s">
        <v>74</v>
      </c>
      <c r="BO128" t="s">
        <v>74</v>
      </c>
      <c r="BP128" t="s">
        <v>74</v>
      </c>
      <c r="BQ128" t="s">
        <v>74</v>
      </c>
      <c r="BR128" t="s">
        <v>104</v>
      </c>
      <c r="BS128" t="s">
        <v>2514</v>
      </c>
      <c r="BT128" t="str">
        <f>HYPERLINK("https%3A%2F%2Fwww.webofscience.com%2Fwos%2Fwoscc%2Ffull-record%2FWOS:001141567600001","View Full Record in Web of Science")</f>
        <v>View Full Record in Web of Science</v>
      </c>
    </row>
    <row r="129" spans="1:72" x14ac:dyDescent="0.15">
      <c r="A129" t="s">
        <v>72</v>
      </c>
      <c r="B129" t="s">
        <v>2515</v>
      </c>
      <c r="C129" t="s">
        <v>74</v>
      </c>
      <c r="D129" t="s">
        <v>74</v>
      </c>
      <c r="E129" t="s">
        <v>74</v>
      </c>
      <c r="F129" t="s">
        <v>2516</v>
      </c>
      <c r="G129" t="s">
        <v>74</v>
      </c>
      <c r="H129" t="s">
        <v>74</v>
      </c>
      <c r="I129" t="s">
        <v>2517</v>
      </c>
      <c r="J129" t="s">
        <v>2518</v>
      </c>
      <c r="K129" t="s">
        <v>74</v>
      </c>
      <c r="L129" t="s">
        <v>74</v>
      </c>
      <c r="M129" t="s">
        <v>78</v>
      </c>
      <c r="N129" t="s">
        <v>79</v>
      </c>
      <c r="O129" t="s">
        <v>74</v>
      </c>
      <c r="P129" t="s">
        <v>74</v>
      </c>
      <c r="Q129" t="s">
        <v>74</v>
      </c>
      <c r="R129" t="s">
        <v>74</v>
      </c>
      <c r="S129" t="s">
        <v>74</v>
      </c>
      <c r="T129" t="s">
        <v>74</v>
      </c>
      <c r="U129" t="s">
        <v>2519</v>
      </c>
      <c r="V129" t="s">
        <v>2520</v>
      </c>
      <c r="W129" t="s">
        <v>2521</v>
      </c>
      <c r="X129" t="s">
        <v>2522</v>
      </c>
      <c r="Y129" t="s">
        <v>2523</v>
      </c>
      <c r="Z129" t="s">
        <v>2524</v>
      </c>
      <c r="AA129" t="s">
        <v>74</v>
      </c>
      <c r="AB129" t="s">
        <v>2525</v>
      </c>
      <c r="AC129" t="s">
        <v>2526</v>
      </c>
      <c r="AD129" t="s">
        <v>2527</v>
      </c>
      <c r="AE129" t="s">
        <v>2528</v>
      </c>
      <c r="AF129" t="s">
        <v>74</v>
      </c>
      <c r="AG129">
        <v>84</v>
      </c>
      <c r="AH129">
        <v>0</v>
      </c>
      <c r="AI129">
        <v>0</v>
      </c>
      <c r="AJ129">
        <v>4</v>
      </c>
      <c r="AK129">
        <v>4</v>
      </c>
      <c r="AL129" t="s">
        <v>2529</v>
      </c>
      <c r="AM129" t="s">
        <v>2294</v>
      </c>
      <c r="AN129" t="s">
        <v>2530</v>
      </c>
      <c r="AO129" t="s">
        <v>74</v>
      </c>
      <c r="AP129" t="s">
        <v>2531</v>
      </c>
      <c r="AQ129" t="s">
        <v>74</v>
      </c>
      <c r="AR129" t="s">
        <v>2532</v>
      </c>
      <c r="AS129" t="s">
        <v>2533</v>
      </c>
      <c r="AT129" t="s">
        <v>2358</v>
      </c>
      <c r="AU129">
        <v>2023</v>
      </c>
      <c r="AV129">
        <v>4</v>
      </c>
      <c r="AW129">
        <v>1</v>
      </c>
      <c r="AX129" t="s">
        <v>74</v>
      </c>
      <c r="AY129" t="s">
        <v>74</v>
      </c>
      <c r="AZ129" t="s">
        <v>74</v>
      </c>
      <c r="BA129" t="s">
        <v>74</v>
      </c>
      <c r="BB129" t="s">
        <v>74</v>
      </c>
      <c r="BC129" t="s">
        <v>74</v>
      </c>
      <c r="BD129">
        <v>490</v>
      </c>
      <c r="BE129" t="s">
        <v>2534</v>
      </c>
      <c r="BF129" t="str">
        <f>HYPERLINK("http://dx.doi.org/10.1038/s43247-023-01156-y","http://dx.doi.org/10.1038/s43247-023-01156-y")</f>
        <v>http://dx.doi.org/10.1038/s43247-023-01156-y</v>
      </c>
      <c r="BG129" t="s">
        <v>74</v>
      </c>
      <c r="BH129" t="s">
        <v>74</v>
      </c>
      <c r="BI129">
        <v>13</v>
      </c>
      <c r="BJ129" t="s">
        <v>2535</v>
      </c>
      <c r="BK129" t="s">
        <v>100</v>
      </c>
      <c r="BL129" t="s">
        <v>2536</v>
      </c>
      <c r="BM129" t="s">
        <v>2537</v>
      </c>
      <c r="BN129" t="s">
        <v>74</v>
      </c>
      <c r="BO129" t="s">
        <v>131</v>
      </c>
      <c r="BP129" t="s">
        <v>74</v>
      </c>
      <c r="BQ129" t="s">
        <v>74</v>
      </c>
      <c r="BR129" t="s">
        <v>104</v>
      </c>
      <c r="BS129" t="s">
        <v>2538</v>
      </c>
      <c r="BT129" t="str">
        <f>HYPERLINK("https%3A%2F%2Fwww.webofscience.com%2Fwos%2Fwoscc%2Ffull-record%2FWOS:001128792600001","View Full Record in Web of Science")</f>
        <v>View Full Record in Web of Science</v>
      </c>
    </row>
    <row r="130" spans="1:72" x14ac:dyDescent="0.15">
      <c r="A130" t="s">
        <v>72</v>
      </c>
      <c r="B130" t="s">
        <v>2539</v>
      </c>
      <c r="C130" t="s">
        <v>74</v>
      </c>
      <c r="D130" t="s">
        <v>74</v>
      </c>
      <c r="E130" t="s">
        <v>74</v>
      </c>
      <c r="F130" t="s">
        <v>2540</v>
      </c>
      <c r="G130" t="s">
        <v>74</v>
      </c>
      <c r="H130" t="s">
        <v>74</v>
      </c>
      <c r="I130" t="s">
        <v>2541</v>
      </c>
      <c r="J130" t="s">
        <v>2542</v>
      </c>
      <c r="K130" t="s">
        <v>74</v>
      </c>
      <c r="L130" t="s">
        <v>74</v>
      </c>
      <c r="M130" t="s">
        <v>78</v>
      </c>
      <c r="N130" t="s">
        <v>79</v>
      </c>
      <c r="O130" t="s">
        <v>74</v>
      </c>
      <c r="P130" t="s">
        <v>74</v>
      </c>
      <c r="Q130" t="s">
        <v>74</v>
      </c>
      <c r="R130" t="s">
        <v>74</v>
      </c>
      <c r="S130" t="s">
        <v>74</v>
      </c>
      <c r="T130" t="s">
        <v>2543</v>
      </c>
      <c r="U130" t="s">
        <v>74</v>
      </c>
      <c r="V130" t="s">
        <v>2544</v>
      </c>
      <c r="W130" t="s">
        <v>2545</v>
      </c>
      <c r="X130" t="s">
        <v>2546</v>
      </c>
      <c r="Y130" t="s">
        <v>2547</v>
      </c>
      <c r="Z130" t="s">
        <v>2548</v>
      </c>
      <c r="AA130" t="s">
        <v>2549</v>
      </c>
      <c r="AB130" t="s">
        <v>2550</v>
      </c>
      <c r="AC130" t="s">
        <v>2551</v>
      </c>
      <c r="AD130" t="s">
        <v>2552</v>
      </c>
      <c r="AE130" t="s">
        <v>2553</v>
      </c>
      <c r="AF130" t="s">
        <v>74</v>
      </c>
      <c r="AG130">
        <v>58</v>
      </c>
      <c r="AH130">
        <v>0</v>
      </c>
      <c r="AI130">
        <v>0</v>
      </c>
      <c r="AJ130">
        <v>1</v>
      </c>
      <c r="AK130">
        <v>1</v>
      </c>
      <c r="AL130" t="s">
        <v>2554</v>
      </c>
      <c r="AM130" t="s">
        <v>2294</v>
      </c>
      <c r="AN130" t="s">
        <v>2555</v>
      </c>
      <c r="AO130" t="s">
        <v>74</v>
      </c>
      <c r="AP130" t="s">
        <v>2556</v>
      </c>
      <c r="AQ130" t="s">
        <v>74</v>
      </c>
      <c r="AR130" t="s">
        <v>2557</v>
      </c>
      <c r="AS130" t="s">
        <v>2558</v>
      </c>
      <c r="AT130" t="s">
        <v>2358</v>
      </c>
      <c r="AU130">
        <v>2023</v>
      </c>
      <c r="AV130">
        <v>13</v>
      </c>
      <c r="AW130">
        <v>12</v>
      </c>
      <c r="AX130" t="s">
        <v>74</v>
      </c>
      <c r="AY130" t="s">
        <v>74</v>
      </c>
      <c r="AZ130" t="s">
        <v>74</v>
      </c>
      <c r="BA130" t="s">
        <v>74</v>
      </c>
      <c r="BB130" t="s">
        <v>74</v>
      </c>
      <c r="BC130" t="s">
        <v>74</v>
      </c>
      <c r="BD130">
        <v>230181</v>
      </c>
      <c r="BE130" t="s">
        <v>2559</v>
      </c>
      <c r="BF130" t="str">
        <f>HYPERLINK("http://dx.doi.org/10.1098/rsob.230181","http://dx.doi.org/10.1098/rsob.230181")</f>
        <v>http://dx.doi.org/10.1098/rsob.230181</v>
      </c>
      <c r="BG130" t="s">
        <v>74</v>
      </c>
      <c r="BH130" t="s">
        <v>74</v>
      </c>
      <c r="BI130">
        <v>11</v>
      </c>
      <c r="BJ130" t="s">
        <v>930</v>
      </c>
      <c r="BK130" t="s">
        <v>100</v>
      </c>
      <c r="BL130" t="s">
        <v>930</v>
      </c>
      <c r="BM130" t="s">
        <v>2560</v>
      </c>
      <c r="BN130">
        <v>38113934</v>
      </c>
      <c r="BO130" t="s">
        <v>2561</v>
      </c>
      <c r="BP130" t="s">
        <v>74</v>
      </c>
      <c r="BQ130" t="s">
        <v>74</v>
      </c>
      <c r="BR130" t="s">
        <v>104</v>
      </c>
      <c r="BS130" t="s">
        <v>2562</v>
      </c>
      <c r="BT130" t="str">
        <f>HYPERLINK("https%3A%2F%2Fwww.webofscience.com%2Fwos%2Fwoscc%2Ffull-record%2FWOS:001130046400001","View Full Record in Web of Science")</f>
        <v>View Full Record in Web of Science</v>
      </c>
    </row>
    <row r="131" spans="1:72" x14ac:dyDescent="0.15">
      <c r="A131" t="s">
        <v>72</v>
      </c>
      <c r="B131" t="s">
        <v>2563</v>
      </c>
      <c r="C131" t="s">
        <v>74</v>
      </c>
      <c r="D131" t="s">
        <v>74</v>
      </c>
      <c r="E131" t="s">
        <v>74</v>
      </c>
      <c r="F131" t="s">
        <v>2564</v>
      </c>
      <c r="G131" t="s">
        <v>74</v>
      </c>
      <c r="H131" t="s">
        <v>74</v>
      </c>
      <c r="I131" t="s">
        <v>2565</v>
      </c>
      <c r="J131" t="s">
        <v>2566</v>
      </c>
      <c r="K131" t="s">
        <v>74</v>
      </c>
      <c r="L131" t="s">
        <v>74</v>
      </c>
      <c r="M131" t="s">
        <v>78</v>
      </c>
      <c r="N131" t="s">
        <v>79</v>
      </c>
      <c r="O131" t="s">
        <v>74</v>
      </c>
      <c r="P131" t="s">
        <v>74</v>
      </c>
      <c r="Q131" t="s">
        <v>74</v>
      </c>
      <c r="R131" t="s">
        <v>74</v>
      </c>
      <c r="S131" t="s">
        <v>74</v>
      </c>
      <c r="T131" t="s">
        <v>74</v>
      </c>
      <c r="U131" t="s">
        <v>2567</v>
      </c>
      <c r="V131" t="s">
        <v>2568</v>
      </c>
      <c r="W131" t="s">
        <v>2569</v>
      </c>
      <c r="X131" t="s">
        <v>2570</v>
      </c>
      <c r="Y131" t="s">
        <v>2571</v>
      </c>
      <c r="Z131" t="s">
        <v>2572</v>
      </c>
      <c r="AA131" t="s">
        <v>2573</v>
      </c>
      <c r="AB131" t="s">
        <v>2574</v>
      </c>
      <c r="AC131" t="s">
        <v>2575</v>
      </c>
      <c r="AD131" t="s">
        <v>2575</v>
      </c>
      <c r="AE131" t="s">
        <v>2576</v>
      </c>
      <c r="AF131" t="s">
        <v>74</v>
      </c>
      <c r="AG131">
        <v>95</v>
      </c>
      <c r="AH131">
        <v>0</v>
      </c>
      <c r="AI131">
        <v>0</v>
      </c>
      <c r="AJ131">
        <v>1</v>
      </c>
      <c r="AK131">
        <v>1</v>
      </c>
      <c r="AL131" t="s">
        <v>2577</v>
      </c>
      <c r="AM131" t="s">
        <v>2578</v>
      </c>
      <c r="AN131" t="s">
        <v>2579</v>
      </c>
      <c r="AO131" t="s">
        <v>2580</v>
      </c>
      <c r="AP131" t="s">
        <v>2581</v>
      </c>
      <c r="AQ131" t="s">
        <v>74</v>
      </c>
      <c r="AR131" t="s">
        <v>2582</v>
      </c>
      <c r="AS131" t="s">
        <v>2583</v>
      </c>
      <c r="AT131" t="s">
        <v>1108</v>
      </c>
      <c r="AU131">
        <v>2024</v>
      </c>
      <c r="AV131">
        <v>155</v>
      </c>
      <c r="AW131">
        <v>4</v>
      </c>
      <c r="AX131" t="s">
        <v>74</v>
      </c>
      <c r="AY131" t="s">
        <v>74</v>
      </c>
      <c r="AZ131" t="s">
        <v>74</v>
      </c>
      <c r="BA131" t="s">
        <v>74</v>
      </c>
      <c r="BB131">
        <v>3047</v>
      </c>
      <c r="BC131">
        <v>3070</v>
      </c>
      <c r="BD131" t="s">
        <v>74</v>
      </c>
      <c r="BE131" t="s">
        <v>2584</v>
      </c>
      <c r="BF131" t="str">
        <f>HYPERLINK("http://dx.doi.org/10.1007/s00704-023-04753-1","http://dx.doi.org/10.1007/s00704-023-04753-1")</f>
        <v>http://dx.doi.org/10.1007/s00704-023-04753-1</v>
      </c>
      <c r="BG131" t="s">
        <v>74</v>
      </c>
      <c r="BH131" t="s">
        <v>98</v>
      </c>
      <c r="BI131">
        <v>24</v>
      </c>
      <c r="BJ131" t="s">
        <v>1522</v>
      </c>
      <c r="BK131" t="s">
        <v>100</v>
      </c>
      <c r="BL131" t="s">
        <v>1522</v>
      </c>
      <c r="BM131" t="s">
        <v>2585</v>
      </c>
      <c r="BN131" t="s">
        <v>74</v>
      </c>
      <c r="BO131" t="s">
        <v>322</v>
      </c>
      <c r="BP131" t="s">
        <v>74</v>
      </c>
      <c r="BQ131" t="s">
        <v>74</v>
      </c>
      <c r="BR131" t="s">
        <v>104</v>
      </c>
      <c r="BS131" t="s">
        <v>2586</v>
      </c>
      <c r="BT131" t="str">
        <f>HYPERLINK("https%3A%2F%2Fwww.webofscience.com%2Fwos%2Fwoscc%2Ffull-record%2FWOS:001127524600002","View Full Record in Web of Science")</f>
        <v>View Full Record in Web of Science</v>
      </c>
    </row>
    <row r="132" spans="1:72" x14ac:dyDescent="0.15">
      <c r="A132" t="s">
        <v>72</v>
      </c>
      <c r="B132" t="s">
        <v>2587</v>
      </c>
      <c r="C132" t="s">
        <v>74</v>
      </c>
      <c r="D132" t="s">
        <v>74</v>
      </c>
      <c r="E132" t="s">
        <v>74</v>
      </c>
      <c r="F132" t="s">
        <v>2588</v>
      </c>
      <c r="G132" t="s">
        <v>74</v>
      </c>
      <c r="H132" t="s">
        <v>74</v>
      </c>
      <c r="I132" t="s">
        <v>2589</v>
      </c>
      <c r="J132" t="s">
        <v>1673</v>
      </c>
      <c r="K132" t="s">
        <v>74</v>
      </c>
      <c r="L132" t="s">
        <v>74</v>
      </c>
      <c r="M132" t="s">
        <v>78</v>
      </c>
      <c r="N132" t="s">
        <v>79</v>
      </c>
      <c r="O132" t="s">
        <v>74</v>
      </c>
      <c r="P132" t="s">
        <v>74</v>
      </c>
      <c r="Q132" t="s">
        <v>74</v>
      </c>
      <c r="R132" t="s">
        <v>74</v>
      </c>
      <c r="S132" t="s">
        <v>74</v>
      </c>
      <c r="T132" t="s">
        <v>2590</v>
      </c>
      <c r="U132" t="s">
        <v>2591</v>
      </c>
      <c r="V132" t="s">
        <v>2592</v>
      </c>
      <c r="W132" t="s">
        <v>2593</v>
      </c>
      <c r="X132" t="s">
        <v>2594</v>
      </c>
      <c r="Y132" t="s">
        <v>2595</v>
      </c>
      <c r="Z132" t="s">
        <v>2596</v>
      </c>
      <c r="AA132" t="s">
        <v>74</v>
      </c>
      <c r="AB132" t="s">
        <v>74</v>
      </c>
      <c r="AC132" t="s">
        <v>2597</v>
      </c>
      <c r="AD132" t="s">
        <v>2598</v>
      </c>
      <c r="AE132" t="s">
        <v>2599</v>
      </c>
      <c r="AF132" t="s">
        <v>74</v>
      </c>
      <c r="AG132">
        <v>24</v>
      </c>
      <c r="AH132">
        <v>0</v>
      </c>
      <c r="AI132">
        <v>0</v>
      </c>
      <c r="AJ132">
        <v>0</v>
      </c>
      <c r="AK132">
        <v>0</v>
      </c>
      <c r="AL132" t="s">
        <v>1685</v>
      </c>
      <c r="AM132" t="s">
        <v>1686</v>
      </c>
      <c r="AN132" t="s">
        <v>1687</v>
      </c>
      <c r="AO132" t="s">
        <v>1688</v>
      </c>
      <c r="AP132" t="s">
        <v>1689</v>
      </c>
      <c r="AQ132" t="s">
        <v>74</v>
      </c>
      <c r="AR132" t="s">
        <v>1673</v>
      </c>
      <c r="AS132" t="s">
        <v>1690</v>
      </c>
      <c r="AT132" t="s">
        <v>2600</v>
      </c>
      <c r="AU132">
        <v>2023</v>
      </c>
      <c r="AV132">
        <v>5389</v>
      </c>
      <c r="AW132">
        <v>2</v>
      </c>
      <c r="AX132" t="s">
        <v>74</v>
      </c>
      <c r="AY132" t="s">
        <v>74</v>
      </c>
      <c r="AZ132" t="s">
        <v>74</v>
      </c>
      <c r="BA132" t="s">
        <v>74</v>
      </c>
      <c r="BB132">
        <v>241</v>
      </c>
      <c r="BC132">
        <v>252</v>
      </c>
      <c r="BD132" t="s">
        <v>74</v>
      </c>
      <c r="BE132" t="s">
        <v>2601</v>
      </c>
      <c r="BF132" t="str">
        <f>HYPERLINK("http://dx.doi.org/10.11646/zootaxa.5389.2.6","http://dx.doi.org/10.11646/zootaxa.5389.2.6")</f>
        <v>http://dx.doi.org/10.11646/zootaxa.5389.2.6</v>
      </c>
      <c r="BG132" t="s">
        <v>74</v>
      </c>
      <c r="BH132" t="s">
        <v>74</v>
      </c>
      <c r="BI132">
        <v>12</v>
      </c>
      <c r="BJ132" t="s">
        <v>1568</v>
      </c>
      <c r="BK132" t="s">
        <v>100</v>
      </c>
      <c r="BL132" t="s">
        <v>1568</v>
      </c>
      <c r="BM132" t="s">
        <v>2602</v>
      </c>
      <c r="BN132">
        <v>38221027</v>
      </c>
      <c r="BO132" t="s">
        <v>74</v>
      </c>
      <c r="BP132" t="s">
        <v>74</v>
      </c>
      <c r="BQ132" t="s">
        <v>74</v>
      </c>
      <c r="BR132" t="s">
        <v>104</v>
      </c>
      <c r="BS132" t="s">
        <v>2603</v>
      </c>
      <c r="BT132" t="str">
        <f>HYPERLINK("https%3A%2F%2Fwww.webofscience.com%2Fwos%2Fwoscc%2Ffull-record%2FWOS:001161549700006","View Full Record in Web of Science")</f>
        <v>View Full Record in Web of Science</v>
      </c>
    </row>
    <row r="133" spans="1:72" x14ac:dyDescent="0.15">
      <c r="A133" t="s">
        <v>72</v>
      </c>
      <c r="B133" t="s">
        <v>2604</v>
      </c>
      <c r="C133" t="s">
        <v>74</v>
      </c>
      <c r="D133" t="s">
        <v>74</v>
      </c>
      <c r="E133" t="s">
        <v>74</v>
      </c>
      <c r="F133" t="s">
        <v>2605</v>
      </c>
      <c r="G133" t="s">
        <v>74</v>
      </c>
      <c r="H133" t="s">
        <v>74</v>
      </c>
      <c r="I133" t="s">
        <v>2606</v>
      </c>
      <c r="J133" t="s">
        <v>1826</v>
      </c>
      <c r="K133" t="s">
        <v>74</v>
      </c>
      <c r="L133" t="s">
        <v>74</v>
      </c>
      <c r="M133" t="s">
        <v>78</v>
      </c>
      <c r="N133" t="s">
        <v>79</v>
      </c>
      <c r="O133" t="s">
        <v>74</v>
      </c>
      <c r="P133" t="s">
        <v>74</v>
      </c>
      <c r="Q133" t="s">
        <v>74</v>
      </c>
      <c r="R133" t="s">
        <v>74</v>
      </c>
      <c r="S133" t="s">
        <v>74</v>
      </c>
      <c r="T133" t="s">
        <v>74</v>
      </c>
      <c r="U133" t="s">
        <v>2607</v>
      </c>
      <c r="V133" t="s">
        <v>2608</v>
      </c>
      <c r="W133" t="s">
        <v>2609</v>
      </c>
      <c r="X133" t="s">
        <v>2610</v>
      </c>
      <c r="Y133" t="s">
        <v>2611</v>
      </c>
      <c r="Z133" t="s">
        <v>2612</v>
      </c>
      <c r="AA133" t="s">
        <v>2613</v>
      </c>
      <c r="AB133" t="s">
        <v>2614</v>
      </c>
      <c r="AC133" t="s">
        <v>2615</v>
      </c>
      <c r="AD133" t="s">
        <v>2616</v>
      </c>
      <c r="AE133" t="s">
        <v>2617</v>
      </c>
      <c r="AF133" t="s">
        <v>74</v>
      </c>
      <c r="AG133">
        <v>117</v>
      </c>
      <c r="AH133">
        <v>1</v>
      </c>
      <c r="AI133">
        <v>1</v>
      </c>
      <c r="AJ133">
        <v>1</v>
      </c>
      <c r="AK133">
        <v>1</v>
      </c>
      <c r="AL133" t="s">
        <v>1838</v>
      </c>
      <c r="AM133" t="s">
        <v>1839</v>
      </c>
      <c r="AN133" t="s">
        <v>1840</v>
      </c>
      <c r="AO133" t="s">
        <v>1841</v>
      </c>
      <c r="AP133" t="s">
        <v>1842</v>
      </c>
      <c r="AQ133" t="s">
        <v>74</v>
      </c>
      <c r="AR133" t="s">
        <v>1843</v>
      </c>
      <c r="AS133" t="s">
        <v>1844</v>
      </c>
      <c r="AT133" t="s">
        <v>2600</v>
      </c>
      <c r="AU133">
        <v>2023</v>
      </c>
      <c r="AV133">
        <v>16</v>
      </c>
      <c r="AW133">
        <v>24</v>
      </c>
      <c r="AX133" t="s">
        <v>74</v>
      </c>
      <c r="AY133" t="s">
        <v>74</v>
      </c>
      <c r="AZ133" t="s">
        <v>74</v>
      </c>
      <c r="BA133" t="s">
        <v>74</v>
      </c>
      <c r="BB133">
        <v>7289</v>
      </c>
      <c r="BC133">
        <v>7309</v>
      </c>
      <c r="BD133" t="s">
        <v>74</v>
      </c>
      <c r="BE133" t="s">
        <v>2618</v>
      </c>
      <c r="BF133" t="str">
        <f>HYPERLINK("http://dx.doi.org/10.5194/gmd-16-7289-2023","http://dx.doi.org/10.5194/gmd-16-7289-2023")</f>
        <v>http://dx.doi.org/10.5194/gmd-16-7289-2023</v>
      </c>
      <c r="BG133" t="s">
        <v>74</v>
      </c>
      <c r="BH133" t="s">
        <v>74</v>
      </c>
      <c r="BI133">
        <v>21</v>
      </c>
      <c r="BJ133" t="s">
        <v>535</v>
      </c>
      <c r="BK133" t="s">
        <v>100</v>
      </c>
      <c r="BL133" t="s">
        <v>536</v>
      </c>
      <c r="BM133" t="s">
        <v>2619</v>
      </c>
      <c r="BN133" t="s">
        <v>74</v>
      </c>
      <c r="BO133" t="s">
        <v>131</v>
      </c>
      <c r="BP133" t="s">
        <v>74</v>
      </c>
      <c r="BQ133" t="s">
        <v>74</v>
      </c>
      <c r="BR133" t="s">
        <v>104</v>
      </c>
      <c r="BS133" t="s">
        <v>2620</v>
      </c>
      <c r="BT133" t="str">
        <f>HYPERLINK("https%3A%2F%2Fwww.webofscience.com%2Fwos%2Fwoscc%2Ffull-record%2FWOS:001166582900001","View Full Record in Web of Science")</f>
        <v>View Full Record in Web of Science</v>
      </c>
    </row>
    <row r="134" spans="1:72" x14ac:dyDescent="0.15">
      <c r="A134" t="s">
        <v>72</v>
      </c>
      <c r="B134" t="s">
        <v>2621</v>
      </c>
      <c r="C134" t="s">
        <v>74</v>
      </c>
      <c r="D134" t="s">
        <v>74</v>
      </c>
      <c r="E134" t="s">
        <v>74</v>
      </c>
      <c r="F134" t="s">
        <v>2622</v>
      </c>
      <c r="G134" t="s">
        <v>74</v>
      </c>
      <c r="H134" t="s">
        <v>74</v>
      </c>
      <c r="I134" t="s">
        <v>2623</v>
      </c>
      <c r="J134" t="s">
        <v>2624</v>
      </c>
      <c r="K134" t="s">
        <v>74</v>
      </c>
      <c r="L134" t="s">
        <v>74</v>
      </c>
      <c r="M134" t="s">
        <v>78</v>
      </c>
      <c r="N134" t="s">
        <v>79</v>
      </c>
      <c r="O134" t="s">
        <v>74</v>
      </c>
      <c r="P134" t="s">
        <v>74</v>
      </c>
      <c r="Q134" t="s">
        <v>74</v>
      </c>
      <c r="R134" t="s">
        <v>74</v>
      </c>
      <c r="S134" t="s">
        <v>74</v>
      </c>
      <c r="T134" t="s">
        <v>2625</v>
      </c>
      <c r="U134" t="s">
        <v>2626</v>
      </c>
      <c r="V134" t="s">
        <v>2627</v>
      </c>
      <c r="W134" t="s">
        <v>2628</v>
      </c>
      <c r="X134" t="s">
        <v>2629</v>
      </c>
      <c r="Y134" t="s">
        <v>2630</v>
      </c>
      <c r="Z134" t="s">
        <v>2631</v>
      </c>
      <c r="AA134" t="s">
        <v>2632</v>
      </c>
      <c r="AB134" t="s">
        <v>2633</v>
      </c>
      <c r="AC134" t="s">
        <v>2634</v>
      </c>
      <c r="AD134" t="s">
        <v>2635</v>
      </c>
      <c r="AE134" t="s">
        <v>2636</v>
      </c>
      <c r="AF134" t="s">
        <v>74</v>
      </c>
      <c r="AG134">
        <v>63</v>
      </c>
      <c r="AH134">
        <v>1</v>
      </c>
      <c r="AI134">
        <v>1</v>
      </c>
      <c r="AJ134">
        <v>0</v>
      </c>
      <c r="AK134">
        <v>0</v>
      </c>
      <c r="AL134" t="s">
        <v>947</v>
      </c>
      <c r="AM134" t="s">
        <v>948</v>
      </c>
      <c r="AN134" t="s">
        <v>949</v>
      </c>
      <c r="AO134" t="s">
        <v>2637</v>
      </c>
      <c r="AP134" t="s">
        <v>2638</v>
      </c>
      <c r="AQ134" t="s">
        <v>74</v>
      </c>
      <c r="AR134" t="s">
        <v>2624</v>
      </c>
      <c r="AS134" t="s">
        <v>2639</v>
      </c>
      <c r="AT134" t="s">
        <v>1973</v>
      </c>
      <c r="AU134">
        <v>2024</v>
      </c>
      <c r="AV134">
        <v>447</v>
      </c>
      <c r="AW134" t="s">
        <v>74</v>
      </c>
      <c r="AX134" t="s">
        <v>74</v>
      </c>
      <c r="AY134" t="s">
        <v>74</v>
      </c>
      <c r="AZ134" t="s">
        <v>74</v>
      </c>
      <c r="BA134" t="s">
        <v>74</v>
      </c>
      <c r="BB134" t="s">
        <v>74</v>
      </c>
      <c r="BC134" t="s">
        <v>74</v>
      </c>
      <c r="BD134">
        <v>109009</v>
      </c>
      <c r="BE134" t="s">
        <v>2640</v>
      </c>
      <c r="BF134" t="str">
        <f>HYPERLINK("http://dx.doi.org/10.1016/j.geomorph.2023.109009","http://dx.doi.org/10.1016/j.geomorph.2023.109009")</f>
        <v>http://dx.doi.org/10.1016/j.geomorph.2023.109009</v>
      </c>
      <c r="BG134" t="s">
        <v>74</v>
      </c>
      <c r="BH134" t="s">
        <v>98</v>
      </c>
      <c r="BI134">
        <v>11</v>
      </c>
      <c r="BJ134" t="s">
        <v>984</v>
      </c>
      <c r="BK134" t="s">
        <v>100</v>
      </c>
      <c r="BL134" t="s">
        <v>985</v>
      </c>
      <c r="BM134" t="s">
        <v>2641</v>
      </c>
      <c r="BN134" t="s">
        <v>74</v>
      </c>
      <c r="BO134" t="s">
        <v>74</v>
      </c>
      <c r="BP134" t="s">
        <v>74</v>
      </c>
      <c r="BQ134" t="s">
        <v>74</v>
      </c>
      <c r="BR134" t="s">
        <v>104</v>
      </c>
      <c r="BS134" t="s">
        <v>2642</v>
      </c>
      <c r="BT134" t="str">
        <f>HYPERLINK("https%3A%2F%2Fwww.webofscience.com%2Fwos%2Fwoscc%2Ffull-record%2FWOS:001147527700001","View Full Record in Web of Science")</f>
        <v>View Full Record in Web of Science</v>
      </c>
    </row>
    <row r="135" spans="1:72" x14ac:dyDescent="0.15">
      <c r="A135" t="s">
        <v>72</v>
      </c>
      <c r="B135" t="s">
        <v>2643</v>
      </c>
      <c r="C135" t="s">
        <v>74</v>
      </c>
      <c r="D135" t="s">
        <v>74</v>
      </c>
      <c r="E135" t="s">
        <v>74</v>
      </c>
      <c r="F135" t="s">
        <v>2644</v>
      </c>
      <c r="G135" t="s">
        <v>74</v>
      </c>
      <c r="H135" t="s">
        <v>74</v>
      </c>
      <c r="I135" t="s">
        <v>2645</v>
      </c>
      <c r="J135" t="s">
        <v>2646</v>
      </c>
      <c r="K135" t="s">
        <v>74</v>
      </c>
      <c r="L135" t="s">
        <v>74</v>
      </c>
      <c r="M135" t="s">
        <v>78</v>
      </c>
      <c r="N135" t="s">
        <v>79</v>
      </c>
      <c r="O135" t="s">
        <v>74</v>
      </c>
      <c r="P135" t="s">
        <v>74</v>
      </c>
      <c r="Q135" t="s">
        <v>74</v>
      </c>
      <c r="R135" t="s">
        <v>74</v>
      </c>
      <c r="S135" t="s">
        <v>74</v>
      </c>
      <c r="T135" t="s">
        <v>2647</v>
      </c>
      <c r="U135" t="s">
        <v>2648</v>
      </c>
      <c r="V135" t="s">
        <v>2649</v>
      </c>
      <c r="W135" t="s">
        <v>2650</v>
      </c>
      <c r="X135" t="s">
        <v>2651</v>
      </c>
      <c r="Y135" t="s">
        <v>2652</v>
      </c>
      <c r="Z135" t="s">
        <v>2653</v>
      </c>
      <c r="AA135" t="s">
        <v>2654</v>
      </c>
      <c r="AB135" t="s">
        <v>2655</v>
      </c>
      <c r="AC135" t="s">
        <v>2656</v>
      </c>
      <c r="AD135" t="s">
        <v>2657</v>
      </c>
      <c r="AE135" t="s">
        <v>2658</v>
      </c>
      <c r="AF135" t="s">
        <v>74</v>
      </c>
      <c r="AG135">
        <v>20</v>
      </c>
      <c r="AH135">
        <v>0</v>
      </c>
      <c r="AI135">
        <v>0</v>
      </c>
      <c r="AJ135">
        <v>0</v>
      </c>
      <c r="AK135">
        <v>0</v>
      </c>
      <c r="AL135" t="s">
        <v>947</v>
      </c>
      <c r="AM135" t="s">
        <v>948</v>
      </c>
      <c r="AN135" t="s">
        <v>949</v>
      </c>
      <c r="AO135" t="s">
        <v>2659</v>
      </c>
      <c r="AP135" t="s">
        <v>74</v>
      </c>
      <c r="AQ135" t="s">
        <v>74</v>
      </c>
      <c r="AR135" t="s">
        <v>2660</v>
      </c>
      <c r="AS135" t="s">
        <v>2661</v>
      </c>
      <c r="AT135" t="s">
        <v>1133</v>
      </c>
      <c r="AU135">
        <v>2024</v>
      </c>
      <c r="AV135">
        <v>52</v>
      </c>
      <c r="AW135" t="s">
        <v>74</v>
      </c>
      <c r="AX135" t="s">
        <v>74</v>
      </c>
      <c r="AY135" t="s">
        <v>74</v>
      </c>
      <c r="AZ135" t="s">
        <v>74</v>
      </c>
      <c r="BA135" t="s">
        <v>74</v>
      </c>
      <c r="BB135" t="s">
        <v>74</v>
      </c>
      <c r="BC135" t="s">
        <v>74</v>
      </c>
      <c r="BD135">
        <v>109970</v>
      </c>
      <c r="BE135" t="s">
        <v>2662</v>
      </c>
      <c r="BF135" t="str">
        <f>HYPERLINK("http://dx.doi.org/10.1016/j.dib.2023.109970","http://dx.doi.org/10.1016/j.dib.2023.109970")</f>
        <v>http://dx.doi.org/10.1016/j.dib.2023.109970</v>
      </c>
      <c r="BG135" t="s">
        <v>74</v>
      </c>
      <c r="BH135" t="s">
        <v>98</v>
      </c>
      <c r="BI135">
        <v>14</v>
      </c>
      <c r="BJ135" t="s">
        <v>1035</v>
      </c>
      <c r="BK135" t="s">
        <v>912</v>
      </c>
      <c r="BL135" t="s">
        <v>1036</v>
      </c>
      <c r="BM135" t="s">
        <v>2663</v>
      </c>
      <c r="BN135">
        <v>38186740</v>
      </c>
      <c r="BO135" t="s">
        <v>265</v>
      </c>
      <c r="BP135" t="s">
        <v>74</v>
      </c>
      <c r="BQ135" t="s">
        <v>74</v>
      </c>
      <c r="BR135" t="s">
        <v>104</v>
      </c>
      <c r="BS135" t="s">
        <v>2664</v>
      </c>
      <c r="BT135" t="str">
        <f>HYPERLINK("https%3A%2F%2Fwww.webofscience.com%2Fwos%2Fwoscc%2Ffull-record%2FWOS:001145864300001","View Full Record in Web of Science")</f>
        <v>View Full Record in Web of Science</v>
      </c>
    </row>
    <row r="136" spans="1:72" x14ac:dyDescent="0.15">
      <c r="A136" t="s">
        <v>72</v>
      </c>
      <c r="B136" t="s">
        <v>2665</v>
      </c>
      <c r="C136" t="s">
        <v>74</v>
      </c>
      <c r="D136" t="s">
        <v>74</v>
      </c>
      <c r="E136" t="s">
        <v>74</v>
      </c>
      <c r="F136" t="s">
        <v>2666</v>
      </c>
      <c r="G136" t="s">
        <v>74</v>
      </c>
      <c r="H136" t="s">
        <v>74</v>
      </c>
      <c r="I136" t="s">
        <v>2667</v>
      </c>
      <c r="J136" t="s">
        <v>2668</v>
      </c>
      <c r="K136" t="s">
        <v>74</v>
      </c>
      <c r="L136" t="s">
        <v>74</v>
      </c>
      <c r="M136" t="s">
        <v>78</v>
      </c>
      <c r="N136" t="s">
        <v>79</v>
      </c>
      <c r="O136" t="s">
        <v>74</v>
      </c>
      <c r="P136" t="s">
        <v>74</v>
      </c>
      <c r="Q136" t="s">
        <v>74</v>
      </c>
      <c r="R136" t="s">
        <v>74</v>
      </c>
      <c r="S136" t="s">
        <v>74</v>
      </c>
      <c r="T136" t="s">
        <v>2669</v>
      </c>
      <c r="U136" t="s">
        <v>2670</v>
      </c>
      <c r="V136" t="s">
        <v>2671</v>
      </c>
      <c r="W136" t="s">
        <v>2672</v>
      </c>
      <c r="X136" t="s">
        <v>2673</v>
      </c>
      <c r="Y136" t="s">
        <v>2674</v>
      </c>
      <c r="Z136" t="s">
        <v>2675</v>
      </c>
      <c r="AA136" t="s">
        <v>74</v>
      </c>
      <c r="AB136" t="s">
        <v>74</v>
      </c>
      <c r="AC136" t="s">
        <v>2676</v>
      </c>
      <c r="AD136" t="s">
        <v>2677</v>
      </c>
      <c r="AE136" t="s">
        <v>2678</v>
      </c>
      <c r="AF136" t="s">
        <v>74</v>
      </c>
      <c r="AG136">
        <v>101</v>
      </c>
      <c r="AH136">
        <v>0</v>
      </c>
      <c r="AI136">
        <v>0</v>
      </c>
      <c r="AJ136">
        <v>9</v>
      </c>
      <c r="AK136">
        <v>9</v>
      </c>
      <c r="AL136" t="s">
        <v>947</v>
      </c>
      <c r="AM136" t="s">
        <v>948</v>
      </c>
      <c r="AN136" t="s">
        <v>949</v>
      </c>
      <c r="AO136" t="s">
        <v>2679</v>
      </c>
      <c r="AP136" t="s">
        <v>2680</v>
      </c>
      <c r="AQ136" t="s">
        <v>74</v>
      </c>
      <c r="AR136" t="s">
        <v>2681</v>
      </c>
      <c r="AS136" t="s">
        <v>2682</v>
      </c>
      <c r="AT136" t="s">
        <v>1973</v>
      </c>
      <c r="AU136">
        <v>2024</v>
      </c>
      <c r="AV136">
        <v>636</v>
      </c>
      <c r="AW136" t="s">
        <v>74</v>
      </c>
      <c r="AX136" t="s">
        <v>74</v>
      </c>
      <c r="AY136" t="s">
        <v>74</v>
      </c>
      <c r="AZ136" t="s">
        <v>74</v>
      </c>
      <c r="BA136" t="s">
        <v>74</v>
      </c>
      <c r="BB136" t="s">
        <v>74</v>
      </c>
      <c r="BC136" t="s">
        <v>74</v>
      </c>
      <c r="BD136">
        <v>111971</v>
      </c>
      <c r="BE136" t="s">
        <v>2683</v>
      </c>
      <c r="BF136" t="str">
        <f>HYPERLINK("http://dx.doi.org/10.1016/j.palaeo.2023.111971","http://dx.doi.org/10.1016/j.palaeo.2023.111971")</f>
        <v>http://dx.doi.org/10.1016/j.palaeo.2023.111971</v>
      </c>
      <c r="BG136" t="s">
        <v>74</v>
      </c>
      <c r="BH136" t="s">
        <v>98</v>
      </c>
      <c r="BI136">
        <v>13</v>
      </c>
      <c r="BJ136" t="s">
        <v>2684</v>
      </c>
      <c r="BK136" t="s">
        <v>100</v>
      </c>
      <c r="BL136" t="s">
        <v>2685</v>
      </c>
      <c r="BM136" t="s">
        <v>2686</v>
      </c>
      <c r="BN136" t="s">
        <v>74</v>
      </c>
      <c r="BO136" t="s">
        <v>74</v>
      </c>
      <c r="BP136" t="s">
        <v>74</v>
      </c>
      <c r="BQ136" t="s">
        <v>74</v>
      </c>
      <c r="BR136" t="s">
        <v>104</v>
      </c>
      <c r="BS136" t="s">
        <v>2687</v>
      </c>
      <c r="BT136" t="str">
        <f>HYPERLINK("https%3A%2F%2Fwww.webofscience.com%2Fwos%2Fwoscc%2Ffull-record%2FWOS:001147416500001","View Full Record in Web of Science")</f>
        <v>View Full Record in Web of Science</v>
      </c>
    </row>
    <row r="137" spans="1:72" x14ac:dyDescent="0.15">
      <c r="A137" t="s">
        <v>72</v>
      </c>
      <c r="B137" t="s">
        <v>2688</v>
      </c>
      <c r="C137" t="s">
        <v>74</v>
      </c>
      <c r="D137" t="s">
        <v>74</v>
      </c>
      <c r="E137" t="s">
        <v>74</v>
      </c>
      <c r="F137" t="s">
        <v>2689</v>
      </c>
      <c r="G137" t="s">
        <v>74</v>
      </c>
      <c r="H137" t="s">
        <v>74</v>
      </c>
      <c r="I137" t="s">
        <v>2690</v>
      </c>
      <c r="J137" t="s">
        <v>2691</v>
      </c>
      <c r="K137" t="s">
        <v>74</v>
      </c>
      <c r="L137" t="s">
        <v>74</v>
      </c>
      <c r="M137" t="s">
        <v>78</v>
      </c>
      <c r="N137" t="s">
        <v>79</v>
      </c>
      <c r="O137" t="s">
        <v>74</v>
      </c>
      <c r="P137" t="s">
        <v>74</v>
      </c>
      <c r="Q137" t="s">
        <v>74</v>
      </c>
      <c r="R137" t="s">
        <v>74</v>
      </c>
      <c r="S137" t="s">
        <v>74</v>
      </c>
      <c r="T137" t="s">
        <v>2692</v>
      </c>
      <c r="U137" t="s">
        <v>2693</v>
      </c>
      <c r="V137" t="s">
        <v>2694</v>
      </c>
      <c r="W137" t="s">
        <v>2695</v>
      </c>
      <c r="X137" t="s">
        <v>2696</v>
      </c>
      <c r="Y137" t="s">
        <v>2697</v>
      </c>
      <c r="Z137" t="s">
        <v>2698</v>
      </c>
      <c r="AA137" t="s">
        <v>2699</v>
      </c>
      <c r="AB137" t="s">
        <v>2700</v>
      </c>
      <c r="AC137" t="s">
        <v>74</v>
      </c>
      <c r="AD137" t="s">
        <v>74</v>
      </c>
      <c r="AE137" t="s">
        <v>74</v>
      </c>
      <c r="AF137" t="s">
        <v>74</v>
      </c>
      <c r="AG137">
        <v>39</v>
      </c>
      <c r="AH137">
        <v>1</v>
      </c>
      <c r="AI137">
        <v>1</v>
      </c>
      <c r="AJ137">
        <v>1</v>
      </c>
      <c r="AK137">
        <v>1</v>
      </c>
      <c r="AL137" t="s">
        <v>947</v>
      </c>
      <c r="AM137" t="s">
        <v>948</v>
      </c>
      <c r="AN137" t="s">
        <v>949</v>
      </c>
      <c r="AO137" t="s">
        <v>2701</v>
      </c>
      <c r="AP137" t="s">
        <v>74</v>
      </c>
      <c r="AQ137" t="s">
        <v>74</v>
      </c>
      <c r="AR137" t="s">
        <v>2702</v>
      </c>
      <c r="AS137" t="s">
        <v>2703</v>
      </c>
      <c r="AT137" t="s">
        <v>954</v>
      </c>
      <c r="AU137">
        <v>2024</v>
      </c>
      <c r="AV137">
        <v>69</v>
      </c>
      <c r="AW137" t="s">
        <v>74</v>
      </c>
      <c r="AX137" t="s">
        <v>74</v>
      </c>
      <c r="AY137" t="s">
        <v>74</v>
      </c>
      <c r="AZ137" t="s">
        <v>74</v>
      </c>
      <c r="BA137" t="s">
        <v>74</v>
      </c>
      <c r="BB137" t="s">
        <v>74</v>
      </c>
      <c r="BC137" t="s">
        <v>74</v>
      </c>
      <c r="BD137">
        <v>103310</v>
      </c>
      <c r="BE137" t="s">
        <v>2704</v>
      </c>
      <c r="BF137" t="str">
        <f>HYPERLINK("http://dx.doi.org/10.1016/j.rsma.2023.103310","http://dx.doi.org/10.1016/j.rsma.2023.103310")</f>
        <v>http://dx.doi.org/10.1016/j.rsma.2023.103310</v>
      </c>
      <c r="BG137" t="s">
        <v>74</v>
      </c>
      <c r="BH137" t="s">
        <v>98</v>
      </c>
      <c r="BI137">
        <v>12</v>
      </c>
      <c r="BJ137" t="s">
        <v>2705</v>
      </c>
      <c r="BK137" t="s">
        <v>100</v>
      </c>
      <c r="BL137" t="s">
        <v>1136</v>
      </c>
      <c r="BM137" t="s">
        <v>2706</v>
      </c>
      <c r="BN137" t="s">
        <v>74</v>
      </c>
      <c r="BO137" t="s">
        <v>103</v>
      </c>
      <c r="BP137" t="s">
        <v>74</v>
      </c>
      <c r="BQ137" t="s">
        <v>74</v>
      </c>
      <c r="BR137" t="s">
        <v>104</v>
      </c>
      <c r="BS137" t="s">
        <v>2707</v>
      </c>
      <c r="BT137" t="str">
        <f>HYPERLINK("https%3A%2F%2Fwww.webofscience.com%2Fwos%2Fwoscc%2Ffull-record%2FWOS:001142481500001","View Full Record in Web of Science")</f>
        <v>View Full Record in Web of Science</v>
      </c>
    </row>
    <row r="138" spans="1:72" x14ac:dyDescent="0.15">
      <c r="A138" t="s">
        <v>72</v>
      </c>
      <c r="B138" t="s">
        <v>2708</v>
      </c>
      <c r="C138" t="s">
        <v>74</v>
      </c>
      <c r="D138" t="s">
        <v>74</v>
      </c>
      <c r="E138" t="s">
        <v>74</v>
      </c>
      <c r="F138" t="s">
        <v>2709</v>
      </c>
      <c r="G138" t="s">
        <v>74</v>
      </c>
      <c r="H138" t="s">
        <v>74</v>
      </c>
      <c r="I138" t="s">
        <v>2710</v>
      </c>
      <c r="J138" t="s">
        <v>2711</v>
      </c>
      <c r="K138" t="s">
        <v>74</v>
      </c>
      <c r="L138" t="s">
        <v>74</v>
      </c>
      <c r="M138" t="s">
        <v>78</v>
      </c>
      <c r="N138" t="s">
        <v>79</v>
      </c>
      <c r="O138" t="s">
        <v>74</v>
      </c>
      <c r="P138" t="s">
        <v>74</v>
      </c>
      <c r="Q138" t="s">
        <v>74</v>
      </c>
      <c r="R138" t="s">
        <v>74</v>
      </c>
      <c r="S138" t="s">
        <v>74</v>
      </c>
      <c r="T138" t="s">
        <v>2712</v>
      </c>
      <c r="U138" t="s">
        <v>2713</v>
      </c>
      <c r="V138" t="s">
        <v>2714</v>
      </c>
      <c r="W138" t="s">
        <v>2715</v>
      </c>
      <c r="X138" t="s">
        <v>2716</v>
      </c>
      <c r="Y138" t="s">
        <v>2717</v>
      </c>
      <c r="Z138" t="s">
        <v>2718</v>
      </c>
      <c r="AA138" t="s">
        <v>2719</v>
      </c>
      <c r="AB138" t="s">
        <v>74</v>
      </c>
      <c r="AC138" t="s">
        <v>2720</v>
      </c>
      <c r="AD138" t="s">
        <v>2721</v>
      </c>
      <c r="AE138" t="s">
        <v>2722</v>
      </c>
      <c r="AF138" t="s">
        <v>74</v>
      </c>
      <c r="AG138">
        <v>145</v>
      </c>
      <c r="AH138">
        <v>0</v>
      </c>
      <c r="AI138">
        <v>0</v>
      </c>
      <c r="AJ138">
        <v>3</v>
      </c>
      <c r="AK138">
        <v>3</v>
      </c>
      <c r="AL138" t="s">
        <v>947</v>
      </c>
      <c r="AM138" t="s">
        <v>948</v>
      </c>
      <c r="AN138" t="s">
        <v>949</v>
      </c>
      <c r="AO138" t="s">
        <v>2723</v>
      </c>
      <c r="AP138" t="s">
        <v>2724</v>
      </c>
      <c r="AQ138" t="s">
        <v>74</v>
      </c>
      <c r="AR138" t="s">
        <v>2725</v>
      </c>
      <c r="AS138" t="s">
        <v>2726</v>
      </c>
      <c r="AT138" t="s">
        <v>954</v>
      </c>
      <c r="AU138">
        <v>2024</v>
      </c>
      <c r="AV138">
        <v>467</v>
      </c>
      <c r="AW138" t="s">
        <v>74</v>
      </c>
      <c r="AX138" t="s">
        <v>74</v>
      </c>
      <c r="AY138" t="s">
        <v>74</v>
      </c>
      <c r="AZ138" t="s">
        <v>74</v>
      </c>
      <c r="BA138" t="s">
        <v>74</v>
      </c>
      <c r="BB138" t="s">
        <v>74</v>
      </c>
      <c r="BC138" t="s">
        <v>74</v>
      </c>
      <c r="BD138">
        <v>107185</v>
      </c>
      <c r="BE138" t="s">
        <v>2727</v>
      </c>
      <c r="BF138" t="str">
        <f>HYPERLINK("http://dx.doi.org/10.1016/j.margeo.2023.107185","http://dx.doi.org/10.1016/j.margeo.2023.107185")</f>
        <v>http://dx.doi.org/10.1016/j.margeo.2023.107185</v>
      </c>
      <c r="BG138" t="s">
        <v>74</v>
      </c>
      <c r="BH138" t="s">
        <v>98</v>
      </c>
      <c r="BI138">
        <v>24</v>
      </c>
      <c r="BJ138" t="s">
        <v>2728</v>
      </c>
      <c r="BK138" t="s">
        <v>100</v>
      </c>
      <c r="BL138" t="s">
        <v>2729</v>
      </c>
      <c r="BM138" t="s">
        <v>2730</v>
      </c>
      <c r="BN138" t="s">
        <v>74</v>
      </c>
      <c r="BO138" t="s">
        <v>1238</v>
      </c>
      <c r="BP138" t="s">
        <v>74</v>
      </c>
      <c r="BQ138" t="s">
        <v>74</v>
      </c>
      <c r="BR138" t="s">
        <v>104</v>
      </c>
      <c r="BS138" t="s">
        <v>2731</v>
      </c>
      <c r="BT138" t="str">
        <f>HYPERLINK("https%3A%2F%2Fwww.webofscience.com%2Fwos%2Fwoscc%2Ffull-record%2FWOS:001141347700001","View Full Record in Web of Science")</f>
        <v>View Full Record in Web of Science</v>
      </c>
    </row>
    <row r="139" spans="1:72" x14ac:dyDescent="0.15">
      <c r="A139" t="s">
        <v>72</v>
      </c>
      <c r="B139" t="s">
        <v>2732</v>
      </c>
      <c r="C139" t="s">
        <v>74</v>
      </c>
      <c r="D139" t="s">
        <v>74</v>
      </c>
      <c r="E139" t="s">
        <v>74</v>
      </c>
      <c r="F139" t="s">
        <v>2733</v>
      </c>
      <c r="G139" t="s">
        <v>74</v>
      </c>
      <c r="H139" t="s">
        <v>74</v>
      </c>
      <c r="I139" t="s">
        <v>2734</v>
      </c>
      <c r="J139" t="s">
        <v>1116</v>
      </c>
      <c r="K139" t="s">
        <v>74</v>
      </c>
      <c r="L139" t="s">
        <v>74</v>
      </c>
      <c r="M139" t="s">
        <v>78</v>
      </c>
      <c r="N139" t="s">
        <v>79</v>
      </c>
      <c r="O139" t="s">
        <v>74</v>
      </c>
      <c r="P139" t="s">
        <v>74</v>
      </c>
      <c r="Q139" t="s">
        <v>74</v>
      </c>
      <c r="R139" t="s">
        <v>74</v>
      </c>
      <c r="S139" t="s">
        <v>74</v>
      </c>
      <c r="T139" t="s">
        <v>2735</v>
      </c>
      <c r="U139" t="s">
        <v>2736</v>
      </c>
      <c r="V139" t="s">
        <v>2737</v>
      </c>
      <c r="W139" t="s">
        <v>2738</v>
      </c>
      <c r="X139" t="s">
        <v>2739</v>
      </c>
      <c r="Y139" t="s">
        <v>2740</v>
      </c>
      <c r="Z139" t="s">
        <v>2741</v>
      </c>
      <c r="AA139" t="s">
        <v>2742</v>
      </c>
      <c r="AB139" t="s">
        <v>2743</v>
      </c>
      <c r="AC139" t="s">
        <v>2744</v>
      </c>
      <c r="AD139" t="s">
        <v>2744</v>
      </c>
      <c r="AE139" t="s">
        <v>2745</v>
      </c>
      <c r="AF139" t="s">
        <v>74</v>
      </c>
      <c r="AG139">
        <v>29</v>
      </c>
      <c r="AH139">
        <v>0</v>
      </c>
      <c r="AI139">
        <v>0</v>
      </c>
      <c r="AJ139">
        <v>3</v>
      </c>
      <c r="AK139">
        <v>3</v>
      </c>
      <c r="AL139" t="s">
        <v>975</v>
      </c>
      <c r="AM139" t="s">
        <v>976</v>
      </c>
      <c r="AN139" t="s">
        <v>977</v>
      </c>
      <c r="AO139" t="s">
        <v>1129</v>
      </c>
      <c r="AP139" t="s">
        <v>1130</v>
      </c>
      <c r="AQ139" t="s">
        <v>74</v>
      </c>
      <c r="AR139" t="s">
        <v>1131</v>
      </c>
      <c r="AS139" t="s">
        <v>1132</v>
      </c>
      <c r="AT139" t="s">
        <v>1133</v>
      </c>
      <c r="AU139">
        <v>2024</v>
      </c>
      <c r="AV139">
        <v>199</v>
      </c>
      <c r="AW139" t="s">
        <v>74</v>
      </c>
      <c r="AX139" t="s">
        <v>74</v>
      </c>
      <c r="AY139" t="s">
        <v>74</v>
      </c>
      <c r="AZ139" t="s">
        <v>74</v>
      </c>
      <c r="BA139" t="s">
        <v>74</v>
      </c>
      <c r="BB139" t="s">
        <v>74</v>
      </c>
      <c r="BC139" t="s">
        <v>74</v>
      </c>
      <c r="BD139">
        <v>115480</v>
      </c>
      <c r="BE139" t="s">
        <v>2746</v>
      </c>
      <c r="BF139" t="str">
        <f>HYPERLINK("http://dx.doi.org/10.1016/j.marpolbul.2023.115480","http://dx.doi.org/10.1016/j.marpolbul.2023.115480")</f>
        <v>http://dx.doi.org/10.1016/j.marpolbul.2023.115480</v>
      </c>
      <c r="BG139" t="s">
        <v>74</v>
      </c>
      <c r="BH139" t="s">
        <v>98</v>
      </c>
      <c r="BI139">
        <v>10</v>
      </c>
      <c r="BJ139" t="s">
        <v>1135</v>
      </c>
      <c r="BK139" t="s">
        <v>100</v>
      </c>
      <c r="BL139" t="s">
        <v>1136</v>
      </c>
      <c r="BM139" t="s">
        <v>2747</v>
      </c>
      <c r="BN139">
        <v>37839912</v>
      </c>
      <c r="BO139" t="s">
        <v>103</v>
      </c>
      <c r="BP139" t="s">
        <v>74</v>
      </c>
      <c r="BQ139" t="s">
        <v>74</v>
      </c>
      <c r="BR139" t="s">
        <v>104</v>
      </c>
      <c r="BS139" t="s">
        <v>2748</v>
      </c>
      <c r="BT139" t="str">
        <f>HYPERLINK("https%3A%2F%2Fwww.webofscience.com%2Fwos%2Fwoscc%2Ffull-record%2FWOS:001141050000001","View Full Record in Web of Science")</f>
        <v>View Full Record in Web of Science</v>
      </c>
    </row>
    <row r="140" spans="1:72" x14ac:dyDescent="0.15">
      <c r="A140" t="s">
        <v>72</v>
      </c>
      <c r="B140" t="s">
        <v>2749</v>
      </c>
      <c r="C140" t="s">
        <v>74</v>
      </c>
      <c r="D140" t="s">
        <v>74</v>
      </c>
      <c r="E140" t="s">
        <v>74</v>
      </c>
      <c r="F140" t="s">
        <v>2750</v>
      </c>
      <c r="G140" t="s">
        <v>74</v>
      </c>
      <c r="H140" t="s">
        <v>74</v>
      </c>
      <c r="I140" t="s">
        <v>2751</v>
      </c>
      <c r="J140" t="s">
        <v>1746</v>
      </c>
      <c r="K140" t="s">
        <v>74</v>
      </c>
      <c r="L140" t="s">
        <v>74</v>
      </c>
      <c r="M140" t="s">
        <v>78</v>
      </c>
      <c r="N140" t="s">
        <v>79</v>
      </c>
      <c r="O140" t="s">
        <v>74</v>
      </c>
      <c r="P140" t="s">
        <v>74</v>
      </c>
      <c r="Q140" t="s">
        <v>74</v>
      </c>
      <c r="R140" t="s">
        <v>74</v>
      </c>
      <c r="S140" t="s">
        <v>74</v>
      </c>
      <c r="T140" t="s">
        <v>2752</v>
      </c>
      <c r="U140" t="s">
        <v>2753</v>
      </c>
      <c r="V140" t="s">
        <v>2754</v>
      </c>
      <c r="W140" t="s">
        <v>2755</v>
      </c>
      <c r="X140" t="s">
        <v>2756</v>
      </c>
      <c r="Y140" t="s">
        <v>2757</v>
      </c>
      <c r="Z140" t="s">
        <v>2758</v>
      </c>
      <c r="AA140" t="s">
        <v>2759</v>
      </c>
      <c r="AB140" t="s">
        <v>2760</v>
      </c>
      <c r="AC140" t="s">
        <v>2761</v>
      </c>
      <c r="AD140" t="s">
        <v>2762</v>
      </c>
      <c r="AE140" t="s">
        <v>2763</v>
      </c>
      <c r="AF140" t="s">
        <v>74</v>
      </c>
      <c r="AG140">
        <v>116</v>
      </c>
      <c r="AH140">
        <v>0</v>
      </c>
      <c r="AI140">
        <v>0</v>
      </c>
      <c r="AJ140">
        <v>5</v>
      </c>
      <c r="AK140">
        <v>5</v>
      </c>
      <c r="AL140" t="s">
        <v>1758</v>
      </c>
      <c r="AM140" t="s">
        <v>1759</v>
      </c>
      <c r="AN140" t="s">
        <v>1760</v>
      </c>
      <c r="AO140" t="s">
        <v>74</v>
      </c>
      <c r="AP140" t="s">
        <v>1761</v>
      </c>
      <c r="AQ140" t="s">
        <v>74</v>
      </c>
      <c r="AR140" t="s">
        <v>1762</v>
      </c>
      <c r="AS140" t="s">
        <v>1763</v>
      </c>
      <c r="AT140" t="s">
        <v>2600</v>
      </c>
      <c r="AU140">
        <v>2023</v>
      </c>
      <c r="AV140">
        <v>10</v>
      </c>
      <c r="AW140" t="s">
        <v>74</v>
      </c>
      <c r="AX140" t="s">
        <v>74</v>
      </c>
      <c r="AY140" t="s">
        <v>74</v>
      </c>
      <c r="AZ140" t="s">
        <v>74</v>
      </c>
      <c r="BA140" t="s">
        <v>74</v>
      </c>
      <c r="BB140" t="s">
        <v>74</v>
      </c>
      <c r="BC140" t="s">
        <v>74</v>
      </c>
      <c r="BD140">
        <v>1291038</v>
      </c>
      <c r="BE140" t="s">
        <v>2764</v>
      </c>
      <c r="BF140" t="str">
        <f>HYPERLINK("http://dx.doi.org/10.3389/fmars.2023.1291038","http://dx.doi.org/10.3389/fmars.2023.1291038")</f>
        <v>http://dx.doi.org/10.3389/fmars.2023.1291038</v>
      </c>
      <c r="BG140" t="s">
        <v>74</v>
      </c>
      <c r="BH140" t="s">
        <v>74</v>
      </c>
      <c r="BI140">
        <v>28</v>
      </c>
      <c r="BJ140" t="s">
        <v>1135</v>
      </c>
      <c r="BK140" t="s">
        <v>100</v>
      </c>
      <c r="BL140" t="s">
        <v>1136</v>
      </c>
      <c r="BM140" t="s">
        <v>2765</v>
      </c>
      <c r="BN140" t="s">
        <v>74</v>
      </c>
      <c r="BO140" t="s">
        <v>131</v>
      </c>
      <c r="BP140" t="s">
        <v>74</v>
      </c>
      <c r="BQ140" t="s">
        <v>74</v>
      </c>
      <c r="BR140" t="s">
        <v>104</v>
      </c>
      <c r="BS140" t="s">
        <v>2766</v>
      </c>
      <c r="BT140" t="str">
        <f>HYPERLINK("https%3A%2F%2Fwww.webofscience.com%2Fwos%2Fwoscc%2Ffull-record%2FWOS:001137886300001","View Full Record in Web of Science")</f>
        <v>View Full Record in Web of Science</v>
      </c>
    </row>
    <row r="141" spans="1:72" x14ac:dyDescent="0.15">
      <c r="A141" t="s">
        <v>72</v>
      </c>
      <c r="B141" t="s">
        <v>2767</v>
      </c>
      <c r="C141" t="s">
        <v>74</v>
      </c>
      <c r="D141" t="s">
        <v>74</v>
      </c>
      <c r="E141" t="s">
        <v>74</v>
      </c>
      <c r="F141" t="s">
        <v>2768</v>
      </c>
      <c r="G141" t="s">
        <v>74</v>
      </c>
      <c r="H141" t="s">
        <v>74</v>
      </c>
      <c r="I141" t="s">
        <v>2769</v>
      </c>
      <c r="J141" t="s">
        <v>2518</v>
      </c>
      <c r="K141" t="s">
        <v>74</v>
      </c>
      <c r="L141" t="s">
        <v>74</v>
      </c>
      <c r="M141" t="s">
        <v>78</v>
      </c>
      <c r="N141" t="s">
        <v>79</v>
      </c>
      <c r="O141" t="s">
        <v>74</v>
      </c>
      <c r="P141" t="s">
        <v>74</v>
      </c>
      <c r="Q141" t="s">
        <v>74</v>
      </c>
      <c r="R141" t="s">
        <v>74</v>
      </c>
      <c r="S141" t="s">
        <v>74</v>
      </c>
      <c r="T141" t="s">
        <v>74</v>
      </c>
      <c r="U141" t="s">
        <v>2770</v>
      </c>
      <c r="V141" t="s">
        <v>2771</v>
      </c>
      <c r="W141" t="s">
        <v>2772</v>
      </c>
      <c r="X141" t="s">
        <v>2773</v>
      </c>
      <c r="Y141" t="s">
        <v>2774</v>
      </c>
      <c r="Z141" t="s">
        <v>2775</v>
      </c>
      <c r="AA141" t="s">
        <v>2776</v>
      </c>
      <c r="AB141" t="s">
        <v>2777</v>
      </c>
      <c r="AC141" t="s">
        <v>2778</v>
      </c>
      <c r="AD141" t="s">
        <v>2779</v>
      </c>
      <c r="AE141" t="s">
        <v>2780</v>
      </c>
      <c r="AF141" t="s">
        <v>74</v>
      </c>
      <c r="AG141">
        <v>64</v>
      </c>
      <c r="AH141">
        <v>2</v>
      </c>
      <c r="AI141">
        <v>2</v>
      </c>
      <c r="AJ141">
        <v>6</v>
      </c>
      <c r="AK141">
        <v>6</v>
      </c>
      <c r="AL141" t="s">
        <v>2529</v>
      </c>
      <c r="AM141" t="s">
        <v>2294</v>
      </c>
      <c r="AN141" t="s">
        <v>2530</v>
      </c>
      <c r="AO141" t="s">
        <v>74</v>
      </c>
      <c r="AP141" t="s">
        <v>2531</v>
      </c>
      <c r="AQ141" t="s">
        <v>74</v>
      </c>
      <c r="AR141" t="s">
        <v>2532</v>
      </c>
      <c r="AS141" t="s">
        <v>2533</v>
      </c>
      <c r="AT141" t="s">
        <v>2600</v>
      </c>
      <c r="AU141">
        <v>2023</v>
      </c>
      <c r="AV141">
        <v>4</v>
      </c>
      <c r="AW141">
        <v>1</v>
      </c>
      <c r="AX141" t="s">
        <v>74</v>
      </c>
      <c r="AY141" t="s">
        <v>74</v>
      </c>
      <c r="AZ141" t="s">
        <v>74</v>
      </c>
      <c r="BA141" t="s">
        <v>74</v>
      </c>
      <c r="BB141" t="s">
        <v>74</v>
      </c>
      <c r="BC141" t="s">
        <v>74</v>
      </c>
      <c r="BD141">
        <v>489</v>
      </c>
      <c r="BE141" t="s">
        <v>2781</v>
      </c>
      <c r="BF141" t="str">
        <f>HYPERLINK("http://dx.doi.org/10.1038/s43247-023-01160-2","http://dx.doi.org/10.1038/s43247-023-01160-2")</f>
        <v>http://dx.doi.org/10.1038/s43247-023-01160-2</v>
      </c>
      <c r="BG141" t="s">
        <v>74</v>
      </c>
      <c r="BH141" t="s">
        <v>74</v>
      </c>
      <c r="BI141">
        <v>11</v>
      </c>
      <c r="BJ141" t="s">
        <v>2535</v>
      </c>
      <c r="BK141" t="s">
        <v>100</v>
      </c>
      <c r="BL141" t="s">
        <v>2536</v>
      </c>
      <c r="BM141" t="s">
        <v>2782</v>
      </c>
      <c r="BN141" t="s">
        <v>74</v>
      </c>
      <c r="BO141" t="s">
        <v>131</v>
      </c>
      <c r="BP141" t="s">
        <v>74</v>
      </c>
      <c r="BQ141" t="s">
        <v>74</v>
      </c>
      <c r="BR141" t="s">
        <v>104</v>
      </c>
      <c r="BS141" t="s">
        <v>2783</v>
      </c>
      <c r="BT141" t="str">
        <f>HYPERLINK("https%3A%2F%2Fwww.webofscience.com%2Fwos%2Fwoscc%2Ffull-record%2FWOS:001129052400001","View Full Record in Web of Science")</f>
        <v>View Full Record in Web of Science</v>
      </c>
    </row>
    <row r="142" spans="1:72" x14ac:dyDescent="0.15">
      <c r="A142" t="s">
        <v>72</v>
      </c>
      <c r="B142" t="s">
        <v>2784</v>
      </c>
      <c r="C142" t="s">
        <v>74</v>
      </c>
      <c r="D142" t="s">
        <v>74</v>
      </c>
      <c r="E142" t="s">
        <v>74</v>
      </c>
      <c r="F142" t="s">
        <v>2785</v>
      </c>
      <c r="G142" t="s">
        <v>74</v>
      </c>
      <c r="H142" t="s">
        <v>74</v>
      </c>
      <c r="I142" t="s">
        <v>2786</v>
      </c>
      <c r="J142" t="s">
        <v>2787</v>
      </c>
      <c r="K142" t="s">
        <v>74</v>
      </c>
      <c r="L142" t="s">
        <v>74</v>
      </c>
      <c r="M142" t="s">
        <v>78</v>
      </c>
      <c r="N142" t="s">
        <v>441</v>
      </c>
      <c r="O142" t="s">
        <v>74</v>
      </c>
      <c r="P142" t="s">
        <v>74</v>
      </c>
      <c r="Q142" t="s">
        <v>74</v>
      </c>
      <c r="R142" t="s">
        <v>74</v>
      </c>
      <c r="S142" t="s">
        <v>74</v>
      </c>
      <c r="T142" t="s">
        <v>74</v>
      </c>
      <c r="U142" t="s">
        <v>2788</v>
      </c>
      <c r="V142" t="s">
        <v>2789</v>
      </c>
      <c r="W142" t="s">
        <v>2790</v>
      </c>
      <c r="X142" t="s">
        <v>2791</v>
      </c>
      <c r="Y142" t="s">
        <v>2792</v>
      </c>
      <c r="Z142" t="s">
        <v>2793</v>
      </c>
      <c r="AA142" t="s">
        <v>2794</v>
      </c>
      <c r="AB142" t="s">
        <v>2795</v>
      </c>
      <c r="AC142" t="s">
        <v>2796</v>
      </c>
      <c r="AD142" t="s">
        <v>2797</v>
      </c>
      <c r="AE142" t="s">
        <v>2798</v>
      </c>
      <c r="AF142" t="s">
        <v>74</v>
      </c>
      <c r="AG142">
        <v>213</v>
      </c>
      <c r="AH142">
        <v>1</v>
      </c>
      <c r="AI142">
        <v>1</v>
      </c>
      <c r="AJ142">
        <v>30</v>
      </c>
      <c r="AK142">
        <v>30</v>
      </c>
      <c r="AL142" t="s">
        <v>2529</v>
      </c>
      <c r="AM142" t="s">
        <v>2294</v>
      </c>
      <c r="AN142" t="s">
        <v>2530</v>
      </c>
      <c r="AO142" t="s">
        <v>74</v>
      </c>
      <c r="AP142" t="s">
        <v>2799</v>
      </c>
      <c r="AQ142" t="s">
        <v>74</v>
      </c>
      <c r="AR142" t="s">
        <v>2800</v>
      </c>
      <c r="AS142" t="s">
        <v>2801</v>
      </c>
      <c r="AT142" t="s">
        <v>954</v>
      </c>
      <c r="AU142">
        <v>2024</v>
      </c>
      <c r="AV142">
        <v>5</v>
      </c>
      <c r="AW142">
        <v>1</v>
      </c>
      <c r="AX142" t="s">
        <v>74</v>
      </c>
      <c r="AY142" t="s">
        <v>74</v>
      </c>
      <c r="AZ142" t="s">
        <v>74</v>
      </c>
      <c r="BA142" t="s">
        <v>74</v>
      </c>
      <c r="BB142">
        <v>43</v>
      </c>
      <c r="BC142">
        <v>58</v>
      </c>
      <c r="BD142" t="s">
        <v>74</v>
      </c>
      <c r="BE142" t="s">
        <v>2802</v>
      </c>
      <c r="BF142" t="str">
        <f>HYPERLINK("http://dx.doi.org/10.1038/s43017-023-00504-y","http://dx.doi.org/10.1038/s43017-023-00504-y")</f>
        <v>http://dx.doi.org/10.1038/s43017-023-00504-y</v>
      </c>
      <c r="BG142" t="s">
        <v>74</v>
      </c>
      <c r="BH142" t="s">
        <v>98</v>
      </c>
      <c r="BI142">
        <v>16</v>
      </c>
      <c r="BJ142" t="s">
        <v>2803</v>
      </c>
      <c r="BK142" t="s">
        <v>100</v>
      </c>
      <c r="BL142" t="s">
        <v>1950</v>
      </c>
      <c r="BM142" t="s">
        <v>2804</v>
      </c>
      <c r="BN142" t="s">
        <v>74</v>
      </c>
      <c r="BO142" t="s">
        <v>74</v>
      </c>
      <c r="BP142" t="s">
        <v>74</v>
      </c>
      <c r="BQ142" t="s">
        <v>74</v>
      </c>
      <c r="BR142" t="s">
        <v>104</v>
      </c>
      <c r="BS142" t="s">
        <v>2805</v>
      </c>
      <c r="BT142" t="str">
        <f>HYPERLINK("https%3A%2F%2Fwww.webofscience.com%2Fwos%2Fwoscc%2Ffull-record%2FWOS:001129352500001","View Full Record in Web of Science")</f>
        <v>View Full Record in Web of Science</v>
      </c>
    </row>
    <row r="143" spans="1:72" x14ac:dyDescent="0.15">
      <c r="A143" t="s">
        <v>72</v>
      </c>
      <c r="B143" t="s">
        <v>2806</v>
      </c>
      <c r="C143" t="s">
        <v>74</v>
      </c>
      <c r="D143" t="s">
        <v>74</v>
      </c>
      <c r="E143" t="s">
        <v>74</v>
      </c>
      <c r="F143" t="s">
        <v>2807</v>
      </c>
      <c r="G143" t="s">
        <v>74</v>
      </c>
      <c r="H143" t="s">
        <v>74</v>
      </c>
      <c r="I143" t="s">
        <v>2808</v>
      </c>
      <c r="J143" t="s">
        <v>2809</v>
      </c>
      <c r="K143" t="s">
        <v>74</v>
      </c>
      <c r="L143" t="s">
        <v>74</v>
      </c>
      <c r="M143" t="s">
        <v>78</v>
      </c>
      <c r="N143" t="s">
        <v>79</v>
      </c>
      <c r="O143" t="s">
        <v>74</v>
      </c>
      <c r="P143" t="s">
        <v>74</v>
      </c>
      <c r="Q143" t="s">
        <v>74</v>
      </c>
      <c r="R143" t="s">
        <v>74</v>
      </c>
      <c r="S143" t="s">
        <v>74</v>
      </c>
      <c r="T143" t="s">
        <v>74</v>
      </c>
      <c r="U143" t="s">
        <v>2810</v>
      </c>
      <c r="V143" t="s">
        <v>2811</v>
      </c>
      <c r="W143" t="s">
        <v>2812</v>
      </c>
      <c r="X143" t="s">
        <v>2813</v>
      </c>
      <c r="Y143" t="s">
        <v>2814</v>
      </c>
      <c r="Z143" t="s">
        <v>2815</v>
      </c>
      <c r="AA143" t="s">
        <v>74</v>
      </c>
      <c r="AB143" t="s">
        <v>2816</v>
      </c>
      <c r="AC143" t="s">
        <v>2817</v>
      </c>
      <c r="AD143" t="s">
        <v>2817</v>
      </c>
      <c r="AE143" t="s">
        <v>2553</v>
      </c>
      <c r="AF143" t="s">
        <v>74</v>
      </c>
      <c r="AG143">
        <v>72</v>
      </c>
      <c r="AH143">
        <v>0</v>
      </c>
      <c r="AI143">
        <v>0</v>
      </c>
      <c r="AJ143">
        <v>1</v>
      </c>
      <c r="AK143">
        <v>1</v>
      </c>
      <c r="AL143" t="s">
        <v>1838</v>
      </c>
      <c r="AM143" t="s">
        <v>1839</v>
      </c>
      <c r="AN143" t="s">
        <v>1840</v>
      </c>
      <c r="AO143" t="s">
        <v>2818</v>
      </c>
      <c r="AP143" t="s">
        <v>2819</v>
      </c>
      <c r="AQ143" t="s">
        <v>74</v>
      </c>
      <c r="AR143" t="s">
        <v>2809</v>
      </c>
      <c r="AS143" t="s">
        <v>2820</v>
      </c>
      <c r="AT143" t="s">
        <v>2821</v>
      </c>
      <c r="AU143">
        <v>2023</v>
      </c>
      <c r="AV143">
        <v>17</v>
      </c>
      <c r="AW143">
        <v>12</v>
      </c>
      <c r="AX143" t="s">
        <v>74</v>
      </c>
      <c r="AY143" t="s">
        <v>74</v>
      </c>
      <c r="AZ143" t="s">
        <v>74</v>
      </c>
      <c r="BA143" t="s">
        <v>74</v>
      </c>
      <c r="BB143">
        <v>5373</v>
      </c>
      <c r="BC143">
        <v>5389</v>
      </c>
      <c r="BD143" t="s">
        <v>74</v>
      </c>
      <c r="BE143" t="s">
        <v>2822</v>
      </c>
      <c r="BF143" t="str">
        <f>HYPERLINK("http://dx.doi.org/10.5194/tc-17-5373-2023","http://dx.doi.org/10.5194/tc-17-5373-2023")</f>
        <v>http://dx.doi.org/10.5194/tc-17-5373-2023</v>
      </c>
      <c r="BG143" t="s">
        <v>74</v>
      </c>
      <c r="BH143" t="s">
        <v>74</v>
      </c>
      <c r="BI143">
        <v>17</v>
      </c>
      <c r="BJ143" t="s">
        <v>984</v>
      </c>
      <c r="BK143" t="s">
        <v>100</v>
      </c>
      <c r="BL143" t="s">
        <v>985</v>
      </c>
      <c r="BM143" t="s">
        <v>2823</v>
      </c>
      <c r="BN143" t="s">
        <v>74</v>
      </c>
      <c r="BO143" t="s">
        <v>349</v>
      </c>
      <c r="BP143" t="s">
        <v>74</v>
      </c>
      <c r="BQ143" t="s">
        <v>74</v>
      </c>
      <c r="BR143" t="s">
        <v>104</v>
      </c>
      <c r="BS143" t="s">
        <v>2824</v>
      </c>
      <c r="BT143" t="str">
        <f>HYPERLINK("https%3A%2F%2Fwww.webofscience.com%2Fwos%2Fwoscc%2Ffull-record%2FWOS:001168843300001","View Full Record in Web of Science")</f>
        <v>View Full Record in Web of Science</v>
      </c>
    </row>
    <row r="144" spans="1:72" x14ac:dyDescent="0.15">
      <c r="A144" t="s">
        <v>72</v>
      </c>
      <c r="B144" t="s">
        <v>2825</v>
      </c>
      <c r="C144" t="s">
        <v>74</v>
      </c>
      <c r="D144" t="s">
        <v>74</v>
      </c>
      <c r="E144" t="s">
        <v>74</v>
      </c>
      <c r="F144" t="s">
        <v>2826</v>
      </c>
      <c r="G144" t="s">
        <v>74</v>
      </c>
      <c r="H144" t="s">
        <v>74</v>
      </c>
      <c r="I144" t="s">
        <v>2827</v>
      </c>
      <c r="J144" t="s">
        <v>2828</v>
      </c>
      <c r="K144" t="s">
        <v>74</v>
      </c>
      <c r="L144" t="s">
        <v>74</v>
      </c>
      <c r="M144" t="s">
        <v>78</v>
      </c>
      <c r="N144" t="s">
        <v>79</v>
      </c>
      <c r="O144" t="s">
        <v>74</v>
      </c>
      <c r="P144" t="s">
        <v>74</v>
      </c>
      <c r="Q144" t="s">
        <v>74</v>
      </c>
      <c r="R144" t="s">
        <v>74</v>
      </c>
      <c r="S144" t="s">
        <v>74</v>
      </c>
      <c r="T144" t="s">
        <v>74</v>
      </c>
      <c r="U144" t="s">
        <v>2829</v>
      </c>
      <c r="V144" t="s">
        <v>2830</v>
      </c>
      <c r="W144" t="s">
        <v>2831</v>
      </c>
      <c r="X144" t="s">
        <v>2832</v>
      </c>
      <c r="Y144" t="s">
        <v>2833</v>
      </c>
      <c r="Z144" t="s">
        <v>2834</v>
      </c>
      <c r="AA144" t="s">
        <v>74</v>
      </c>
      <c r="AB144" t="s">
        <v>2835</v>
      </c>
      <c r="AC144" t="s">
        <v>2836</v>
      </c>
      <c r="AD144" t="s">
        <v>2837</v>
      </c>
      <c r="AE144" t="s">
        <v>2838</v>
      </c>
      <c r="AF144" t="s">
        <v>74</v>
      </c>
      <c r="AG144">
        <v>95</v>
      </c>
      <c r="AH144">
        <v>0</v>
      </c>
      <c r="AI144">
        <v>0</v>
      </c>
      <c r="AJ144">
        <v>1</v>
      </c>
      <c r="AK144">
        <v>1</v>
      </c>
      <c r="AL144" t="s">
        <v>1838</v>
      </c>
      <c r="AM144" t="s">
        <v>1839</v>
      </c>
      <c r="AN144" t="s">
        <v>1840</v>
      </c>
      <c r="AO144" t="s">
        <v>2839</v>
      </c>
      <c r="AP144" t="s">
        <v>2840</v>
      </c>
      <c r="AQ144" t="s">
        <v>74</v>
      </c>
      <c r="AR144" t="s">
        <v>2841</v>
      </c>
      <c r="AS144" t="s">
        <v>2842</v>
      </c>
      <c r="AT144" t="s">
        <v>2821</v>
      </c>
      <c r="AU144">
        <v>2023</v>
      </c>
      <c r="AV144">
        <v>42</v>
      </c>
      <c r="AW144">
        <v>2</v>
      </c>
      <c r="AX144" t="s">
        <v>74</v>
      </c>
      <c r="AY144" t="s">
        <v>74</v>
      </c>
      <c r="AZ144" t="s">
        <v>74</v>
      </c>
      <c r="BA144" t="s">
        <v>74</v>
      </c>
      <c r="BB144">
        <v>291</v>
      </c>
      <c r="BC144">
        <v>307</v>
      </c>
      <c r="BD144" t="s">
        <v>74</v>
      </c>
      <c r="BE144" t="s">
        <v>2843</v>
      </c>
      <c r="BF144" t="str">
        <f>HYPERLINK("http://dx.doi.org/10.5194/jm-42-291-2023","http://dx.doi.org/10.5194/jm-42-291-2023")</f>
        <v>http://dx.doi.org/10.5194/jm-42-291-2023</v>
      </c>
      <c r="BG144" t="s">
        <v>74</v>
      </c>
      <c r="BH144" t="s">
        <v>74</v>
      </c>
      <c r="BI144">
        <v>17</v>
      </c>
      <c r="BJ144" t="s">
        <v>2844</v>
      </c>
      <c r="BK144" t="s">
        <v>100</v>
      </c>
      <c r="BL144" t="s">
        <v>2844</v>
      </c>
      <c r="BM144" t="s">
        <v>2845</v>
      </c>
      <c r="BN144" t="s">
        <v>74</v>
      </c>
      <c r="BO144" t="s">
        <v>131</v>
      </c>
      <c r="BP144" t="s">
        <v>74</v>
      </c>
      <c r="BQ144" t="s">
        <v>74</v>
      </c>
      <c r="BR144" t="s">
        <v>104</v>
      </c>
      <c r="BS144" t="s">
        <v>2846</v>
      </c>
      <c r="BT144" t="str">
        <f>HYPERLINK("https%3A%2F%2Fwww.webofscience.com%2Fwos%2Fwoscc%2Ffull-record%2FWOS:001168855700001","View Full Record in Web of Science")</f>
        <v>View Full Record in Web of Science</v>
      </c>
    </row>
    <row r="145" spans="1:72" x14ac:dyDescent="0.15">
      <c r="A145" t="s">
        <v>72</v>
      </c>
      <c r="B145" t="s">
        <v>2847</v>
      </c>
      <c r="C145" t="s">
        <v>74</v>
      </c>
      <c r="D145" t="s">
        <v>74</v>
      </c>
      <c r="E145" t="s">
        <v>74</v>
      </c>
      <c r="F145" t="s">
        <v>2848</v>
      </c>
      <c r="G145" t="s">
        <v>74</v>
      </c>
      <c r="H145" t="s">
        <v>74</v>
      </c>
      <c r="I145" t="s">
        <v>2849</v>
      </c>
      <c r="J145" t="s">
        <v>2850</v>
      </c>
      <c r="K145" t="s">
        <v>74</v>
      </c>
      <c r="L145" t="s">
        <v>74</v>
      </c>
      <c r="M145" t="s">
        <v>78</v>
      </c>
      <c r="N145" t="s">
        <v>79</v>
      </c>
      <c r="O145" t="s">
        <v>74</v>
      </c>
      <c r="P145" t="s">
        <v>74</v>
      </c>
      <c r="Q145" t="s">
        <v>74</v>
      </c>
      <c r="R145" t="s">
        <v>74</v>
      </c>
      <c r="S145" t="s">
        <v>74</v>
      </c>
      <c r="T145" t="s">
        <v>2851</v>
      </c>
      <c r="U145" t="s">
        <v>2852</v>
      </c>
      <c r="V145" t="s">
        <v>2853</v>
      </c>
      <c r="W145" t="s">
        <v>2854</v>
      </c>
      <c r="X145" t="s">
        <v>2855</v>
      </c>
      <c r="Y145" t="s">
        <v>2856</v>
      </c>
      <c r="Z145" t="s">
        <v>2857</v>
      </c>
      <c r="AA145" t="s">
        <v>2858</v>
      </c>
      <c r="AB145" t="s">
        <v>2859</v>
      </c>
      <c r="AC145" t="s">
        <v>2860</v>
      </c>
      <c r="AD145" t="s">
        <v>2861</v>
      </c>
      <c r="AE145" t="s">
        <v>2862</v>
      </c>
      <c r="AF145" t="s">
        <v>74</v>
      </c>
      <c r="AG145">
        <v>98</v>
      </c>
      <c r="AH145">
        <v>0</v>
      </c>
      <c r="AI145">
        <v>0</v>
      </c>
      <c r="AJ145">
        <v>1</v>
      </c>
      <c r="AK145">
        <v>1</v>
      </c>
      <c r="AL145" t="s">
        <v>947</v>
      </c>
      <c r="AM145" t="s">
        <v>948</v>
      </c>
      <c r="AN145" t="s">
        <v>949</v>
      </c>
      <c r="AO145" t="s">
        <v>2863</v>
      </c>
      <c r="AP145" t="s">
        <v>74</v>
      </c>
      <c r="AQ145" t="s">
        <v>74</v>
      </c>
      <c r="AR145" t="s">
        <v>2864</v>
      </c>
      <c r="AS145" t="s">
        <v>2865</v>
      </c>
      <c r="AT145" t="s">
        <v>954</v>
      </c>
      <c r="AU145">
        <v>2024</v>
      </c>
      <c r="AV145">
        <v>13</v>
      </c>
      <c r="AW145" t="s">
        <v>74</v>
      </c>
      <c r="AX145" t="s">
        <v>74</v>
      </c>
      <c r="AY145" t="s">
        <v>74</v>
      </c>
      <c r="AZ145" t="s">
        <v>74</v>
      </c>
      <c r="BA145" t="s">
        <v>74</v>
      </c>
      <c r="BB145" t="s">
        <v>74</v>
      </c>
      <c r="BC145" t="s">
        <v>74</v>
      </c>
      <c r="BD145">
        <v>100156</v>
      </c>
      <c r="BE145" t="s">
        <v>2866</v>
      </c>
      <c r="BF145" t="str">
        <f>HYPERLINK("http://dx.doi.org/10.1016/j.qsa.2023.100156","http://dx.doi.org/10.1016/j.qsa.2023.100156")</f>
        <v>http://dx.doi.org/10.1016/j.qsa.2023.100156</v>
      </c>
      <c r="BG145" t="s">
        <v>74</v>
      </c>
      <c r="BH145" t="s">
        <v>98</v>
      </c>
      <c r="BI145">
        <v>18</v>
      </c>
      <c r="BJ145" t="s">
        <v>984</v>
      </c>
      <c r="BK145" t="s">
        <v>912</v>
      </c>
      <c r="BL145" t="s">
        <v>985</v>
      </c>
      <c r="BM145" t="s">
        <v>2867</v>
      </c>
      <c r="BN145" t="s">
        <v>74</v>
      </c>
      <c r="BO145" t="s">
        <v>131</v>
      </c>
      <c r="BP145" t="s">
        <v>74</v>
      </c>
      <c r="BQ145" t="s">
        <v>74</v>
      </c>
      <c r="BR145" t="s">
        <v>104</v>
      </c>
      <c r="BS145" t="s">
        <v>2868</v>
      </c>
      <c r="BT145" t="str">
        <f>HYPERLINK("https%3A%2F%2Fwww.webofscience.com%2Fwos%2Fwoscc%2Ffull-record%2FWOS:001145390100001","View Full Record in Web of Science")</f>
        <v>View Full Record in Web of Science</v>
      </c>
    </row>
    <row r="146" spans="1:72" x14ac:dyDescent="0.15">
      <c r="A146" t="s">
        <v>72</v>
      </c>
      <c r="B146" t="s">
        <v>2869</v>
      </c>
      <c r="C146" t="s">
        <v>74</v>
      </c>
      <c r="D146" t="s">
        <v>74</v>
      </c>
      <c r="E146" t="s">
        <v>74</v>
      </c>
      <c r="F146" t="s">
        <v>2870</v>
      </c>
      <c r="G146" t="s">
        <v>74</v>
      </c>
      <c r="H146" t="s">
        <v>74</v>
      </c>
      <c r="I146" t="s">
        <v>2871</v>
      </c>
      <c r="J146" t="s">
        <v>2872</v>
      </c>
      <c r="K146" t="s">
        <v>74</v>
      </c>
      <c r="L146" t="s">
        <v>74</v>
      </c>
      <c r="M146" t="s">
        <v>78</v>
      </c>
      <c r="N146" t="s">
        <v>79</v>
      </c>
      <c r="O146" t="s">
        <v>74</v>
      </c>
      <c r="P146" t="s">
        <v>74</v>
      </c>
      <c r="Q146" t="s">
        <v>74</v>
      </c>
      <c r="R146" t="s">
        <v>74</v>
      </c>
      <c r="S146" t="s">
        <v>74</v>
      </c>
      <c r="T146" t="s">
        <v>2873</v>
      </c>
      <c r="U146" t="s">
        <v>2874</v>
      </c>
      <c r="V146" t="s">
        <v>2875</v>
      </c>
      <c r="W146" t="s">
        <v>2876</v>
      </c>
      <c r="X146" t="s">
        <v>2877</v>
      </c>
      <c r="Y146" t="s">
        <v>2878</v>
      </c>
      <c r="Z146" t="s">
        <v>2879</v>
      </c>
      <c r="AA146" t="s">
        <v>74</v>
      </c>
      <c r="AB146" t="s">
        <v>2880</v>
      </c>
      <c r="AC146" t="s">
        <v>2881</v>
      </c>
      <c r="AD146" t="s">
        <v>2882</v>
      </c>
      <c r="AE146" t="s">
        <v>2883</v>
      </c>
      <c r="AF146" t="s">
        <v>74</v>
      </c>
      <c r="AG146">
        <v>63</v>
      </c>
      <c r="AH146">
        <v>0</v>
      </c>
      <c r="AI146">
        <v>0</v>
      </c>
      <c r="AJ146">
        <v>1</v>
      </c>
      <c r="AK146">
        <v>1</v>
      </c>
      <c r="AL146" t="s">
        <v>2884</v>
      </c>
      <c r="AM146" t="s">
        <v>2294</v>
      </c>
      <c r="AN146" t="s">
        <v>2885</v>
      </c>
      <c r="AO146" t="s">
        <v>2886</v>
      </c>
      <c r="AP146" t="s">
        <v>2887</v>
      </c>
      <c r="AQ146" t="s">
        <v>74</v>
      </c>
      <c r="AR146" t="s">
        <v>2888</v>
      </c>
      <c r="AS146" t="s">
        <v>2889</v>
      </c>
      <c r="AT146" t="s">
        <v>1133</v>
      </c>
      <c r="AU146">
        <v>2024</v>
      </c>
      <c r="AV146">
        <v>208</v>
      </c>
      <c r="AW146" t="s">
        <v>74</v>
      </c>
      <c r="AX146" t="s">
        <v>74</v>
      </c>
      <c r="AY146" t="s">
        <v>74</v>
      </c>
      <c r="AZ146" t="s">
        <v>74</v>
      </c>
      <c r="BA146" t="s">
        <v>74</v>
      </c>
      <c r="BB146">
        <v>1</v>
      </c>
      <c r="BC146">
        <v>17</v>
      </c>
      <c r="BD146" t="s">
        <v>74</v>
      </c>
      <c r="BE146" t="s">
        <v>2890</v>
      </c>
      <c r="BF146" t="str">
        <f>HYPERLINK("http://dx.doi.org/10.1016/j.anbehav.2023.11.014","http://dx.doi.org/10.1016/j.anbehav.2023.11.014")</f>
        <v>http://dx.doi.org/10.1016/j.anbehav.2023.11.014</v>
      </c>
      <c r="BG146" t="s">
        <v>74</v>
      </c>
      <c r="BH146" t="s">
        <v>98</v>
      </c>
      <c r="BI146">
        <v>17</v>
      </c>
      <c r="BJ146" t="s">
        <v>2891</v>
      </c>
      <c r="BK146" t="s">
        <v>100</v>
      </c>
      <c r="BL146" t="s">
        <v>2891</v>
      </c>
      <c r="BM146" t="s">
        <v>2892</v>
      </c>
      <c r="BN146" t="s">
        <v>74</v>
      </c>
      <c r="BO146" t="s">
        <v>103</v>
      </c>
      <c r="BP146" t="s">
        <v>74</v>
      </c>
      <c r="BQ146" t="s">
        <v>74</v>
      </c>
      <c r="BR146" t="s">
        <v>104</v>
      </c>
      <c r="BS146" t="s">
        <v>2893</v>
      </c>
      <c r="BT146" t="str">
        <f>HYPERLINK("https%3A%2F%2Fwww.webofscience.com%2Fwos%2Fwoscc%2Ffull-record%2FWOS:001141059600001","View Full Record in Web of Science")</f>
        <v>View Full Record in Web of Science</v>
      </c>
    </row>
    <row r="147" spans="1:72" x14ac:dyDescent="0.15">
      <c r="A147" t="s">
        <v>72</v>
      </c>
      <c r="B147" t="s">
        <v>2894</v>
      </c>
      <c r="C147" t="s">
        <v>74</v>
      </c>
      <c r="D147" t="s">
        <v>74</v>
      </c>
      <c r="E147" t="s">
        <v>74</v>
      </c>
      <c r="F147" t="s">
        <v>2895</v>
      </c>
      <c r="G147" t="s">
        <v>74</v>
      </c>
      <c r="H147" t="s">
        <v>74</v>
      </c>
      <c r="I147" t="s">
        <v>2896</v>
      </c>
      <c r="J147" t="s">
        <v>1893</v>
      </c>
      <c r="K147" t="s">
        <v>74</v>
      </c>
      <c r="L147" t="s">
        <v>74</v>
      </c>
      <c r="M147" t="s">
        <v>78</v>
      </c>
      <c r="N147" t="s">
        <v>441</v>
      </c>
      <c r="O147" t="s">
        <v>74</v>
      </c>
      <c r="P147" t="s">
        <v>74</v>
      </c>
      <c r="Q147" t="s">
        <v>74</v>
      </c>
      <c r="R147" t="s">
        <v>74</v>
      </c>
      <c r="S147" t="s">
        <v>74</v>
      </c>
      <c r="T147" t="s">
        <v>2897</v>
      </c>
      <c r="U147" t="s">
        <v>2898</v>
      </c>
      <c r="V147" t="s">
        <v>2899</v>
      </c>
      <c r="W147" t="s">
        <v>2900</v>
      </c>
      <c r="X147" t="s">
        <v>2901</v>
      </c>
      <c r="Y147" t="s">
        <v>2902</v>
      </c>
      <c r="Z147" t="s">
        <v>2903</v>
      </c>
      <c r="AA147" t="s">
        <v>74</v>
      </c>
      <c r="AB147" t="s">
        <v>2904</v>
      </c>
      <c r="AC147" t="s">
        <v>2905</v>
      </c>
      <c r="AD147" t="s">
        <v>2906</v>
      </c>
      <c r="AE147" t="s">
        <v>2907</v>
      </c>
      <c r="AF147" t="s">
        <v>74</v>
      </c>
      <c r="AG147">
        <v>147</v>
      </c>
      <c r="AH147">
        <v>1</v>
      </c>
      <c r="AI147">
        <v>1</v>
      </c>
      <c r="AJ147">
        <v>20</v>
      </c>
      <c r="AK147">
        <v>20</v>
      </c>
      <c r="AL147" t="s">
        <v>947</v>
      </c>
      <c r="AM147" t="s">
        <v>948</v>
      </c>
      <c r="AN147" t="s">
        <v>949</v>
      </c>
      <c r="AO147" t="s">
        <v>1904</v>
      </c>
      <c r="AP147" t="s">
        <v>1905</v>
      </c>
      <c r="AQ147" t="s">
        <v>74</v>
      </c>
      <c r="AR147" t="s">
        <v>1906</v>
      </c>
      <c r="AS147" t="s">
        <v>1907</v>
      </c>
      <c r="AT147" t="s">
        <v>1133</v>
      </c>
      <c r="AU147">
        <v>2024</v>
      </c>
      <c r="AV147">
        <v>249</v>
      </c>
      <c r="AW147" t="s">
        <v>74</v>
      </c>
      <c r="AX147" t="s">
        <v>74</v>
      </c>
      <c r="AY147" t="s">
        <v>74</v>
      </c>
      <c r="AZ147" t="s">
        <v>74</v>
      </c>
      <c r="BA147" t="s">
        <v>74</v>
      </c>
      <c r="BB147" t="s">
        <v>74</v>
      </c>
      <c r="BC147" t="s">
        <v>74</v>
      </c>
      <c r="BD147">
        <v>104639</v>
      </c>
      <c r="BE147" t="s">
        <v>2908</v>
      </c>
      <c r="BF147" t="str">
        <f>HYPERLINK("http://dx.doi.org/10.1016/j.earscirev.2023.104639","http://dx.doi.org/10.1016/j.earscirev.2023.104639")</f>
        <v>http://dx.doi.org/10.1016/j.earscirev.2023.104639</v>
      </c>
      <c r="BG147" t="s">
        <v>74</v>
      </c>
      <c r="BH147" t="s">
        <v>98</v>
      </c>
      <c r="BI147">
        <v>31</v>
      </c>
      <c r="BJ147" t="s">
        <v>535</v>
      </c>
      <c r="BK147" t="s">
        <v>100</v>
      </c>
      <c r="BL147" t="s">
        <v>536</v>
      </c>
      <c r="BM147" t="s">
        <v>2909</v>
      </c>
      <c r="BN147" t="s">
        <v>74</v>
      </c>
      <c r="BO147" t="s">
        <v>2910</v>
      </c>
      <c r="BP147" t="s">
        <v>74</v>
      </c>
      <c r="BQ147" t="s">
        <v>74</v>
      </c>
      <c r="BR147" t="s">
        <v>104</v>
      </c>
      <c r="BS147" t="s">
        <v>2911</v>
      </c>
      <c r="BT147" t="str">
        <f>HYPERLINK("https%3A%2F%2Fwww.webofscience.com%2Fwos%2Fwoscc%2Ffull-record%2FWOS:001141058400001","View Full Record in Web of Science")</f>
        <v>View Full Record in Web of Science</v>
      </c>
    </row>
    <row r="148" spans="1:72" x14ac:dyDescent="0.15">
      <c r="A148" t="s">
        <v>72</v>
      </c>
      <c r="B148" t="s">
        <v>2912</v>
      </c>
      <c r="C148" t="s">
        <v>74</v>
      </c>
      <c r="D148" t="s">
        <v>74</v>
      </c>
      <c r="E148" t="s">
        <v>74</v>
      </c>
      <c r="F148" t="s">
        <v>2913</v>
      </c>
      <c r="G148" t="s">
        <v>74</v>
      </c>
      <c r="H148" t="s">
        <v>74</v>
      </c>
      <c r="I148" t="s">
        <v>2914</v>
      </c>
      <c r="J148" t="s">
        <v>2915</v>
      </c>
      <c r="K148" t="s">
        <v>74</v>
      </c>
      <c r="L148" t="s">
        <v>74</v>
      </c>
      <c r="M148" t="s">
        <v>78</v>
      </c>
      <c r="N148" t="s">
        <v>1547</v>
      </c>
      <c r="O148" t="s">
        <v>74</v>
      </c>
      <c r="P148" t="s">
        <v>74</v>
      </c>
      <c r="Q148" t="s">
        <v>74</v>
      </c>
      <c r="R148" t="s">
        <v>74</v>
      </c>
      <c r="S148" t="s">
        <v>74</v>
      </c>
      <c r="T148" t="s">
        <v>2916</v>
      </c>
      <c r="U148" t="s">
        <v>2917</v>
      </c>
      <c r="V148" t="s">
        <v>2918</v>
      </c>
      <c r="W148" t="s">
        <v>2919</v>
      </c>
      <c r="X148" t="s">
        <v>2920</v>
      </c>
      <c r="Y148" t="s">
        <v>2921</v>
      </c>
      <c r="Z148" t="s">
        <v>2922</v>
      </c>
      <c r="AA148" t="s">
        <v>2923</v>
      </c>
      <c r="AB148" t="s">
        <v>2924</v>
      </c>
      <c r="AC148" t="s">
        <v>2925</v>
      </c>
      <c r="AD148" t="s">
        <v>2926</v>
      </c>
      <c r="AE148" t="s">
        <v>2927</v>
      </c>
      <c r="AF148" t="s">
        <v>74</v>
      </c>
      <c r="AG148">
        <v>56</v>
      </c>
      <c r="AH148">
        <v>1</v>
      </c>
      <c r="AI148">
        <v>1</v>
      </c>
      <c r="AJ148">
        <v>4</v>
      </c>
      <c r="AK148">
        <v>4</v>
      </c>
      <c r="AL148" t="s">
        <v>1782</v>
      </c>
      <c r="AM148" t="s">
        <v>1783</v>
      </c>
      <c r="AN148" t="s">
        <v>1784</v>
      </c>
      <c r="AO148" t="s">
        <v>2928</v>
      </c>
      <c r="AP148" t="s">
        <v>2929</v>
      </c>
      <c r="AQ148" t="s">
        <v>74</v>
      </c>
      <c r="AR148" t="s">
        <v>2930</v>
      </c>
      <c r="AS148" t="s">
        <v>2931</v>
      </c>
      <c r="AT148" t="s">
        <v>2932</v>
      </c>
      <c r="AU148">
        <v>2023</v>
      </c>
      <c r="AV148" t="s">
        <v>74</v>
      </c>
      <c r="AW148" t="s">
        <v>74</v>
      </c>
      <c r="AX148" t="s">
        <v>74</v>
      </c>
      <c r="AY148" t="s">
        <v>74</v>
      </c>
      <c r="AZ148" t="s">
        <v>74</v>
      </c>
      <c r="BA148" t="s">
        <v>74</v>
      </c>
      <c r="BB148" t="s">
        <v>74</v>
      </c>
      <c r="BC148" t="s">
        <v>74</v>
      </c>
      <c r="BD148" t="s">
        <v>74</v>
      </c>
      <c r="BE148" t="s">
        <v>2933</v>
      </c>
      <c r="BF148" t="str">
        <f>HYPERLINK("http://dx.doi.org/10.1017/jog.2023.98","http://dx.doi.org/10.1017/jog.2023.98")</f>
        <v>http://dx.doi.org/10.1017/jog.2023.98</v>
      </c>
      <c r="BG148" t="s">
        <v>74</v>
      </c>
      <c r="BH148" t="s">
        <v>98</v>
      </c>
      <c r="BI148">
        <v>13</v>
      </c>
      <c r="BJ148" t="s">
        <v>984</v>
      </c>
      <c r="BK148" t="s">
        <v>100</v>
      </c>
      <c r="BL148" t="s">
        <v>985</v>
      </c>
      <c r="BM148" t="s">
        <v>2934</v>
      </c>
      <c r="BN148" t="s">
        <v>74</v>
      </c>
      <c r="BO148" t="s">
        <v>131</v>
      </c>
      <c r="BP148" t="s">
        <v>74</v>
      </c>
      <c r="BQ148" t="s">
        <v>74</v>
      </c>
      <c r="BR148" t="s">
        <v>104</v>
      </c>
      <c r="BS148" t="s">
        <v>2935</v>
      </c>
      <c r="BT148" t="str">
        <f>HYPERLINK("https%3A%2F%2Fwww.webofscience.com%2Fwos%2Fwoscc%2Ffull-record%2FWOS:001126576200001","View Full Record in Web of Science")</f>
        <v>View Full Record in Web of Science</v>
      </c>
    </row>
    <row r="149" spans="1:72" x14ac:dyDescent="0.15">
      <c r="A149" t="s">
        <v>72</v>
      </c>
      <c r="B149" t="s">
        <v>2936</v>
      </c>
      <c r="C149" t="s">
        <v>74</v>
      </c>
      <c r="D149" t="s">
        <v>74</v>
      </c>
      <c r="E149" t="s">
        <v>74</v>
      </c>
      <c r="F149" t="s">
        <v>2937</v>
      </c>
      <c r="G149" t="s">
        <v>74</v>
      </c>
      <c r="H149" t="s">
        <v>74</v>
      </c>
      <c r="I149" t="s">
        <v>2938</v>
      </c>
      <c r="J149" t="s">
        <v>2939</v>
      </c>
      <c r="K149" t="s">
        <v>74</v>
      </c>
      <c r="L149" t="s">
        <v>74</v>
      </c>
      <c r="M149" t="s">
        <v>78</v>
      </c>
      <c r="N149" t="s">
        <v>2940</v>
      </c>
      <c r="O149" t="s">
        <v>74</v>
      </c>
      <c r="P149" t="s">
        <v>74</v>
      </c>
      <c r="Q149" t="s">
        <v>74</v>
      </c>
      <c r="R149" t="s">
        <v>74</v>
      </c>
      <c r="S149" t="s">
        <v>74</v>
      </c>
      <c r="T149" t="s">
        <v>2941</v>
      </c>
      <c r="U149" t="s">
        <v>2942</v>
      </c>
      <c r="V149" t="s">
        <v>2943</v>
      </c>
      <c r="W149" t="s">
        <v>2944</v>
      </c>
      <c r="X149" t="s">
        <v>2945</v>
      </c>
      <c r="Y149" t="s">
        <v>2946</v>
      </c>
      <c r="Z149" t="s">
        <v>2947</v>
      </c>
      <c r="AA149" t="s">
        <v>74</v>
      </c>
      <c r="AB149" t="s">
        <v>2948</v>
      </c>
      <c r="AC149" t="s">
        <v>74</v>
      </c>
      <c r="AD149" t="s">
        <v>74</v>
      </c>
      <c r="AE149" t="s">
        <v>74</v>
      </c>
      <c r="AF149" t="s">
        <v>74</v>
      </c>
      <c r="AG149">
        <v>142</v>
      </c>
      <c r="AH149">
        <v>0</v>
      </c>
      <c r="AI149">
        <v>0</v>
      </c>
      <c r="AJ149">
        <v>1</v>
      </c>
      <c r="AK149">
        <v>1</v>
      </c>
      <c r="AL149" t="s">
        <v>1075</v>
      </c>
      <c r="AM149" t="s">
        <v>2949</v>
      </c>
      <c r="AN149" t="s">
        <v>2950</v>
      </c>
      <c r="AO149" t="s">
        <v>2951</v>
      </c>
      <c r="AP149" t="s">
        <v>2952</v>
      </c>
      <c r="AQ149" t="s">
        <v>74</v>
      </c>
      <c r="AR149" t="s">
        <v>2953</v>
      </c>
      <c r="AS149" t="s">
        <v>2954</v>
      </c>
      <c r="AT149" t="s">
        <v>2932</v>
      </c>
      <c r="AU149">
        <v>2023</v>
      </c>
      <c r="AV149" t="s">
        <v>74</v>
      </c>
      <c r="AW149" t="s">
        <v>74</v>
      </c>
      <c r="AX149" t="s">
        <v>74</v>
      </c>
      <c r="AY149" t="s">
        <v>74</v>
      </c>
      <c r="AZ149" t="s">
        <v>74</v>
      </c>
      <c r="BA149" t="s">
        <v>74</v>
      </c>
      <c r="BB149" t="s">
        <v>74</v>
      </c>
      <c r="BC149" t="s">
        <v>74</v>
      </c>
      <c r="BD149" t="s">
        <v>74</v>
      </c>
      <c r="BE149" t="s">
        <v>2955</v>
      </c>
      <c r="BF149" t="str">
        <f>HYPERLINK("http://dx.doi.org/10.1007/s11160-023-09829-9","http://dx.doi.org/10.1007/s11160-023-09829-9")</f>
        <v>http://dx.doi.org/10.1007/s11160-023-09829-9</v>
      </c>
      <c r="BG149" t="s">
        <v>74</v>
      </c>
      <c r="BH149" t="s">
        <v>98</v>
      </c>
      <c r="BI149">
        <v>22</v>
      </c>
      <c r="BJ149" t="s">
        <v>2141</v>
      </c>
      <c r="BK149" t="s">
        <v>100</v>
      </c>
      <c r="BL149" t="s">
        <v>2141</v>
      </c>
      <c r="BM149" t="s">
        <v>2956</v>
      </c>
      <c r="BN149" t="s">
        <v>74</v>
      </c>
      <c r="BO149" t="s">
        <v>74</v>
      </c>
      <c r="BP149" t="s">
        <v>74</v>
      </c>
      <c r="BQ149" t="s">
        <v>74</v>
      </c>
      <c r="BR149" t="s">
        <v>104</v>
      </c>
      <c r="BS149" t="s">
        <v>2957</v>
      </c>
      <c r="BT149" t="str">
        <f>HYPERLINK("https%3A%2F%2Fwww.webofscience.com%2Fwos%2Fwoscc%2Ffull-record%2FWOS:001126723100001","View Full Record in Web of Science")</f>
        <v>View Full Record in Web of Science</v>
      </c>
    </row>
    <row r="150" spans="1:72" x14ac:dyDescent="0.15">
      <c r="A150" t="s">
        <v>72</v>
      </c>
      <c r="B150" t="s">
        <v>2958</v>
      </c>
      <c r="C150" t="s">
        <v>74</v>
      </c>
      <c r="D150" t="s">
        <v>74</v>
      </c>
      <c r="E150" t="s">
        <v>74</v>
      </c>
      <c r="F150" t="s">
        <v>2959</v>
      </c>
      <c r="G150" t="s">
        <v>74</v>
      </c>
      <c r="H150" t="s">
        <v>74</v>
      </c>
      <c r="I150" t="s">
        <v>2960</v>
      </c>
      <c r="J150" t="s">
        <v>1064</v>
      </c>
      <c r="K150" t="s">
        <v>74</v>
      </c>
      <c r="L150" t="s">
        <v>74</v>
      </c>
      <c r="M150" t="s">
        <v>78</v>
      </c>
      <c r="N150" t="s">
        <v>79</v>
      </c>
      <c r="O150" t="s">
        <v>74</v>
      </c>
      <c r="P150" t="s">
        <v>74</v>
      </c>
      <c r="Q150" t="s">
        <v>74</v>
      </c>
      <c r="R150" t="s">
        <v>74</v>
      </c>
      <c r="S150" t="s">
        <v>74</v>
      </c>
      <c r="T150" t="s">
        <v>2961</v>
      </c>
      <c r="U150" t="s">
        <v>2962</v>
      </c>
      <c r="V150" t="s">
        <v>2963</v>
      </c>
      <c r="W150" t="s">
        <v>2964</v>
      </c>
      <c r="X150" t="s">
        <v>2965</v>
      </c>
      <c r="Y150" t="s">
        <v>2966</v>
      </c>
      <c r="Z150" t="s">
        <v>2967</v>
      </c>
      <c r="AA150" t="s">
        <v>74</v>
      </c>
      <c r="AB150" t="s">
        <v>2968</v>
      </c>
      <c r="AC150" t="s">
        <v>2969</v>
      </c>
      <c r="AD150" t="s">
        <v>2970</v>
      </c>
      <c r="AE150" t="s">
        <v>2971</v>
      </c>
      <c r="AF150" t="s">
        <v>74</v>
      </c>
      <c r="AG150">
        <v>60</v>
      </c>
      <c r="AH150">
        <v>0</v>
      </c>
      <c r="AI150">
        <v>0</v>
      </c>
      <c r="AJ150">
        <v>5</v>
      </c>
      <c r="AK150">
        <v>5</v>
      </c>
      <c r="AL150" t="s">
        <v>1075</v>
      </c>
      <c r="AM150" t="s">
        <v>1076</v>
      </c>
      <c r="AN150" t="s">
        <v>1077</v>
      </c>
      <c r="AO150" t="s">
        <v>1078</v>
      </c>
      <c r="AP150" t="s">
        <v>1079</v>
      </c>
      <c r="AQ150" t="s">
        <v>74</v>
      </c>
      <c r="AR150" t="s">
        <v>1080</v>
      </c>
      <c r="AS150" t="s">
        <v>1081</v>
      </c>
      <c r="AT150" t="s">
        <v>1082</v>
      </c>
      <c r="AU150">
        <v>2024</v>
      </c>
      <c r="AV150">
        <v>55</v>
      </c>
      <c r="AW150">
        <v>1</v>
      </c>
      <c r="AX150" t="s">
        <v>74</v>
      </c>
      <c r="AY150" t="s">
        <v>74</v>
      </c>
      <c r="AZ150" t="s">
        <v>74</v>
      </c>
      <c r="BA150" t="s">
        <v>74</v>
      </c>
      <c r="BB150">
        <v>629</v>
      </c>
      <c r="BC150">
        <v>637</v>
      </c>
      <c r="BD150" t="s">
        <v>74</v>
      </c>
      <c r="BE150" t="s">
        <v>2972</v>
      </c>
      <c r="BF150" t="str">
        <f>HYPERLINK("http://dx.doi.org/10.1007/s42770-023-01215-8","http://dx.doi.org/10.1007/s42770-023-01215-8")</f>
        <v>http://dx.doi.org/10.1007/s42770-023-01215-8</v>
      </c>
      <c r="BG150" t="s">
        <v>74</v>
      </c>
      <c r="BH150" t="s">
        <v>98</v>
      </c>
      <c r="BI150">
        <v>9</v>
      </c>
      <c r="BJ150" t="s">
        <v>1084</v>
      </c>
      <c r="BK150" t="s">
        <v>100</v>
      </c>
      <c r="BL150" t="s">
        <v>1084</v>
      </c>
      <c r="BM150" t="s">
        <v>1085</v>
      </c>
      <c r="BN150">
        <v>38110706</v>
      </c>
      <c r="BO150" t="s">
        <v>74</v>
      </c>
      <c r="BP150" t="s">
        <v>74</v>
      </c>
      <c r="BQ150" t="s">
        <v>74</v>
      </c>
      <c r="BR150" t="s">
        <v>104</v>
      </c>
      <c r="BS150" t="s">
        <v>2973</v>
      </c>
      <c r="BT150" t="str">
        <f>HYPERLINK("https%3A%2F%2Fwww.webofscience.com%2Fwos%2Fwoscc%2Ffull-record%2FWOS:001127128200002","View Full Record in Web of Science")</f>
        <v>View Full Record in Web of Science</v>
      </c>
    </row>
    <row r="151" spans="1:72" x14ac:dyDescent="0.15">
      <c r="A151" t="s">
        <v>72</v>
      </c>
      <c r="B151" t="s">
        <v>2974</v>
      </c>
      <c r="C151" t="s">
        <v>74</v>
      </c>
      <c r="D151" t="s">
        <v>74</v>
      </c>
      <c r="E151" t="s">
        <v>74</v>
      </c>
      <c r="F151" t="s">
        <v>2975</v>
      </c>
      <c r="G151" t="s">
        <v>74</v>
      </c>
      <c r="H151" t="s">
        <v>74</v>
      </c>
      <c r="I151" t="s">
        <v>2976</v>
      </c>
      <c r="J151" t="s">
        <v>2977</v>
      </c>
      <c r="K151" t="s">
        <v>74</v>
      </c>
      <c r="L151" t="s">
        <v>74</v>
      </c>
      <c r="M151" t="s">
        <v>78</v>
      </c>
      <c r="N151" t="s">
        <v>79</v>
      </c>
      <c r="O151" t="s">
        <v>74</v>
      </c>
      <c r="P151" t="s">
        <v>74</v>
      </c>
      <c r="Q151" t="s">
        <v>74</v>
      </c>
      <c r="R151" t="s">
        <v>74</v>
      </c>
      <c r="S151" t="s">
        <v>74</v>
      </c>
      <c r="T151" t="s">
        <v>2978</v>
      </c>
      <c r="U151" t="s">
        <v>2979</v>
      </c>
      <c r="V151" t="s">
        <v>2980</v>
      </c>
      <c r="W151" t="s">
        <v>2981</v>
      </c>
      <c r="X151" t="s">
        <v>2982</v>
      </c>
      <c r="Y151" t="s">
        <v>2983</v>
      </c>
      <c r="Z151" t="s">
        <v>2984</v>
      </c>
      <c r="AA151" t="s">
        <v>2985</v>
      </c>
      <c r="AB151" t="s">
        <v>2986</v>
      </c>
      <c r="AC151" t="s">
        <v>2987</v>
      </c>
      <c r="AD151" t="s">
        <v>2988</v>
      </c>
      <c r="AE151" t="s">
        <v>2989</v>
      </c>
      <c r="AF151" t="s">
        <v>74</v>
      </c>
      <c r="AG151">
        <v>58</v>
      </c>
      <c r="AH151">
        <v>0</v>
      </c>
      <c r="AI151">
        <v>0</v>
      </c>
      <c r="AJ151">
        <v>2</v>
      </c>
      <c r="AK151">
        <v>2</v>
      </c>
      <c r="AL151" t="s">
        <v>1101</v>
      </c>
      <c r="AM151" t="s">
        <v>1102</v>
      </c>
      <c r="AN151" t="s">
        <v>1103</v>
      </c>
      <c r="AO151" t="s">
        <v>2990</v>
      </c>
      <c r="AP151" t="s">
        <v>2991</v>
      </c>
      <c r="AQ151" t="s">
        <v>74</v>
      </c>
      <c r="AR151" t="s">
        <v>2992</v>
      </c>
      <c r="AS151" t="s">
        <v>2993</v>
      </c>
      <c r="AT151" t="s">
        <v>1108</v>
      </c>
      <c r="AU151">
        <v>2024</v>
      </c>
      <c r="AV151">
        <v>104</v>
      </c>
      <c r="AW151">
        <v>4</v>
      </c>
      <c r="AX151" t="s">
        <v>74</v>
      </c>
      <c r="AY151" t="s">
        <v>74</v>
      </c>
      <c r="AZ151" t="s">
        <v>74</v>
      </c>
      <c r="BA151" t="s">
        <v>74</v>
      </c>
      <c r="BB151">
        <v>957</v>
      </c>
      <c r="BC151">
        <v>968</v>
      </c>
      <c r="BD151" t="s">
        <v>74</v>
      </c>
      <c r="BE151" t="s">
        <v>2994</v>
      </c>
      <c r="BF151" t="str">
        <f>HYPERLINK("http://dx.doi.org/10.1111/jfb.15632","http://dx.doi.org/10.1111/jfb.15632")</f>
        <v>http://dx.doi.org/10.1111/jfb.15632</v>
      </c>
      <c r="BG151" t="s">
        <v>74</v>
      </c>
      <c r="BH151" t="s">
        <v>98</v>
      </c>
      <c r="BI151">
        <v>12</v>
      </c>
      <c r="BJ151" t="s">
        <v>2141</v>
      </c>
      <c r="BK151" t="s">
        <v>100</v>
      </c>
      <c r="BL151" t="s">
        <v>2141</v>
      </c>
      <c r="BM151" t="s">
        <v>2995</v>
      </c>
      <c r="BN151">
        <v>38032136</v>
      </c>
      <c r="BO151" t="s">
        <v>74</v>
      </c>
      <c r="BP151" t="s">
        <v>74</v>
      </c>
      <c r="BQ151" t="s">
        <v>74</v>
      </c>
      <c r="BR151" t="s">
        <v>104</v>
      </c>
      <c r="BS151" t="s">
        <v>2996</v>
      </c>
      <c r="BT151" t="str">
        <f>HYPERLINK("https%3A%2F%2Fwww.webofscience.com%2Fwos%2Fwoscc%2Ffull-record%2FWOS:001129970900001","View Full Record in Web of Science")</f>
        <v>View Full Record in Web of Science</v>
      </c>
    </row>
    <row r="152" spans="1:72" x14ac:dyDescent="0.15">
      <c r="A152" t="s">
        <v>72</v>
      </c>
      <c r="B152" t="s">
        <v>2997</v>
      </c>
      <c r="C152" t="s">
        <v>74</v>
      </c>
      <c r="D152" t="s">
        <v>74</v>
      </c>
      <c r="E152" t="s">
        <v>74</v>
      </c>
      <c r="F152" t="s">
        <v>2998</v>
      </c>
      <c r="G152" t="s">
        <v>74</v>
      </c>
      <c r="H152" t="s">
        <v>74</v>
      </c>
      <c r="I152" t="s">
        <v>2999</v>
      </c>
      <c r="J152" t="s">
        <v>3000</v>
      </c>
      <c r="K152" t="s">
        <v>74</v>
      </c>
      <c r="L152" t="s">
        <v>74</v>
      </c>
      <c r="M152" t="s">
        <v>78</v>
      </c>
      <c r="N152" t="s">
        <v>79</v>
      </c>
      <c r="O152" t="s">
        <v>74</v>
      </c>
      <c r="P152" t="s">
        <v>74</v>
      </c>
      <c r="Q152" t="s">
        <v>74</v>
      </c>
      <c r="R152" t="s">
        <v>74</v>
      </c>
      <c r="S152" t="s">
        <v>74</v>
      </c>
      <c r="T152" t="s">
        <v>3001</v>
      </c>
      <c r="U152" t="s">
        <v>3002</v>
      </c>
      <c r="V152" t="s">
        <v>3003</v>
      </c>
      <c r="W152" t="s">
        <v>3004</v>
      </c>
      <c r="X152" t="s">
        <v>3005</v>
      </c>
      <c r="Y152" t="s">
        <v>3006</v>
      </c>
      <c r="Z152" t="s">
        <v>3007</v>
      </c>
      <c r="AA152" t="s">
        <v>3008</v>
      </c>
      <c r="AB152" t="s">
        <v>3009</v>
      </c>
      <c r="AC152" t="s">
        <v>3010</v>
      </c>
      <c r="AD152" t="s">
        <v>3011</v>
      </c>
      <c r="AE152" t="s">
        <v>3012</v>
      </c>
      <c r="AF152" t="s">
        <v>74</v>
      </c>
      <c r="AG152">
        <v>76</v>
      </c>
      <c r="AH152">
        <v>0</v>
      </c>
      <c r="AI152">
        <v>0</v>
      </c>
      <c r="AJ152">
        <v>11</v>
      </c>
      <c r="AK152">
        <v>11</v>
      </c>
      <c r="AL152" t="s">
        <v>3013</v>
      </c>
      <c r="AM152" t="s">
        <v>3014</v>
      </c>
      <c r="AN152" t="s">
        <v>3015</v>
      </c>
      <c r="AO152" t="s">
        <v>3016</v>
      </c>
      <c r="AP152" t="s">
        <v>3017</v>
      </c>
      <c r="AQ152" t="s">
        <v>74</v>
      </c>
      <c r="AR152" t="s">
        <v>3018</v>
      </c>
      <c r="AS152" t="s">
        <v>3019</v>
      </c>
      <c r="AT152" t="s">
        <v>1159</v>
      </c>
      <c r="AU152">
        <v>2024</v>
      </c>
      <c r="AV152">
        <v>244</v>
      </c>
      <c r="AW152" t="s">
        <v>74</v>
      </c>
      <c r="AX152" t="s">
        <v>74</v>
      </c>
      <c r="AY152" t="s">
        <v>74</v>
      </c>
      <c r="AZ152" t="s">
        <v>74</v>
      </c>
      <c r="BA152" t="s">
        <v>74</v>
      </c>
      <c r="BB152" t="s">
        <v>74</v>
      </c>
      <c r="BC152" t="s">
        <v>74</v>
      </c>
      <c r="BD152">
        <v>117827</v>
      </c>
      <c r="BE152" t="s">
        <v>3020</v>
      </c>
      <c r="BF152" t="str">
        <f>HYPERLINK("http://dx.doi.org/10.1016/j.envres.2023.117827","http://dx.doi.org/10.1016/j.envres.2023.117827")</f>
        <v>http://dx.doi.org/10.1016/j.envres.2023.117827</v>
      </c>
      <c r="BG152" t="s">
        <v>74</v>
      </c>
      <c r="BH152" t="s">
        <v>98</v>
      </c>
      <c r="BI152">
        <v>12</v>
      </c>
      <c r="BJ152" t="s">
        <v>3021</v>
      </c>
      <c r="BK152" t="s">
        <v>100</v>
      </c>
      <c r="BL152" t="s">
        <v>3022</v>
      </c>
      <c r="BM152" t="s">
        <v>3023</v>
      </c>
      <c r="BN152">
        <v>38072112</v>
      </c>
      <c r="BO152" t="s">
        <v>1717</v>
      </c>
      <c r="BP152" t="s">
        <v>74</v>
      </c>
      <c r="BQ152" t="s">
        <v>74</v>
      </c>
      <c r="BR152" t="s">
        <v>104</v>
      </c>
      <c r="BS152" t="s">
        <v>3024</v>
      </c>
      <c r="BT152" t="str">
        <f>HYPERLINK("https%3A%2F%2Fwww.webofscience.com%2Fwos%2Fwoscc%2Ffull-record%2FWOS:001136450300001","View Full Record in Web of Science")</f>
        <v>View Full Record in Web of Science</v>
      </c>
    </row>
    <row r="153" spans="1:72" x14ac:dyDescent="0.15">
      <c r="A153" t="s">
        <v>72</v>
      </c>
      <c r="B153" t="s">
        <v>3025</v>
      </c>
      <c r="C153" t="s">
        <v>74</v>
      </c>
      <c r="D153" t="s">
        <v>74</v>
      </c>
      <c r="E153" t="s">
        <v>74</v>
      </c>
      <c r="F153" t="s">
        <v>3026</v>
      </c>
      <c r="G153" t="s">
        <v>74</v>
      </c>
      <c r="H153" t="s">
        <v>74</v>
      </c>
      <c r="I153" t="s">
        <v>3027</v>
      </c>
      <c r="J153" t="s">
        <v>2711</v>
      </c>
      <c r="K153" t="s">
        <v>74</v>
      </c>
      <c r="L153" t="s">
        <v>74</v>
      </c>
      <c r="M153" t="s">
        <v>78</v>
      </c>
      <c r="N153" t="s">
        <v>79</v>
      </c>
      <c r="O153" t="s">
        <v>74</v>
      </c>
      <c r="P153" t="s">
        <v>74</v>
      </c>
      <c r="Q153" t="s">
        <v>74</v>
      </c>
      <c r="R153" t="s">
        <v>74</v>
      </c>
      <c r="S153" t="s">
        <v>74</v>
      </c>
      <c r="T153" t="s">
        <v>3028</v>
      </c>
      <c r="U153" t="s">
        <v>3029</v>
      </c>
      <c r="V153" t="s">
        <v>3030</v>
      </c>
      <c r="W153" t="s">
        <v>3031</v>
      </c>
      <c r="X153" t="s">
        <v>3032</v>
      </c>
      <c r="Y153" t="s">
        <v>3033</v>
      </c>
      <c r="Z153" t="s">
        <v>3034</v>
      </c>
      <c r="AA153" t="s">
        <v>74</v>
      </c>
      <c r="AB153" t="s">
        <v>74</v>
      </c>
      <c r="AC153" t="s">
        <v>3035</v>
      </c>
      <c r="AD153" t="s">
        <v>3036</v>
      </c>
      <c r="AE153" t="s">
        <v>3037</v>
      </c>
      <c r="AF153" t="s">
        <v>74</v>
      </c>
      <c r="AG153">
        <v>158</v>
      </c>
      <c r="AH153">
        <v>0</v>
      </c>
      <c r="AI153">
        <v>0</v>
      </c>
      <c r="AJ153">
        <v>1</v>
      </c>
      <c r="AK153">
        <v>1</v>
      </c>
      <c r="AL153" t="s">
        <v>947</v>
      </c>
      <c r="AM153" t="s">
        <v>948</v>
      </c>
      <c r="AN153" t="s">
        <v>949</v>
      </c>
      <c r="AO153" t="s">
        <v>2723</v>
      </c>
      <c r="AP153" t="s">
        <v>2724</v>
      </c>
      <c r="AQ153" t="s">
        <v>74</v>
      </c>
      <c r="AR153" t="s">
        <v>2725</v>
      </c>
      <c r="AS153" t="s">
        <v>2726</v>
      </c>
      <c r="AT153" t="s">
        <v>954</v>
      </c>
      <c r="AU153">
        <v>2024</v>
      </c>
      <c r="AV153">
        <v>467</v>
      </c>
      <c r="AW153" t="s">
        <v>74</v>
      </c>
      <c r="AX153" t="s">
        <v>74</v>
      </c>
      <c r="AY153" t="s">
        <v>74</v>
      </c>
      <c r="AZ153" t="s">
        <v>74</v>
      </c>
      <c r="BA153" t="s">
        <v>74</v>
      </c>
      <c r="BB153" t="s">
        <v>74</v>
      </c>
      <c r="BC153" t="s">
        <v>74</v>
      </c>
      <c r="BD153">
        <v>107199</v>
      </c>
      <c r="BE153" t="s">
        <v>3038</v>
      </c>
      <c r="BF153" t="str">
        <f>HYPERLINK("http://dx.doi.org/10.1016/j.margeo.2023.107199","http://dx.doi.org/10.1016/j.margeo.2023.107199")</f>
        <v>http://dx.doi.org/10.1016/j.margeo.2023.107199</v>
      </c>
      <c r="BG153" t="s">
        <v>74</v>
      </c>
      <c r="BH153" t="s">
        <v>98</v>
      </c>
      <c r="BI153">
        <v>15</v>
      </c>
      <c r="BJ153" t="s">
        <v>2728</v>
      </c>
      <c r="BK153" t="s">
        <v>100</v>
      </c>
      <c r="BL153" t="s">
        <v>2729</v>
      </c>
      <c r="BM153" t="s">
        <v>3039</v>
      </c>
      <c r="BN153" t="s">
        <v>74</v>
      </c>
      <c r="BO153" t="s">
        <v>3040</v>
      </c>
      <c r="BP153" t="s">
        <v>74</v>
      </c>
      <c r="BQ153" t="s">
        <v>74</v>
      </c>
      <c r="BR153" t="s">
        <v>104</v>
      </c>
      <c r="BS153" t="s">
        <v>3041</v>
      </c>
      <c r="BT153" t="str">
        <f>HYPERLINK("https%3A%2F%2Fwww.webofscience.com%2Fwos%2Fwoscc%2Ffull-record%2FWOS:001138999400001","View Full Record in Web of Science")</f>
        <v>View Full Record in Web of Science</v>
      </c>
    </row>
    <row r="154" spans="1:72" x14ac:dyDescent="0.15">
      <c r="A154" t="s">
        <v>72</v>
      </c>
      <c r="B154" t="s">
        <v>3042</v>
      </c>
      <c r="C154" t="s">
        <v>74</v>
      </c>
      <c r="D154" t="s">
        <v>74</v>
      </c>
      <c r="E154" t="s">
        <v>74</v>
      </c>
      <c r="F154" t="s">
        <v>3043</v>
      </c>
      <c r="G154" t="s">
        <v>74</v>
      </c>
      <c r="H154" t="s">
        <v>74</v>
      </c>
      <c r="I154" t="s">
        <v>3044</v>
      </c>
      <c r="J154" t="s">
        <v>3045</v>
      </c>
      <c r="K154" t="s">
        <v>74</v>
      </c>
      <c r="L154" t="s">
        <v>74</v>
      </c>
      <c r="M154" t="s">
        <v>78</v>
      </c>
      <c r="N154" t="s">
        <v>79</v>
      </c>
      <c r="O154" t="s">
        <v>74</v>
      </c>
      <c r="P154" t="s">
        <v>74</v>
      </c>
      <c r="Q154" t="s">
        <v>74</v>
      </c>
      <c r="R154" t="s">
        <v>74</v>
      </c>
      <c r="S154" t="s">
        <v>74</v>
      </c>
      <c r="T154" t="s">
        <v>74</v>
      </c>
      <c r="U154" t="s">
        <v>3046</v>
      </c>
      <c r="V154" t="s">
        <v>3047</v>
      </c>
      <c r="W154" t="s">
        <v>3048</v>
      </c>
      <c r="X154" t="s">
        <v>3049</v>
      </c>
      <c r="Y154" t="s">
        <v>3050</v>
      </c>
      <c r="Z154" t="s">
        <v>3051</v>
      </c>
      <c r="AA154" t="s">
        <v>3052</v>
      </c>
      <c r="AB154" t="s">
        <v>3053</v>
      </c>
      <c r="AC154" t="s">
        <v>3054</v>
      </c>
      <c r="AD154" t="s">
        <v>3055</v>
      </c>
      <c r="AE154" t="s">
        <v>3056</v>
      </c>
      <c r="AF154" t="s">
        <v>74</v>
      </c>
      <c r="AG154">
        <v>65</v>
      </c>
      <c r="AH154">
        <v>0</v>
      </c>
      <c r="AI154">
        <v>0</v>
      </c>
      <c r="AJ154">
        <v>8</v>
      </c>
      <c r="AK154">
        <v>8</v>
      </c>
      <c r="AL154" t="s">
        <v>3057</v>
      </c>
      <c r="AM154" t="s">
        <v>3058</v>
      </c>
      <c r="AN154" t="s">
        <v>3059</v>
      </c>
      <c r="AO154" t="s">
        <v>3060</v>
      </c>
      <c r="AP154" t="s">
        <v>74</v>
      </c>
      <c r="AQ154" t="s">
        <v>74</v>
      </c>
      <c r="AR154" t="s">
        <v>3061</v>
      </c>
      <c r="AS154" t="s">
        <v>3062</v>
      </c>
      <c r="AT154" t="s">
        <v>3063</v>
      </c>
      <c r="AU154">
        <v>2023</v>
      </c>
      <c r="AV154">
        <v>13</v>
      </c>
      <c r="AW154">
        <v>1</v>
      </c>
      <c r="AX154" t="s">
        <v>74</v>
      </c>
      <c r="AY154" t="s">
        <v>74</v>
      </c>
      <c r="AZ154" t="s">
        <v>74</v>
      </c>
      <c r="BA154" t="s">
        <v>74</v>
      </c>
      <c r="BB154" t="s">
        <v>74</v>
      </c>
      <c r="BC154" t="s">
        <v>74</v>
      </c>
      <c r="BD154">
        <v>22410</v>
      </c>
      <c r="BE154" t="s">
        <v>3064</v>
      </c>
      <c r="BF154" t="str">
        <f>HYPERLINK("http://dx.doi.org/10.1038/s41598-023-49435-0","http://dx.doi.org/10.1038/s41598-023-49435-0")</f>
        <v>http://dx.doi.org/10.1038/s41598-023-49435-0</v>
      </c>
      <c r="BG154" t="s">
        <v>74</v>
      </c>
      <c r="BH154" t="s">
        <v>74</v>
      </c>
      <c r="BI154">
        <v>11</v>
      </c>
      <c r="BJ154" t="s">
        <v>1035</v>
      </c>
      <c r="BK154" t="s">
        <v>100</v>
      </c>
      <c r="BL154" t="s">
        <v>1036</v>
      </c>
      <c r="BM154" t="s">
        <v>3065</v>
      </c>
      <c r="BN154">
        <v>38104174</v>
      </c>
      <c r="BO154" t="s">
        <v>265</v>
      </c>
      <c r="BP154" t="s">
        <v>74</v>
      </c>
      <c r="BQ154" t="s">
        <v>74</v>
      </c>
      <c r="BR154" t="s">
        <v>104</v>
      </c>
      <c r="BS154" t="s">
        <v>3066</v>
      </c>
      <c r="BT154" t="str">
        <f>HYPERLINK("https%3A%2F%2Fwww.webofscience.com%2Fwos%2Fwoscc%2Ffull-record%2FWOS:001131921700038","View Full Record in Web of Science")</f>
        <v>View Full Record in Web of Science</v>
      </c>
    </row>
    <row r="155" spans="1:72" x14ac:dyDescent="0.15">
      <c r="A155" t="s">
        <v>72</v>
      </c>
      <c r="B155" t="s">
        <v>3067</v>
      </c>
      <c r="C155" t="s">
        <v>74</v>
      </c>
      <c r="D155" t="s">
        <v>74</v>
      </c>
      <c r="E155" t="s">
        <v>74</v>
      </c>
      <c r="F155" t="s">
        <v>3068</v>
      </c>
      <c r="G155" t="s">
        <v>74</v>
      </c>
      <c r="H155" t="s">
        <v>74</v>
      </c>
      <c r="I155" t="s">
        <v>3069</v>
      </c>
      <c r="J155" t="s">
        <v>3070</v>
      </c>
      <c r="K155" t="s">
        <v>74</v>
      </c>
      <c r="L155" t="s">
        <v>74</v>
      </c>
      <c r="M155" t="s">
        <v>78</v>
      </c>
      <c r="N155" t="s">
        <v>1547</v>
      </c>
      <c r="O155" t="s">
        <v>74</v>
      </c>
      <c r="P155" t="s">
        <v>74</v>
      </c>
      <c r="Q155" t="s">
        <v>74</v>
      </c>
      <c r="R155" t="s">
        <v>74</v>
      </c>
      <c r="S155" t="s">
        <v>74</v>
      </c>
      <c r="T155" t="s">
        <v>3071</v>
      </c>
      <c r="U155" t="s">
        <v>3072</v>
      </c>
      <c r="V155" t="s">
        <v>3073</v>
      </c>
      <c r="W155" t="s">
        <v>3074</v>
      </c>
      <c r="X155" t="s">
        <v>3075</v>
      </c>
      <c r="Y155" t="s">
        <v>3076</v>
      </c>
      <c r="Z155" t="s">
        <v>3077</v>
      </c>
      <c r="AA155" t="s">
        <v>74</v>
      </c>
      <c r="AB155" t="s">
        <v>3078</v>
      </c>
      <c r="AC155" t="s">
        <v>74</v>
      </c>
      <c r="AD155" t="s">
        <v>74</v>
      </c>
      <c r="AE155" t="s">
        <v>74</v>
      </c>
      <c r="AF155" t="s">
        <v>74</v>
      </c>
      <c r="AG155">
        <v>40</v>
      </c>
      <c r="AH155">
        <v>0</v>
      </c>
      <c r="AI155">
        <v>0</v>
      </c>
      <c r="AJ155">
        <v>3</v>
      </c>
      <c r="AK155">
        <v>3</v>
      </c>
      <c r="AL155" t="s">
        <v>119</v>
      </c>
      <c r="AM155" t="s">
        <v>120</v>
      </c>
      <c r="AN155" t="s">
        <v>121</v>
      </c>
      <c r="AO155" t="s">
        <v>3079</v>
      </c>
      <c r="AP155" t="s">
        <v>3080</v>
      </c>
      <c r="AQ155" t="s">
        <v>74</v>
      </c>
      <c r="AR155" t="s">
        <v>3070</v>
      </c>
      <c r="AS155" t="s">
        <v>3081</v>
      </c>
      <c r="AT155" t="s">
        <v>3082</v>
      </c>
      <c r="AU155">
        <v>2023</v>
      </c>
      <c r="AV155" t="s">
        <v>74</v>
      </c>
      <c r="AW155" t="s">
        <v>74</v>
      </c>
      <c r="AX155" t="s">
        <v>74</v>
      </c>
      <c r="AY155" t="s">
        <v>74</v>
      </c>
      <c r="AZ155" t="s">
        <v>74</v>
      </c>
      <c r="BA155" t="s">
        <v>74</v>
      </c>
      <c r="BB155" t="s">
        <v>74</v>
      </c>
      <c r="BC155" t="s">
        <v>74</v>
      </c>
      <c r="BD155" t="s">
        <v>74</v>
      </c>
      <c r="BE155" t="s">
        <v>3083</v>
      </c>
      <c r="BF155" t="str">
        <f>HYPERLINK("http://dx.doi.org/10.2989/00306525.2023.2269479","http://dx.doi.org/10.2989/00306525.2023.2269479")</f>
        <v>http://dx.doi.org/10.2989/00306525.2023.2269479</v>
      </c>
      <c r="BG155" t="s">
        <v>74</v>
      </c>
      <c r="BH155" t="s">
        <v>98</v>
      </c>
      <c r="BI155">
        <v>9</v>
      </c>
      <c r="BJ155" t="s">
        <v>3084</v>
      </c>
      <c r="BK155" t="s">
        <v>100</v>
      </c>
      <c r="BL155" t="s">
        <v>1568</v>
      </c>
      <c r="BM155" t="s">
        <v>3085</v>
      </c>
      <c r="BN155" t="s">
        <v>74</v>
      </c>
      <c r="BO155" t="s">
        <v>74</v>
      </c>
      <c r="BP155" t="s">
        <v>74</v>
      </c>
      <c r="BQ155" t="s">
        <v>74</v>
      </c>
      <c r="BR155" t="s">
        <v>104</v>
      </c>
      <c r="BS155" t="s">
        <v>3086</v>
      </c>
      <c r="BT155" t="str">
        <f>HYPERLINK("https%3A%2F%2Fwww.webofscience.com%2Fwos%2Fwoscc%2Ffull-record%2FWOS:001129837400001","View Full Record in Web of Science")</f>
        <v>View Full Record in Web of Science</v>
      </c>
    </row>
    <row r="156" spans="1:72" x14ac:dyDescent="0.15">
      <c r="A156" t="s">
        <v>72</v>
      </c>
      <c r="B156" t="s">
        <v>3087</v>
      </c>
      <c r="C156" t="s">
        <v>74</v>
      </c>
      <c r="D156" t="s">
        <v>74</v>
      </c>
      <c r="E156" t="s">
        <v>74</v>
      </c>
      <c r="F156" t="s">
        <v>3088</v>
      </c>
      <c r="G156" t="s">
        <v>74</v>
      </c>
      <c r="H156" t="s">
        <v>74</v>
      </c>
      <c r="I156" t="s">
        <v>3089</v>
      </c>
      <c r="J156" t="s">
        <v>1243</v>
      </c>
      <c r="K156" t="s">
        <v>74</v>
      </c>
      <c r="L156" t="s">
        <v>74</v>
      </c>
      <c r="M156" t="s">
        <v>78</v>
      </c>
      <c r="N156" t="s">
        <v>79</v>
      </c>
      <c r="O156" t="s">
        <v>74</v>
      </c>
      <c r="P156" t="s">
        <v>74</v>
      </c>
      <c r="Q156" t="s">
        <v>74</v>
      </c>
      <c r="R156" t="s">
        <v>74</v>
      </c>
      <c r="S156" t="s">
        <v>74</v>
      </c>
      <c r="T156" t="s">
        <v>3090</v>
      </c>
      <c r="U156" t="s">
        <v>3091</v>
      </c>
      <c r="V156" t="s">
        <v>3092</v>
      </c>
      <c r="W156" t="s">
        <v>3093</v>
      </c>
      <c r="X156" t="s">
        <v>3094</v>
      </c>
      <c r="Y156" t="s">
        <v>3095</v>
      </c>
      <c r="Z156" t="s">
        <v>3096</v>
      </c>
      <c r="AA156" t="s">
        <v>74</v>
      </c>
      <c r="AB156" t="s">
        <v>3097</v>
      </c>
      <c r="AC156" t="s">
        <v>3098</v>
      </c>
      <c r="AD156" t="s">
        <v>3099</v>
      </c>
      <c r="AE156" t="s">
        <v>3100</v>
      </c>
      <c r="AF156" t="s">
        <v>74</v>
      </c>
      <c r="AG156">
        <v>77</v>
      </c>
      <c r="AH156">
        <v>0</v>
      </c>
      <c r="AI156">
        <v>0</v>
      </c>
      <c r="AJ156">
        <v>1</v>
      </c>
      <c r="AK156">
        <v>1</v>
      </c>
      <c r="AL156" t="s">
        <v>1075</v>
      </c>
      <c r="AM156" t="s">
        <v>1076</v>
      </c>
      <c r="AN156" t="s">
        <v>1077</v>
      </c>
      <c r="AO156" t="s">
        <v>1256</v>
      </c>
      <c r="AP156" t="s">
        <v>1257</v>
      </c>
      <c r="AQ156" t="s">
        <v>74</v>
      </c>
      <c r="AR156" t="s">
        <v>1258</v>
      </c>
      <c r="AS156" t="s">
        <v>1259</v>
      </c>
      <c r="AT156" t="s">
        <v>954</v>
      </c>
      <c r="AU156">
        <v>2024</v>
      </c>
      <c r="AV156">
        <v>47</v>
      </c>
      <c r="AW156">
        <v>1</v>
      </c>
      <c r="AX156" t="s">
        <v>74</v>
      </c>
      <c r="AY156" t="s">
        <v>74</v>
      </c>
      <c r="AZ156" t="s">
        <v>74</v>
      </c>
      <c r="BA156" t="s">
        <v>74</v>
      </c>
      <c r="BB156">
        <v>85</v>
      </c>
      <c r="BC156">
        <v>100</v>
      </c>
      <c r="BD156" t="s">
        <v>74</v>
      </c>
      <c r="BE156" t="s">
        <v>3101</v>
      </c>
      <c r="BF156" t="str">
        <f>HYPERLINK("http://dx.doi.org/10.1007/s00300-023-03210-z","http://dx.doi.org/10.1007/s00300-023-03210-z")</f>
        <v>http://dx.doi.org/10.1007/s00300-023-03210-z</v>
      </c>
      <c r="BG156" t="s">
        <v>74</v>
      </c>
      <c r="BH156" t="s">
        <v>98</v>
      </c>
      <c r="BI156">
        <v>16</v>
      </c>
      <c r="BJ156" t="s">
        <v>1261</v>
      </c>
      <c r="BK156" t="s">
        <v>100</v>
      </c>
      <c r="BL156" t="s">
        <v>913</v>
      </c>
      <c r="BM156" t="s">
        <v>3102</v>
      </c>
      <c r="BN156" t="s">
        <v>74</v>
      </c>
      <c r="BO156" t="s">
        <v>103</v>
      </c>
      <c r="BP156" t="s">
        <v>74</v>
      </c>
      <c r="BQ156" t="s">
        <v>74</v>
      </c>
      <c r="BR156" t="s">
        <v>104</v>
      </c>
      <c r="BS156" t="s">
        <v>3103</v>
      </c>
      <c r="BT156" t="str">
        <f>HYPERLINK("https%3A%2F%2Fwww.webofscience.com%2Fwos%2Fwoscc%2Ffull-record%2FWOS:001129181500001","View Full Record in Web of Science")</f>
        <v>View Full Record in Web of Science</v>
      </c>
    </row>
    <row r="157" spans="1:72" x14ac:dyDescent="0.15">
      <c r="A157" t="s">
        <v>72</v>
      </c>
      <c r="B157" t="s">
        <v>3104</v>
      </c>
      <c r="C157" t="s">
        <v>74</v>
      </c>
      <c r="D157" t="s">
        <v>74</v>
      </c>
      <c r="E157" t="s">
        <v>74</v>
      </c>
      <c r="F157" t="s">
        <v>3105</v>
      </c>
      <c r="G157" t="s">
        <v>74</v>
      </c>
      <c r="H157" t="s">
        <v>74</v>
      </c>
      <c r="I157" t="s">
        <v>3106</v>
      </c>
      <c r="J157" t="s">
        <v>1195</v>
      </c>
      <c r="K157" t="s">
        <v>74</v>
      </c>
      <c r="L157" t="s">
        <v>74</v>
      </c>
      <c r="M157" t="s">
        <v>78</v>
      </c>
      <c r="N157" t="s">
        <v>79</v>
      </c>
      <c r="O157" t="s">
        <v>74</v>
      </c>
      <c r="P157" t="s">
        <v>74</v>
      </c>
      <c r="Q157" t="s">
        <v>74</v>
      </c>
      <c r="R157" t="s">
        <v>74</v>
      </c>
      <c r="S157" t="s">
        <v>74</v>
      </c>
      <c r="T157" t="s">
        <v>3107</v>
      </c>
      <c r="U157" t="s">
        <v>3108</v>
      </c>
      <c r="V157" t="s">
        <v>3109</v>
      </c>
      <c r="W157" t="s">
        <v>3110</v>
      </c>
      <c r="X157" t="s">
        <v>3111</v>
      </c>
      <c r="Y157" t="s">
        <v>3112</v>
      </c>
      <c r="Z157" t="s">
        <v>3113</v>
      </c>
      <c r="AA157" t="s">
        <v>3114</v>
      </c>
      <c r="AB157" t="s">
        <v>3115</v>
      </c>
      <c r="AC157" t="s">
        <v>3116</v>
      </c>
      <c r="AD157" t="s">
        <v>3117</v>
      </c>
      <c r="AE157" t="s">
        <v>3118</v>
      </c>
      <c r="AF157" t="s">
        <v>74</v>
      </c>
      <c r="AG157">
        <v>36</v>
      </c>
      <c r="AH157">
        <v>0</v>
      </c>
      <c r="AI157">
        <v>0</v>
      </c>
      <c r="AJ157">
        <v>7</v>
      </c>
      <c r="AK157">
        <v>7</v>
      </c>
      <c r="AL157" t="s">
        <v>1208</v>
      </c>
      <c r="AM157" t="s">
        <v>1209</v>
      </c>
      <c r="AN157" t="s">
        <v>1210</v>
      </c>
      <c r="AO157" t="s">
        <v>1211</v>
      </c>
      <c r="AP157" t="s">
        <v>1212</v>
      </c>
      <c r="AQ157" t="s">
        <v>74</v>
      </c>
      <c r="AR157" t="s">
        <v>1213</v>
      </c>
      <c r="AS157" t="s">
        <v>1214</v>
      </c>
      <c r="AT157" t="s">
        <v>3063</v>
      </c>
      <c r="AU157">
        <v>2023</v>
      </c>
      <c r="AV157">
        <v>50</v>
      </c>
      <c r="AW157">
        <v>23</v>
      </c>
      <c r="AX157" t="s">
        <v>74</v>
      </c>
      <c r="AY157" t="s">
        <v>74</v>
      </c>
      <c r="AZ157" t="s">
        <v>74</v>
      </c>
      <c r="BA157" t="s">
        <v>74</v>
      </c>
      <c r="BB157" t="s">
        <v>74</v>
      </c>
      <c r="BC157" t="s">
        <v>74</v>
      </c>
      <c r="BD157" t="s">
        <v>3119</v>
      </c>
      <c r="BE157" t="s">
        <v>3120</v>
      </c>
      <c r="BF157" t="str">
        <f>HYPERLINK("http://dx.doi.org/10.1029/2023GL105374","http://dx.doi.org/10.1029/2023GL105374")</f>
        <v>http://dx.doi.org/10.1029/2023GL105374</v>
      </c>
      <c r="BG157" t="s">
        <v>74</v>
      </c>
      <c r="BH157" t="s">
        <v>74</v>
      </c>
      <c r="BI157">
        <v>11</v>
      </c>
      <c r="BJ157" t="s">
        <v>535</v>
      </c>
      <c r="BK157" t="s">
        <v>100</v>
      </c>
      <c r="BL157" t="s">
        <v>536</v>
      </c>
      <c r="BM157" t="s">
        <v>3121</v>
      </c>
      <c r="BN157" t="s">
        <v>74</v>
      </c>
      <c r="BO157" t="s">
        <v>3040</v>
      </c>
      <c r="BP157" t="s">
        <v>74</v>
      </c>
      <c r="BQ157" t="s">
        <v>74</v>
      </c>
      <c r="BR157" t="s">
        <v>104</v>
      </c>
      <c r="BS157" t="s">
        <v>3122</v>
      </c>
      <c r="BT157" t="str">
        <f>HYPERLINK("https%3A%2F%2Fwww.webofscience.com%2Fwos%2Fwoscc%2Ffull-record%2FWOS:001118171900001","View Full Record in Web of Science")</f>
        <v>View Full Record in Web of Science</v>
      </c>
    </row>
    <row r="158" spans="1:72" x14ac:dyDescent="0.15">
      <c r="A158" t="s">
        <v>72</v>
      </c>
      <c r="B158" t="s">
        <v>3123</v>
      </c>
      <c r="C158" t="s">
        <v>74</v>
      </c>
      <c r="D158" t="s">
        <v>74</v>
      </c>
      <c r="E158" t="s">
        <v>74</v>
      </c>
      <c r="F158" t="s">
        <v>3124</v>
      </c>
      <c r="G158" t="s">
        <v>74</v>
      </c>
      <c r="H158" t="s">
        <v>74</v>
      </c>
      <c r="I158" t="s">
        <v>3125</v>
      </c>
      <c r="J158" t="s">
        <v>1504</v>
      </c>
      <c r="K158" t="s">
        <v>74</v>
      </c>
      <c r="L158" t="s">
        <v>74</v>
      </c>
      <c r="M158" t="s">
        <v>78</v>
      </c>
      <c r="N158" t="s">
        <v>79</v>
      </c>
      <c r="O158" t="s">
        <v>74</v>
      </c>
      <c r="P158" t="s">
        <v>74</v>
      </c>
      <c r="Q158" t="s">
        <v>74</v>
      </c>
      <c r="R158" t="s">
        <v>74</v>
      </c>
      <c r="S158" t="s">
        <v>74</v>
      </c>
      <c r="T158" t="s">
        <v>3126</v>
      </c>
      <c r="U158" t="s">
        <v>3127</v>
      </c>
      <c r="V158" t="s">
        <v>3128</v>
      </c>
      <c r="W158" t="s">
        <v>3129</v>
      </c>
      <c r="X158" t="s">
        <v>3130</v>
      </c>
      <c r="Y158" t="s">
        <v>3131</v>
      </c>
      <c r="Z158" t="s">
        <v>3132</v>
      </c>
      <c r="AA158" t="s">
        <v>74</v>
      </c>
      <c r="AB158" t="s">
        <v>3133</v>
      </c>
      <c r="AC158" t="s">
        <v>3134</v>
      </c>
      <c r="AD158" t="s">
        <v>3135</v>
      </c>
      <c r="AE158" t="s">
        <v>3136</v>
      </c>
      <c r="AF158" t="s">
        <v>74</v>
      </c>
      <c r="AG158">
        <v>80</v>
      </c>
      <c r="AH158">
        <v>0</v>
      </c>
      <c r="AI158">
        <v>0</v>
      </c>
      <c r="AJ158">
        <v>6</v>
      </c>
      <c r="AK158">
        <v>6</v>
      </c>
      <c r="AL158" t="s">
        <v>1208</v>
      </c>
      <c r="AM158" t="s">
        <v>1209</v>
      </c>
      <c r="AN158" t="s">
        <v>1210</v>
      </c>
      <c r="AO158" t="s">
        <v>1515</v>
      </c>
      <c r="AP158" t="s">
        <v>1516</v>
      </c>
      <c r="AQ158" t="s">
        <v>74</v>
      </c>
      <c r="AR158" t="s">
        <v>1517</v>
      </c>
      <c r="AS158" t="s">
        <v>1518</v>
      </c>
      <c r="AT158" t="s">
        <v>3063</v>
      </c>
      <c r="AU158">
        <v>2023</v>
      </c>
      <c r="AV158">
        <v>128</v>
      </c>
      <c r="AW158">
        <v>23</v>
      </c>
      <c r="AX158" t="s">
        <v>74</v>
      </c>
      <c r="AY158" t="s">
        <v>74</v>
      </c>
      <c r="AZ158" t="s">
        <v>74</v>
      </c>
      <c r="BA158" t="s">
        <v>74</v>
      </c>
      <c r="BB158" t="s">
        <v>74</v>
      </c>
      <c r="BC158" t="s">
        <v>74</v>
      </c>
      <c r="BD158" t="s">
        <v>3137</v>
      </c>
      <c r="BE158" t="s">
        <v>3138</v>
      </c>
      <c r="BF158" t="str">
        <f>HYPERLINK("http://dx.doi.org/10.1029/2023JD039221","http://dx.doi.org/10.1029/2023JD039221")</f>
        <v>http://dx.doi.org/10.1029/2023JD039221</v>
      </c>
      <c r="BG158" t="s">
        <v>74</v>
      </c>
      <c r="BH158" t="s">
        <v>74</v>
      </c>
      <c r="BI158">
        <v>24</v>
      </c>
      <c r="BJ158" t="s">
        <v>1522</v>
      </c>
      <c r="BK158" t="s">
        <v>100</v>
      </c>
      <c r="BL158" t="s">
        <v>1522</v>
      </c>
      <c r="BM158" t="s">
        <v>3139</v>
      </c>
      <c r="BN158" t="s">
        <v>74</v>
      </c>
      <c r="BO158" t="s">
        <v>74</v>
      </c>
      <c r="BP158" t="s">
        <v>74</v>
      </c>
      <c r="BQ158" t="s">
        <v>74</v>
      </c>
      <c r="BR158" t="s">
        <v>104</v>
      </c>
      <c r="BS158" t="s">
        <v>3140</v>
      </c>
      <c r="BT158" t="str">
        <f>HYPERLINK("https%3A%2F%2Fwww.webofscience.com%2Fwos%2Fwoscc%2Ffull-record%2FWOS:001114639800001","View Full Record in Web of Science")</f>
        <v>View Full Record in Web of Science</v>
      </c>
    </row>
    <row r="159" spans="1:72" x14ac:dyDescent="0.15">
      <c r="A159" t="s">
        <v>72</v>
      </c>
      <c r="B159" t="s">
        <v>3141</v>
      </c>
      <c r="C159" t="s">
        <v>74</v>
      </c>
      <c r="D159" t="s">
        <v>74</v>
      </c>
      <c r="E159" t="s">
        <v>74</v>
      </c>
      <c r="F159" t="s">
        <v>3142</v>
      </c>
      <c r="G159" t="s">
        <v>74</v>
      </c>
      <c r="H159" t="s">
        <v>74</v>
      </c>
      <c r="I159" t="s">
        <v>3143</v>
      </c>
      <c r="J159" t="s">
        <v>1195</v>
      </c>
      <c r="K159" t="s">
        <v>74</v>
      </c>
      <c r="L159" t="s">
        <v>74</v>
      </c>
      <c r="M159" t="s">
        <v>78</v>
      </c>
      <c r="N159" t="s">
        <v>79</v>
      </c>
      <c r="O159" t="s">
        <v>74</v>
      </c>
      <c r="P159" t="s">
        <v>74</v>
      </c>
      <c r="Q159" t="s">
        <v>74</v>
      </c>
      <c r="R159" t="s">
        <v>74</v>
      </c>
      <c r="S159" t="s">
        <v>74</v>
      </c>
      <c r="T159" t="s">
        <v>3144</v>
      </c>
      <c r="U159" t="s">
        <v>3145</v>
      </c>
      <c r="V159" t="s">
        <v>3146</v>
      </c>
      <c r="W159" t="s">
        <v>3147</v>
      </c>
      <c r="X159" t="s">
        <v>3148</v>
      </c>
      <c r="Y159" t="s">
        <v>3149</v>
      </c>
      <c r="Z159" t="s">
        <v>3150</v>
      </c>
      <c r="AA159" t="s">
        <v>3151</v>
      </c>
      <c r="AB159" t="s">
        <v>3152</v>
      </c>
      <c r="AC159" t="s">
        <v>3153</v>
      </c>
      <c r="AD159" t="s">
        <v>3154</v>
      </c>
      <c r="AE159" t="s">
        <v>3155</v>
      </c>
      <c r="AF159" t="s">
        <v>74</v>
      </c>
      <c r="AG159">
        <v>45</v>
      </c>
      <c r="AH159">
        <v>1</v>
      </c>
      <c r="AI159">
        <v>1</v>
      </c>
      <c r="AJ159">
        <v>12</v>
      </c>
      <c r="AK159">
        <v>12</v>
      </c>
      <c r="AL159" t="s">
        <v>1208</v>
      </c>
      <c r="AM159" t="s">
        <v>1209</v>
      </c>
      <c r="AN159" t="s">
        <v>1210</v>
      </c>
      <c r="AO159" t="s">
        <v>1211</v>
      </c>
      <c r="AP159" t="s">
        <v>1212</v>
      </c>
      <c r="AQ159" t="s">
        <v>74</v>
      </c>
      <c r="AR159" t="s">
        <v>1213</v>
      </c>
      <c r="AS159" t="s">
        <v>1214</v>
      </c>
      <c r="AT159" t="s">
        <v>3063</v>
      </c>
      <c r="AU159">
        <v>2023</v>
      </c>
      <c r="AV159">
        <v>50</v>
      </c>
      <c r="AW159">
        <v>23</v>
      </c>
      <c r="AX159" t="s">
        <v>74</v>
      </c>
      <c r="AY159" t="s">
        <v>74</v>
      </c>
      <c r="AZ159" t="s">
        <v>74</v>
      </c>
      <c r="BA159" t="s">
        <v>74</v>
      </c>
      <c r="BB159" t="s">
        <v>74</v>
      </c>
      <c r="BC159" t="s">
        <v>74</v>
      </c>
      <c r="BD159" t="s">
        <v>3156</v>
      </c>
      <c r="BE159" t="s">
        <v>3157</v>
      </c>
      <c r="BF159" t="str">
        <f>HYPERLINK("http://dx.doi.org/10.1029/2023GL105265","http://dx.doi.org/10.1029/2023GL105265")</f>
        <v>http://dx.doi.org/10.1029/2023GL105265</v>
      </c>
      <c r="BG159" t="s">
        <v>74</v>
      </c>
      <c r="BH159" t="s">
        <v>74</v>
      </c>
      <c r="BI159">
        <v>10</v>
      </c>
      <c r="BJ159" t="s">
        <v>535</v>
      </c>
      <c r="BK159" t="s">
        <v>100</v>
      </c>
      <c r="BL159" t="s">
        <v>536</v>
      </c>
      <c r="BM159" t="s">
        <v>3158</v>
      </c>
      <c r="BN159" t="s">
        <v>74</v>
      </c>
      <c r="BO159" t="s">
        <v>103</v>
      </c>
      <c r="BP159" t="s">
        <v>74</v>
      </c>
      <c r="BQ159" t="s">
        <v>74</v>
      </c>
      <c r="BR159" t="s">
        <v>104</v>
      </c>
      <c r="BS159" t="s">
        <v>3159</v>
      </c>
      <c r="BT159" t="str">
        <f>HYPERLINK("https%3A%2F%2Fwww.webofscience.com%2Fwos%2Fwoscc%2Ffull-record%2FWOS:001110750800001","View Full Record in Web of Science")</f>
        <v>View Full Record in Web of Science</v>
      </c>
    </row>
    <row r="160" spans="1:72" x14ac:dyDescent="0.15">
      <c r="A160" t="s">
        <v>72</v>
      </c>
      <c r="B160" t="s">
        <v>3160</v>
      </c>
      <c r="C160" t="s">
        <v>74</v>
      </c>
      <c r="D160" t="s">
        <v>74</v>
      </c>
      <c r="E160" t="s">
        <v>74</v>
      </c>
      <c r="F160" t="s">
        <v>3161</v>
      </c>
      <c r="G160" t="s">
        <v>74</v>
      </c>
      <c r="H160" t="s">
        <v>74</v>
      </c>
      <c r="I160" t="s">
        <v>3162</v>
      </c>
      <c r="J160" t="s">
        <v>1195</v>
      </c>
      <c r="K160" t="s">
        <v>74</v>
      </c>
      <c r="L160" t="s">
        <v>74</v>
      </c>
      <c r="M160" t="s">
        <v>78</v>
      </c>
      <c r="N160" t="s">
        <v>79</v>
      </c>
      <c r="O160" t="s">
        <v>74</v>
      </c>
      <c r="P160" t="s">
        <v>74</v>
      </c>
      <c r="Q160" t="s">
        <v>74</v>
      </c>
      <c r="R160" t="s">
        <v>74</v>
      </c>
      <c r="S160" t="s">
        <v>74</v>
      </c>
      <c r="T160" t="s">
        <v>74</v>
      </c>
      <c r="U160" t="s">
        <v>3163</v>
      </c>
      <c r="V160" t="s">
        <v>3164</v>
      </c>
      <c r="W160" t="s">
        <v>3165</v>
      </c>
      <c r="X160" t="s">
        <v>3166</v>
      </c>
      <c r="Y160" t="s">
        <v>3167</v>
      </c>
      <c r="Z160" t="s">
        <v>3168</v>
      </c>
      <c r="AA160" t="s">
        <v>74</v>
      </c>
      <c r="AB160" t="s">
        <v>3169</v>
      </c>
      <c r="AC160" t="s">
        <v>3170</v>
      </c>
      <c r="AD160" t="s">
        <v>3171</v>
      </c>
      <c r="AE160" t="s">
        <v>3172</v>
      </c>
      <c r="AF160" t="s">
        <v>74</v>
      </c>
      <c r="AG160">
        <v>64</v>
      </c>
      <c r="AH160">
        <v>0</v>
      </c>
      <c r="AI160">
        <v>0</v>
      </c>
      <c r="AJ160">
        <v>1</v>
      </c>
      <c r="AK160">
        <v>1</v>
      </c>
      <c r="AL160" t="s">
        <v>1208</v>
      </c>
      <c r="AM160" t="s">
        <v>1209</v>
      </c>
      <c r="AN160" t="s">
        <v>1210</v>
      </c>
      <c r="AO160" t="s">
        <v>1211</v>
      </c>
      <c r="AP160" t="s">
        <v>1212</v>
      </c>
      <c r="AQ160" t="s">
        <v>74</v>
      </c>
      <c r="AR160" t="s">
        <v>1213</v>
      </c>
      <c r="AS160" t="s">
        <v>1214</v>
      </c>
      <c r="AT160" t="s">
        <v>3063</v>
      </c>
      <c r="AU160">
        <v>2023</v>
      </c>
      <c r="AV160">
        <v>50</v>
      </c>
      <c r="AW160">
        <v>23</v>
      </c>
      <c r="AX160" t="s">
        <v>74</v>
      </c>
      <c r="AY160" t="s">
        <v>74</v>
      </c>
      <c r="AZ160" t="s">
        <v>74</v>
      </c>
      <c r="BA160" t="s">
        <v>74</v>
      </c>
      <c r="BB160" t="s">
        <v>74</v>
      </c>
      <c r="BC160" t="s">
        <v>74</v>
      </c>
      <c r="BD160" t="s">
        <v>3173</v>
      </c>
      <c r="BE160" t="s">
        <v>3174</v>
      </c>
      <c r="BF160" t="str">
        <f>HYPERLINK("http://dx.doi.org/10.1029/2023GL103435","http://dx.doi.org/10.1029/2023GL103435")</f>
        <v>http://dx.doi.org/10.1029/2023GL103435</v>
      </c>
      <c r="BG160" t="s">
        <v>74</v>
      </c>
      <c r="BH160" t="s">
        <v>74</v>
      </c>
      <c r="BI160">
        <v>10</v>
      </c>
      <c r="BJ160" t="s">
        <v>535</v>
      </c>
      <c r="BK160" t="s">
        <v>100</v>
      </c>
      <c r="BL160" t="s">
        <v>536</v>
      </c>
      <c r="BM160" t="s">
        <v>3175</v>
      </c>
      <c r="BN160" t="s">
        <v>74</v>
      </c>
      <c r="BO160" t="s">
        <v>103</v>
      </c>
      <c r="BP160" t="s">
        <v>74</v>
      </c>
      <c r="BQ160" t="s">
        <v>74</v>
      </c>
      <c r="BR160" t="s">
        <v>104</v>
      </c>
      <c r="BS160" t="s">
        <v>3176</v>
      </c>
      <c r="BT160" t="str">
        <f>HYPERLINK("https%3A%2F%2Fwww.webofscience.com%2Fwos%2Fwoscc%2Ffull-record%2FWOS:001113556200001","View Full Record in Web of Science")</f>
        <v>View Full Record in Web of Science</v>
      </c>
    </row>
    <row r="161" spans="1:72" x14ac:dyDescent="0.15">
      <c r="A161" t="s">
        <v>72</v>
      </c>
      <c r="B161" t="s">
        <v>3177</v>
      </c>
      <c r="C161" t="s">
        <v>74</v>
      </c>
      <c r="D161" t="s">
        <v>74</v>
      </c>
      <c r="E161" t="s">
        <v>74</v>
      </c>
      <c r="F161" t="s">
        <v>3178</v>
      </c>
      <c r="G161" t="s">
        <v>74</v>
      </c>
      <c r="H161" t="s">
        <v>74</v>
      </c>
      <c r="I161" t="s">
        <v>3179</v>
      </c>
      <c r="J161" t="s">
        <v>1504</v>
      </c>
      <c r="K161" t="s">
        <v>74</v>
      </c>
      <c r="L161" t="s">
        <v>74</v>
      </c>
      <c r="M161" t="s">
        <v>78</v>
      </c>
      <c r="N161" t="s">
        <v>79</v>
      </c>
      <c r="O161" t="s">
        <v>74</v>
      </c>
      <c r="P161" t="s">
        <v>74</v>
      </c>
      <c r="Q161" t="s">
        <v>74</v>
      </c>
      <c r="R161" t="s">
        <v>74</v>
      </c>
      <c r="S161" t="s">
        <v>74</v>
      </c>
      <c r="T161" t="s">
        <v>3180</v>
      </c>
      <c r="U161" t="s">
        <v>3181</v>
      </c>
      <c r="V161" t="s">
        <v>3182</v>
      </c>
      <c r="W161" t="s">
        <v>3183</v>
      </c>
      <c r="X161" t="s">
        <v>3184</v>
      </c>
      <c r="Y161" t="s">
        <v>3185</v>
      </c>
      <c r="Z161" t="s">
        <v>3186</v>
      </c>
      <c r="AA161" t="s">
        <v>3187</v>
      </c>
      <c r="AB161" t="s">
        <v>3188</v>
      </c>
      <c r="AC161" t="s">
        <v>3189</v>
      </c>
      <c r="AD161" t="s">
        <v>3189</v>
      </c>
      <c r="AE161" t="s">
        <v>3190</v>
      </c>
      <c r="AF161" t="s">
        <v>74</v>
      </c>
      <c r="AG161">
        <v>63</v>
      </c>
      <c r="AH161">
        <v>0</v>
      </c>
      <c r="AI161">
        <v>0</v>
      </c>
      <c r="AJ161">
        <v>1</v>
      </c>
      <c r="AK161">
        <v>1</v>
      </c>
      <c r="AL161" t="s">
        <v>1208</v>
      </c>
      <c r="AM161" t="s">
        <v>1209</v>
      </c>
      <c r="AN161" t="s">
        <v>1210</v>
      </c>
      <c r="AO161" t="s">
        <v>1515</v>
      </c>
      <c r="AP161" t="s">
        <v>1516</v>
      </c>
      <c r="AQ161" t="s">
        <v>74</v>
      </c>
      <c r="AR161" t="s">
        <v>1517</v>
      </c>
      <c r="AS161" t="s">
        <v>1518</v>
      </c>
      <c r="AT161" t="s">
        <v>3063</v>
      </c>
      <c r="AU161">
        <v>2023</v>
      </c>
      <c r="AV161">
        <v>128</v>
      </c>
      <c r="AW161">
        <v>23</v>
      </c>
      <c r="AX161" t="s">
        <v>74</v>
      </c>
      <c r="AY161" t="s">
        <v>74</v>
      </c>
      <c r="AZ161" t="s">
        <v>74</v>
      </c>
      <c r="BA161" t="s">
        <v>74</v>
      </c>
      <c r="BB161" t="s">
        <v>74</v>
      </c>
      <c r="BC161" t="s">
        <v>74</v>
      </c>
      <c r="BD161" t="s">
        <v>3191</v>
      </c>
      <c r="BE161" t="s">
        <v>3192</v>
      </c>
      <c r="BF161" t="str">
        <f>HYPERLINK("http://dx.doi.org/10.1029/2023JD038914","http://dx.doi.org/10.1029/2023JD038914")</f>
        <v>http://dx.doi.org/10.1029/2023JD038914</v>
      </c>
      <c r="BG161" t="s">
        <v>74</v>
      </c>
      <c r="BH161" t="s">
        <v>74</v>
      </c>
      <c r="BI161">
        <v>20</v>
      </c>
      <c r="BJ161" t="s">
        <v>1522</v>
      </c>
      <c r="BK161" t="s">
        <v>100</v>
      </c>
      <c r="BL161" t="s">
        <v>1522</v>
      </c>
      <c r="BM161" t="s">
        <v>3193</v>
      </c>
      <c r="BN161" t="s">
        <v>74</v>
      </c>
      <c r="BO161" t="s">
        <v>103</v>
      </c>
      <c r="BP161" t="s">
        <v>74</v>
      </c>
      <c r="BQ161" t="s">
        <v>74</v>
      </c>
      <c r="BR161" t="s">
        <v>104</v>
      </c>
      <c r="BS161" t="s">
        <v>3194</v>
      </c>
      <c r="BT161" t="str">
        <f>HYPERLINK("https%3A%2F%2Fwww.webofscience.com%2Fwos%2Fwoscc%2Ffull-record%2FWOS:001113908200001","View Full Record in Web of Science")</f>
        <v>View Full Record in Web of Science</v>
      </c>
    </row>
    <row r="162" spans="1:72" x14ac:dyDescent="0.15">
      <c r="A162" t="s">
        <v>72</v>
      </c>
      <c r="B162" t="s">
        <v>3195</v>
      </c>
      <c r="C162" t="s">
        <v>74</v>
      </c>
      <c r="D162" t="s">
        <v>74</v>
      </c>
      <c r="E162" t="s">
        <v>74</v>
      </c>
      <c r="F162" t="s">
        <v>3196</v>
      </c>
      <c r="G162" t="s">
        <v>74</v>
      </c>
      <c r="H162" t="s">
        <v>74</v>
      </c>
      <c r="I162" t="s">
        <v>3197</v>
      </c>
      <c r="J162" t="s">
        <v>1195</v>
      </c>
      <c r="K162" t="s">
        <v>74</v>
      </c>
      <c r="L162" t="s">
        <v>74</v>
      </c>
      <c r="M162" t="s">
        <v>78</v>
      </c>
      <c r="N162" t="s">
        <v>79</v>
      </c>
      <c r="O162" t="s">
        <v>74</v>
      </c>
      <c r="P162" t="s">
        <v>74</v>
      </c>
      <c r="Q162" t="s">
        <v>74</v>
      </c>
      <c r="R162" t="s">
        <v>74</v>
      </c>
      <c r="S162" t="s">
        <v>74</v>
      </c>
      <c r="T162" t="s">
        <v>3198</v>
      </c>
      <c r="U162" t="s">
        <v>3199</v>
      </c>
      <c r="V162" t="s">
        <v>3200</v>
      </c>
      <c r="W162" t="s">
        <v>3201</v>
      </c>
      <c r="X162" t="s">
        <v>3202</v>
      </c>
      <c r="Y162" t="s">
        <v>3203</v>
      </c>
      <c r="Z162" t="s">
        <v>3204</v>
      </c>
      <c r="AA162" t="s">
        <v>3205</v>
      </c>
      <c r="AB162" t="s">
        <v>3206</v>
      </c>
      <c r="AC162" t="s">
        <v>3207</v>
      </c>
      <c r="AD162" t="s">
        <v>3208</v>
      </c>
      <c r="AE162" t="s">
        <v>3209</v>
      </c>
      <c r="AF162" t="s">
        <v>74</v>
      </c>
      <c r="AG162">
        <v>58</v>
      </c>
      <c r="AH162">
        <v>1</v>
      </c>
      <c r="AI162">
        <v>1</v>
      </c>
      <c r="AJ162">
        <v>3</v>
      </c>
      <c r="AK162">
        <v>3</v>
      </c>
      <c r="AL162" t="s">
        <v>1208</v>
      </c>
      <c r="AM162" t="s">
        <v>1209</v>
      </c>
      <c r="AN162" t="s">
        <v>1210</v>
      </c>
      <c r="AO162" t="s">
        <v>1211</v>
      </c>
      <c r="AP162" t="s">
        <v>1212</v>
      </c>
      <c r="AQ162" t="s">
        <v>74</v>
      </c>
      <c r="AR162" t="s">
        <v>1213</v>
      </c>
      <c r="AS162" t="s">
        <v>1214</v>
      </c>
      <c r="AT162" t="s">
        <v>3063</v>
      </c>
      <c r="AU162">
        <v>2023</v>
      </c>
      <c r="AV162">
        <v>50</v>
      </c>
      <c r="AW162">
        <v>23</v>
      </c>
      <c r="AX162" t="s">
        <v>74</v>
      </c>
      <c r="AY162" t="s">
        <v>74</v>
      </c>
      <c r="AZ162" t="s">
        <v>74</v>
      </c>
      <c r="BA162" t="s">
        <v>74</v>
      </c>
      <c r="BB162" t="s">
        <v>74</v>
      </c>
      <c r="BC162" t="s">
        <v>74</v>
      </c>
      <c r="BD162" t="s">
        <v>3210</v>
      </c>
      <c r="BE162" t="s">
        <v>3211</v>
      </c>
      <c r="BF162" t="str">
        <f>HYPERLINK("http://dx.doi.org/10.1029/2023GL106142","http://dx.doi.org/10.1029/2023GL106142")</f>
        <v>http://dx.doi.org/10.1029/2023GL106142</v>
      </c>
      <c r="BG162" t="s">
        <v>74</v>
      </c>
      <c r="BH162" t="s">
        <v>74</v>
      </c>
      <c r="BI162">
        <v>10</v>
      </c>
      <c r="BJ162" t="s">
        <v>535</v>
      </c>
      <c r="BK162" t="s">
        <v>100</v>
      </c>
      <c r="BL162" t="s">
        <v>536</v>
      </c>
      <c r="BM162" t="s">
        <v>3212</v>
      </c>
      <c r="BN162" t="s">
        <v>74</v>
      </c>
      <c r="BO162" t="s">
        <v>1356</v>
      </c>
      <c r="BP162" t="s">
        <v>74</v>
      </c>
      <c r="BQ162" t="s">
        <v>74</v>
      </c>
      <c r="BR162" t="s">
        <v>104</v>
      </c>
      <c r="BS162" t="s">
        <v>3213</v>
      </c>
      <c r="BT162" t="str">
        <f>HYPERLINK("https%3A%2F%2Fwww.webofscience.com%2Fwos%2Fwoscc%2Ffull-record%2FWOS:001114972200001","View Full Record in Web of Science")</f>
        <v>View Full Record in Web of Science</v>
      </c>
    </row>
    <row r="163" spans="1:72" x14ac:dyDescent="0.15">
      <c r="A163" t="s">
        <v>72</v>
      </c>
      <c r="B163" t="s">
        <v>3214</v>
      </c>
      <c r="C163" t="s">
        <v>74</v>
      </c>
      <c r="D163" t="s">
        <v>74</v>
      </c>
      <c r="E163" t="s">
        <v>74</v>
      </c>
      <c r="F163" t="s">
        <v>3215</v>
      </c>
      <c r="G163" t="s">
        <v>74</v>
      </c>
      <c r="H163" t="s">
        <v>74</v>
      </c>
      <c r="I163" t="s">
        <v>3216</v>
      </c>
      <c r="J163" t="s">
        <v>1195</v>
      </c>
      <c r="K163" t="s">
        <v>74</v>
      </c>
      <c r="L163" t="s">
        <v>74</v>
      </c>
      <c r="M163" t="s">
        <v>78</v>
      </c>
      <c r="N163" t="s">
        <v>79</v>
      </c>
      <c r="O163" t="s">
        <v>74</v>
      </c>
      <c r="P163" t="s">
        <v>74</v>
      </c>
      <c r="Q163" t="s">
        <v>74</v>
      </c>
      <c r="R163" t="s">
        <v>74</v>
      </c>
      <c r="S163" t="s">
        <v>74</v>
      </c>
      <c r="T163" t="s">
        <v>3217</v>
      </c>
      <c r="U163" t="s">
        <v>3218</v>
      </c>
      <c r="V163" t="s">
        <v>3219</v>
      </c>
      <c r="W163" t="s">
        <v>3220</v>
      </c>
      <c r="X163" t="s">
        <v>3221</v>
      </c>
      <c r="Y163" t="s">
        <v>3222</v>
      </c>
      <c r="Z163" t="s">
        <v>3223</v>
      </c>
      <c r="AA163" t="s">
        <v>74</v>
      </c>
      <c r="AB163" t="s">
        <v>3224</v>
      </c>
      <c r="AC163" t="s">
        <v>3225</v>
      </c>
      <c r="AD163" t="s">
        <v>2882</v>
      </c>
      <c r="AE163" t="s">
        <v>3226</v>
      </c>
      <c r="AF163" t="s">
        <v>74</v>
      </c>
      <c r="AG163">
        <v>52</v>
      </c>
      <c r="AH163">
        <v>0</v>
      </c>
      <c r="AI163">
        <v>0</v>
      </c>
      <c r="AJ163">
        <v>1</v>
      </c>
      <c r="AK163">
        <v>1</v>
      </c>
      <c r="AL163" t="s">
        <v>1208</v>
      </c>
      <c r="AM163" t="s">
        <v>1209</v>
      </c>
      <c r="AN163" t="s">
        <v>1210</v>
      </c>
      <c r="AO163" t="s">
        <v>1211</v>
      </c>
      <c r="AP163" t="s">
        <v>1212</v>
      </c>
      <c r="AQ163" t="s">
        <v>74</v>
      </c>
      <c r="AR163" t="s">
        <v>1213</v>
      </c>
      <c r="AS163" t="s">
        <v>1214</v>
      </c>
      <c r="AT163" t="s">
        <v>3063</v>
      </c>
      <c r="AU163">
        <v>2023</v>
      </c>
      <c r="AV163">
        <v>50</v>
      </c>
      <c r="AW163">
        <v>23</v>
      </c>
      <c r="AX163" t="s">
        <v>74</v>
      </c>
      <c r="AY163" t="s">
        <v>74</v>
      </c>
      <c r="AZ163" t="s">
        <v>74</v>
      </c>
      <c r="BA163" t="s">
        <v>74</v>
      </c>
      <c r="BB163" t="s">
        <v>74</v>
      </c>
      <c r="BC163" t="s">
        <v>74</v>
      </c>
      <c r="BD163" t="s">
        <v>3227</v>
      </c>
      <c r="BE163" t="s">
        <v>3228</v>
      </c>
      <c r="BF163" t="str">
        <f>HYPERLINK("http://dx.doi.org/10.1029/2023GL106036","http://dx.doi.org/10.1029/2023GL106036")</f>
        <v>http://dx.doi.org/10.1029/2023GL106036</v>
      </c>
      <c r="BG163" t="s">
        <v>74</v>
      </c>
      <c r="BH163" t="s">
        <v>74</v>
      </c>
      <c r="BI163">
        <v>10</v>
      </c>
      <c r="BJ163" t="s">
        <v>535</v>
      </c>
      <c r="BK163" t="s">
        <v>100</v>
      </c>
      <c r="BL163" t="s">
        <v>536</v>
      </c>
      <c r="BM163" t="s">
        <v>3229</v>
      </c>
      <c r="BN163" t="s">
        <v>74</v>
      </c>
      <c r="BO163" t="s">
        <v>103</v>
      </c>
      <c r="BP163" t="s">
        <v>74</v>
      </c>
      <c r="BQ163" t="s">
        <v>74</v>
      </c>
      <c r="BR163" t="s">
        <v>104</v>
      </c>
      <c r="BS163" t="s">
        <v>3230</v>
      </c>
      <c r="BT163" t="str">
        <f>HYPERLINK("https%3A%2F%2Fwww.webofscience.com%2Fwos%2Fwoscc%2Ffull-record%2FWOS:001111235800001","View Full Record in Web of Science")</f>
        <v>View Full Record in Web of Science</v>
      </c>
    </row>
    <row r="164" spans="1:72" x14ac:dyDescent="0.15">
      <c r="A164" t="s">
        <v>72</v>
      </c>
      <c r="B164" t="s">
        <v>3231</v>
      </c>
      <c r="C164" t="s">
        <v>74</v>
      </c>
      <c r="D164" t="s">
        <v>74</v>
      </c>
      <c r="E164" t="s">
        <v>74</v>
      </c>
      <c r="F164" t="s">
        <v>3232</v>
      </c>
      <c r="G164" t="s">
        <v>74</v>
      </c>
      <c r="H164" t="s">
        <v>74</v>
      </c>
      <c r="I164" t="s">
        <v>3233</v>
      </c>
      <c r="J164" t="s">
        <v>1504</v>
      </c>
      <c r="K164" t="s">
        <v>74</v>
      </c>
      <c r="L164" t="s">
        <v>74</v>
      </c>
      <c r="M164" t="s">
        <v>78</v>
      </c>
      <c r="N164" t="s">
        <v>79</v>
      </c>
      <c r="O164" t="s">
        <v>74</v>
      </c>
      <c r="P164" t="s">
        <v>74</v>
      </c>
      <c r="Q164" t="s">
        <v>74</v>
      </c>
      <c r="R164" t="s">
        <v>74</v>
      </c>
      <c r="S164" t="s">
        <v>74</v>
      </c>
      <c r="T164" t="s">
        <v>3234</v>
      </c>
      <c r="U164" t="s">
        <v>3235</v>
      </c>
      <c r="V164" t="s">
        <v>3236</v>
      </c>
      <c r="W164" t="s">
        <v>3237</v>
      </c>
      <c r="X164" t="s">
        <v>3238</v>
      </c>
      <c r="Y164" t="s">
        <v>3239</v>
      </c>
      <c r="Z164" t="s">
        <v>3240</v>
      </c>
      <c r="AA164" t="s">
        <v>74</v>
      </c>
      <c r="AB164" t="s">
        <v>3241</v>
      </c>
      <c r="AC164" t="s">
        <v>3242</v>
      </c>
      <c r="AD164" t="s">
        <v>3243</v>
      </c>
      <c r="AE164" t="s">
        <v>3244</v>
      </c>
      <c r="AF164" t="s">
        <v>74</v>
      </c>
      <c r="AG164">
        <v>36</v>
      </c>
      <c r="AH164">
        <v>0</v>
      </c>
      <c r="AI164">
        <v>0</v>
      </c>
      <c r="AJ164">
        <v>2</v>
      </c>
      <c r="AK164">
        <v>2</v>
      </c>
      <c r="AL164" t="s">
        <v>1208</v>
      </c>
      <c r="AM164" t="s">
        <v>1209</v>
      </c>
      <c r="AN164" t="s">
        <v>1210</v>
      </c>
      <c r="AO164" t="s">
        <v>1515</v>
      </c>
      <c r="AP164" t="s">
        <v>1516</v>
      </c>
      <c r="AQ164" t="s">
        <v>74</v>
      </c>
      <c r="AR164" t="s">
        <v>1517</v>
      </c>
      <c r="AS164" t="s">
        <v>1518</v>
      </c>
      <c r="AT164" t="s">
        <v>3063</v>
      </c>
      <c r="AU164">
        <v>2023</v>
      </c>
      <c r="AV164">
        <v>128</v>
      </c>
      <c r="AW164">
        <v>23</v>
      </c>
      <c r="AX164" t="s">
        <v>74</v>
      </c>
      <c r="AY164" t="s">
        <v>74</v>
      </c>
      <c r="AZ164" t="s">
        <v>74</v>
      </c>
      <c r="BA164" t="s">
        <v>74</v>
      </c>
      <c r="BB164" t="s">
        <v>74</v>
      </c>
      <c r="BC164" t="s">
        <v>74</v>
      </c>
      <c r="BD164" t="s">
        <v>3245</v>
      </c>
      <c r="BE164" t="s">
        <v>3246</v>
      </c>
      <c r="BF164" t="str">
        <f>HYPERLINK("http://dx.doi.org/10.1029/2023JD039549","http://dx.doi.org/10.1029/2023JD039549")</f>
        <v>http://dx.doi.org/10.1029/2023JD039549</v>
      </c>
      <c r="BG164" t="s">
        <v>74</v>
      </c>
      <c r="BH164" t="s">
        <v>74</v>
      </c>
      <c r="BI164">
        <v>11</v>
      </c>
      <c r="BJ164" t="s">
        <v>1522</v>
      </c>
      <c r="BK164" t="s">
        <v>100</v>
      </c>
      <c r="BL164" t="s">
        <v>1522</v>
      </c>
      <c r="BM164" t="s">
        <v>3247</v>
      </c>
      <c r="BN164" t="s">
        <v>74</v>
      </c>
      <c r="BO164" t="s">
        <v>74</v>
      </c>
      <c r="BP164" t="s">
        <v>74</v>
      </c>
      <c r="BQ164" t="s">
        <v>74</v>
      </c>
      <c r="BR164" t="s">
        <v>104</v>
      </c>
      <c r="BS164" t="s">
        <v>3248</v>
      </c>
      <c r="BT164" t="str">
        <f>HYPERLINK("https%3A%2F%2Fwww.webofscience.com%2Fwos%2Fwoscc%2Ffull-record%2FWOS:001109980900001","View Full Record in Web of Science")</f>
        <v>View Full Record in Web of Science</v>
      </c>
    </row>
    <row r="165" spans="1:72" x14ac:dyDescent="0.15">
      <c r="A165" t="s">
        <v>72</v>
      </c>
      <c r="B165" t="s">
        <v>3249</v>
      </c>
      <c r="C165" t="s">
        <v>74</v>
      </c>
      <c r="D165" t="s">
        <v>74</v>
      </c>
      <c r="E165" t="s">
        <v>74</v>
      </c>
      <c r="F165" t="s">
        <v>3250</v>
      </c>
      <c r="G165" t="s">
        <v>74</v>
      </c>
      <c r="H165" t="s">
        <v>74</v>
      </c>
      <c r="I165" t="s">
        <v>3251</v>
      </c>
      <c r="J165" t="s">
        <v>1698</v>
      </c>
      <c r="K165" t="s">
        <v>74</v>
      </c>
      <c r="L165" t="s">
        <v>74</v>
      </c>
      <c r="M165" t="s">
        <v>78</v>
      </c>
      <c r="N165" t="s">
        <v>79</v>
      </c>
      <c r="O165" t="s">
        <v>74</v>
      </c>
      <c r="P165" t="s">
        <v>74</v>
      </c>
      <c r="Q165" t="s">
        <v>74</v>
      </c>
      <c r="R165" t="s">
        <v>74</v>
      </c>
      <c r="S165" t="s">
        <v>74</v>
      </c>
      <c r="T165" t="s">
        <v>74</v>
      </c>
      <c r="U165" t="s">
        <v>3252</v>
      </c>
      <c r="V165" t="s">
        <v>3253</v>
      </c>
      <c r="W165" t="s">
        <v>3254</v>
      </c>
      <c r="X165" t="s">
        <v>3255</v>
      </c>
      <c r="Y165" t="s">
        <v>3256</v>
      </c>
      <c r="Z165" t="s">
        <v>3257</v>
      </c>
      <c r="AA165" t="s">
        <v>3258</v>
      </c>
      <c r="AB165" t="s">
        <v>3259</v>
      </c>
      <c r="AC165" t="s">
        <v>3260</v>
      </c>
      <c r="AD165" t="s">
        <v>3261</v>
      </c>
      <c r="AE165" t="s">
        <v>3262</v>
      </c>
      <c r="AF165" t="s">
        <v>74</v>
      </c>
      <c r="AG165">
        <v>76</v>
      </c>
      <c r="AH165">
        <v>5</v>
      </c>
      <c r="AI165">
        <v>5</v>
      </c>
      <c r="AJ165">
        <v>69</v>
      </c>
      <c r="AK165">
        <v>69</v>
      </c>
      <c r="AL165" t="s">
        <v>1710</v>
      </c>
      <c r="AM165" t="s">
        <v>1209</v>
      </c>
      <c r="AN165" t="s">
        <v>1711</v>
      </c>
      <c r="AO165" t="s">
        <v>1712</v>
      </c>
      <c r="AP165" t="s">
        <v>1713</v>
      </c>
      <c r="AQ165" t="s">
        <v>74</v>
      </c>
      <c r="AR165" t="s">
        <v>1698</v>
      </c>
      <c r="AS165" t="s">
        <v>1714</v>
      </c>
      <c r="AT165" t="s">
        <v>3263</v>
      </c>
      <c r="AU165">
        <v>2023</v>
      </c>
      <c r="AV165">
        <v>382</v>
      </c>
      <c r="AW165">
        <v>6676</v>
      </c>
      <c r="AX165" t="s">
        <v>74</v>
      </c>
      <c r="AY165" t="s">
        <v>74</v>
      </c>
      <c r="AZ165" t="s">
        <v>74</v>
      </c>
      <c r="BA165" t="s">
        <v>74</v>
      </c>
      <c r="BB165" t="s">
        <v>74</v>
      </c>
      <c r="BC165" t="s">
        <v>74</v>
      </c>
      <c r="BD165" t="s">
        <v>74</v>
      </c>
      <c r="BE165" t="s">
        <v>3264</v>
      </c>
      <c r="BF165" t="str">
        <f>HYPERLINK("http://dx.doi.org/10.1126/science.adh2526","http://dx.doi.org/10.1126/science.adh2526")</f>
        <v>http://dx.doi.org/10.1126/science.adh2526</v>
      </c>
      <c r="BG165" t="s">
        <v>74</v>
      </c>
      <c r="BH165" t="s">
        <v>74</v>
      </c>
      <c r="BI165">
        <v>6</v>
      </c>
      <c r="BJ165" t="s">
        <v>1035</v>
      </c>
      <c r="BK165" t="s">
        <v>100</v>
      </c>
      <c r="BL165" t="s">
        <v>1036</v>
      </c>
      <c r="BM165" t="s">
        <v>3265</v>
      </c>
      <c r="BN165">
        <v>38096284</v>
      </c>
      <c r="BO165" t="s">
        <v>74</v>
      </c>
      <c r="BP165" t="s">
        <v>74</v>
      </c>
      <c r="BQ165" t="s">
        <v>74</v>
      </c>
      <c r="BR165" t="s">
        <v>104</v>
      </c>
      <c r="BS165" t="s">
        <v>3266</v>
      </c>
      <c r="BT165" t="str">
        <f>HYPERLINK("https%3A%2F%2Fwww.webofscience.com%2Fwos%2Fwoscc%2Ffull-record%2FWOS:001183708700007","View Full Record in Web of Science")</f>
        <v>View Full Record in Web of Science</v>
      </c>
    </row>
    <row r="166" spans="1:72" x14ac:dyDescent="0.15">
      <c r="A166" t="s">
        <v>72</v>
      </c>
      <c r="B166" t="s">
        <v>3267</v>
      </c>
      <c r="C166" t="s">
        <v>74</v>
      </c>
      <c r="D166" t="s">
        <v>74</v>
      </c>
      <c r="E166" t="s">
        <v>74</v>
      </c>
      <c r="F166" t="s">
        <v>3268</v>
      </c>
      <c r="G166" t="s">
        <v>74</v>
      </c>
      <c r="H166" t="s">
        <v>74</v>
      </c>
      <c r="I166" t="s">
        <v>3269</v>
      </c>
      <c r="J166" t="s">
        <v>2366</v>
      </c>
      <c r="K166" t="s">
        <v>74</v>
      </c>
      <c r="L166" t="s">
        <v>74</v>
      </c>
      <c r="M166" t="s">
        <v>78</v>
      </c>
      <c r="N166" t="s">
        <v>79</v>
      </c>
      <c r="O166" t="s">
        <v>74</v>
      </c>
      <c r="P166" t="s">
        <v>74</v>
      </c>
      <c r="Q166" t="s">
        <v>74</v>
      </c>
      <c r="R166" t="s">
        <v>74</v>
      </c>
      <c r="S166" t="s">
        <v>74</v>
      </c>
      <c r="T166" t="s">
        <v>74</v>
      </c>
      <c r="U166" t="s">
        <v>3270</v>
      </c>
      <c r="V166" t="s">
        <v>3271</v>
      </c>
      <c r="W166" t="s">
        <v>3272</v>
      </c>
      <c r="X166" t="s">
        <v>3273</v>
      </c>
      <c r="Y166" t="s">
        <v>3274</v>
      </c>
      <c r="Z166" t="s">
        <v>3275</v>
      </c>
      <c r="AA166" t="s">
        <v>74</v>
      </c>
      <c r="AB166" t="s">
        <v>3276</v>
      </c>
      <c r="AC166" t="s">
        <v>3277</v>
      </c>
      <c r="AD166" t="s">
        <v>3278</v>
      </c>
      <c r="AE166" t="s">
        <v>3279</v>
      </c>
      <c r="AF166" t="s">
        <v>74</v>
      </c>
      <c r="AG166">
        <v>54</v>
      </c>
      <c r="AH166">
        <v>0</v>
      </c>
      <c r="AI166">
        <v>0</v>
      </c>
      <c r="AJ166">
        <v>3</v>
      </c>
      <c r="AK166">
        <v>3</v>
      </c>
      <c r="AL166" t="s">
        <v>1838</v>
      </c>
      <c r="AM166" t="s">
        <v>1839</v>
      </c>
      <c r="AN166" t="s">
        <v>1840</v>
      </c>
      <c r="AO166" t="s">
        <v>2377</v>
      </c>
      <c r="AP166" t="s">
        <v>2378</v>
      </c>
      <c r="AQ166" t="s">
        <v>74</v>
      </c>
      <c r="AR166" t="s">
        <v>2379</v>
      </c>
      <c r="AS166" t="s">
        <v>2380</v>
      </c>
      <c r="AT166" t="s">
        <v>3263</v>
      </c>
      <c r="AU166">
        <v>2023</v>
      </c>
      <c r="AV166">
        <v>23</v>
      </c>
      <c r="AW166">
        <v>24</v>
      </c>
      <c r="AX166" t="s">
        <v>74</v>
      </c>
      <c r="AY166" t="s">
        <v>74</v>
      </c>
      <c r="AZ166" t="s">
        <v>74</v>
      </c>
      <c r="BA166" t="s">
        <v>74</v>
      </c>
      <c r="BB166">
        <v>15351</v>
      </c>
      <c r="BC166">
        <v>15364</v>
      </c>
      <c r="BD166" t="s">
        <v>74</v>
      </c>
      <c r="BE166" t="s">
        <v>3280</v>
      </c>
      <c r="BF166" t="str">
        <f>HYPERLINK("http://dx.doi.org/10.5194/acp-23-15351-2023","http://dx.doi.org/10.5194/acp-23-15351-2023")</f>
        <v>http://dx.doi.org/10.5194/acp-23-15351-2023</v>
      </c>
      <c r="BG166" t="s">
        <v>74</v>
      </c>
      <c r="BH166" t="s">
        <v>74</v>
      </c>
      <c r="BI166">
        <v>14</v>
      </c>
      <c r="BJ166" t="s">
        <v>2382</v>
      </c>
      <c r="BK166" t="s">
        <v>100</v>
      </c>
      <c r="BL166" t="s">
        <v>2383</v>
      </c>
      <c r="BM166" t="s">
        <v>3281</v>
      </c>
      <c r="BN166" t="s">
        <v>74</v>
      </c>
      <c r="BO166" t="s">
        <v>3282</v>
      </c>
      <c r="BP166" t="s">
        <v>74</v>
      </c>
      <c r="BQ166" t="s">
        <v>74</v>
      </c>
      <c r="BR166" t="s">
        <v>104</v>
      </c>
      <c r="BS166" t="s">
        <v>3283</v>
      </c>
      <c r="BT166" t="str">
        <f>HYPERLINK("https%3A%2F%2Fwww.webofscience.com%2Fwos%2Fwoscc%2Ffull-record%2FWOS:001171470500001","View Full Record in Web of Science")</f>
        <v>View Full Record in Web of Science</v>
      </c>
    </row>
    <row r="167" spans="1:72" x14ac:dyDescent="0.15">
      <c r="A167" t="s">
        <v>72</v>
      </c>
      <c r="B167" t="s">
        <v>3284</v>
      </c>
      <c r="C167" t="s">
        <v>74</v>
      </c>
      <c r="D167" t="s">
        <v>74</v>
      </c>
      <c r="E167" t="s">
        <v>74</v>
      </c>
      <c r="F167" t="s">
        <v>3285</v>
      </c>
      <c r="G167" t="s">
        <v>74</v>
      </c>
      <c r="H167" t="s">
        <v>74</v>
      </c>
      <c r="I167" t="s">
        <v>3286</v>
      </c>
      <c r="J167" t="s">
        <v>3287</v>
      </c>
      <c r="K167" t="s">
        <v>74</v>
      </c>
      <c r="L167" t="s">
        <v>74</v>
      </c>
      <c r="M167" t="s">
        <v>78</v>
      </c>
      <c r="N167" t="s">
        <v>79</v>
      </c>
      <c r="O167" t="s">
        <v>74</v>
      </c>
      <c r="P167" t="s">
        <v>74</v>
      </c>
      <c r="Q167" t="s">
        <v>74</v>
      </c>
      <c r="R167" t="s">
        <v>74</v>
      </c>
      <c r="S167" t="s">
        <v>74</v>
      </c>
      <c r="T167" t="s">
        <v>74</v>
      </c>
      <c r="U167" t="s">
        <v>3288</v>
      </c>
      <c r="V167" t="s">
        <v>3289</v>
      </c>
      <c r="W167" t="s">
        <v>3290</v>
      </c>
      <c r="X167" t="s">
        <v>3291</v>
      </c>
      <c r="Y167" t="s">
        <v>3292</v>
      </c>
      <c r="Z167" t="s">
        <v>3293</v>
      </c>
      <c r="AA167" t="s">
        <v>74</v>
      </c>
      <c r="AB167" t="s">
        <v>3294</v>
      </c>
      <c r="AC167" t="s">
        <v>3295</v>
      </c>
      <c r="AD167" t="s">
        <v>3295</v>
      </c>
      <c r="AE167" t="s">
        <v>3296</v>
      </c>
      <c r="AF167" t="s">
        <v>74</v>
      </c>
      <c r="AG167">
        <v>88</v>
      </c>
      <c r="AH167">
        <v>0</v>
      </c>
      <c r="AI167">
        <v>0</v>
      </c>
      <c r="AJ167">
        <v>1</v>
      </c>
      <c r="AK167">
        <v>1</v>
      </c>
      <c r="AL167" t="s">
        <v>1710</v>
      </c>
      <c r="AM167" t="s">
        <v>1209</v>
      </c>
      <c r="AN167" t="s">
        <v>1711</v>
      </c>
      <c r="AO167" t="s">
        <v>3297</v>
      </c>
      <c r="AP167" t="s">
        <v>74</v>
      </c>
      <c r="AQ167" t="s">
        <v>74</v>
      </c>
      <c r="AR167" t="s">
        <v>3298</v>
      </c>
      <c r="AS167" t="s">
        <v>3299</v>
      </c>
      <c r="AT167" t="s">
        <v>3263</v>
      </c>
      <c r="AU167">
        <v>2023</v>
      </c>
      <c r="AV167">
        <v>9</v>
      </c>
      <c r="AW167">
        <v>50</v>
      </c>
      <c r="AX167" t="s">
        <v>74</v>
      </c>
      <c r="AY167" t="s">
        <v>74</v>
      </c>
      <c r="AZ167" t="s">
        <v>74</v>
      </c>
      <c r="BA167" t="s">
        <v>74</v>
      </c>
      <c r="BB167" t="s">
        <v>74</v>
      </c>
      <c r="BC167" t="s">
        <v>74</v>
      </c>
      <c r="BD167" t="s">
        <v>3300</v>
      </c>
      <c r="BE167" t="s">
        <v>3301</v>
      </c>
      <c r="BF167" t="str">
        <f>HYPERLINK("http://dx.doi.org/10.1126/sciadv.adi1687","http://dx.doi.org/10.1126/sciadv.adi1687")</f>
        <v>http://dx.doi.org/10.1126/sciadv.adi1687</v>
      </c>
      <c r="BG167" t="s">
        <v>74</v>
      </c>
      <c r="BH167" t="s">
        <v>74</v>
      </c>
      <c r="BI167">
        <v>11</v>
      </c>
      <c r="BJ167" t="s">
        <v>1035</v>
      </c>
      <c r="BK167" t="s">
        <v>100</v>
      </c>
      <c r="BL167" t="s">
        <v>1036</v>
      </c>
      <c r="BM167" t="s">
        <v>3302</v>
      </c>
      <c r="BN167">
        <v>38100584</v>
      </c>
      <c r="BO167" t="s">
        <v>200</v>
      </c>
      <c r="BP167" t="s">
        <v>74</v>
      </c>
      <c r="BQ167" t="s">
        <v>74</v>
      </c>
      <c r="BR167" t="s">
        <v>104</v>
      </c>
      <c r="BS167" t="s">
        <v>3303</v>
      </c>
      <c r="BT167" t="str">
        <f>HYPERLINK("https%3A%2F%2Fwww.webofscience.com%2Fwos%2Fwoscc%2Ffull-record%2FWOS:001142514700014","View Full Record in Web of Science")</f>
        <v>View Full Record in Web of Science</v>
      </c>
    </row>
    <row r="168" spans="1:72" x14ac:dyDescent="0.15">
      <c r="A168" t="s">
        <v>72</v>
      </c>
      <c r="B168" t="s">
        <v>3304</v>
      </c>
      <c r="C168" t="s">
        <v>74</v>
      </c>
      <c r="D168" t="s">
        <v>74</v>
      </c>
      <c r="E168" t="s">
        <v>74</v>
      </c>
      <c r="F168" t="s">
        <v>3305</v>
      </c>
      <c r="G168" t="s">
        <v>74</v>
      </c>
      <c r="H168" t="s">
        <v>74</v>
      </c>
      <c r="I168" t="s">
        <v>3306</v>
      </c>
      <c r="J168" t="s">
        <v>3287</v>
      </c>
      <c r="K168" t="s">
        <v>74</v>
      </c>
      <c r="L168" t="s">
        <v>74</v>
      </c>
      <c r="M168" t="s">
        <v>78</v>
      </c>
      <c r="N168" t="s">
        <v>79</v>
      </c>
      <c r="O168" t="s">
        <v>74</v>
      </c>
      <c r="P168" t="s">
        <v>74</v>
      </c>
      <c r="Q168" t="s">
        <v>74</v>
      </c>
      <c r="R168" t="s">
        <v>74</v>
      </c>
      <c r="S168" t="s">
        <v>74</v>
      </c>
      <c r="T168" t="s">
        <v>74</v>
      </c>
      <c r="U168" t="s">
        <v>3307</v>
      </c>
      <c r="V168" t="s">
        <v>3308</v>
      </c>
      <c r="W168" t="s">
        <v>3309</v>
      </c>
      <c r="X168" t="s">
        <v>3310</v>
      </c>
      <c r="Y168" t="s">
        <v>3311</v>
      </c>
      <c r="Z168" t="s">
        <v>3312</v>
      </c>
      <c r="AA168" t="s">
        <v>74</v>
      </c>
      <c r="AB168" t="s">
        <v>3313</v>
      </c>
      <c r="AC168" t="s">
        <v>3314</v>
      </c>
      <c r="AD168" t="s">
        <v>3315</v>
      </c>
      <c r="AE168" t="s">
        <v>3316</v>
      </c>
      <c r="AF168" t="s">
        <v>74</v>
      </c>
      <c r="AG168">
        <v>64</v>
      </c>
      <c r="AH168">
        <v>0</v>
      </c>
      <c r="AI168">
        <v>0</v>
      </c>
      <c r="AJ168">
        <v>6</v>
      </c>
      <c r="AK168">
        <v>6</v>
      </c>
      <c r="AL168" t="s">
        <v>1710</v>
      </c>
      <c r="AM168" t="s">
        <v>1209</v>
      </c>
      <c r="AN168" t="s">
        <v>1711</v>
      </c>
      <c r="AO168" t="s">
        <v>3297</v>
      </c>
      <c r="AP168" t="s">
        <v>74</v>
      </c>
      <c r="AQ168" t="s">
        <v>74</v>
      </c>
      <c r="AR168" t="s">
        <v>3298</v>
      </c>
      <c r="AS168" t="s">
        <v>3299</v>
      </c>
      <c r="AT168" t="s">
        <v>3263</v>
      </c>
      <c r="AU168">
        <v>2023</v>
      </c>
      <c r="AV168">
        <v>9</v>
      </c>
      <c r="AW168">
        <v>50</v>
      </c>
      <c r="AX168" t="s">
        <v>74</v>
      </c>
      <c r="AY168" t="s">
        <v>74</v>
      </c>
      <c r="AZ168" t="s">
        <v>74</v>
      </c>
      <c r="BA168" t="s">
        <v>74</v>
      </c>
      <c r="BB168" t="s">
        <v>74</v>
      </c>
      <c r="BC168" t="s">
        <v>74</v>
      </c>
      <c r="BD168" t="s">
        <v>3317</v>
      </c>
      <c r="BE168" t="s">
        <v>3318</v>
      </c>
      <c r="BF168" t="str">
        <f>HYPERLINK("http://dx.doi.org/10.1126/sciadv.adh4584","http://dx.doi.org/10.1126/sciadv.adh4584")</f>
        <v>http://dx.doi.org/10.1126/sciadv.adh4584</v>
      </c>
      <c r="BG168" t="s">
        <v>74</v>
      </c>
      <c r="BH168" t="s">
        <v>74</v>
      </c>
      <c r="BI168">
        <v>15</v>
      </c>
      <c r="BJ168" t="s">
        <v>1035</v>
      </c>
      <c r="BK168" t="s">
        <v>100</v>
      </c>
      <c r="BL168" t="s">
        <v>1036</v>
      </c>
      <c r="BM168" t="s">
        <v>3302</v>
      </c>
      <c r="BN168">
        <v>38100594</v>
      </c>
      <c r="BO168" t="s">
        <v>200</v>
      </c>
      <c r="BP168" t="s">
        <v>74</v>
      </c>
      <c r="BQ168" t="s">
        <v>74</v>
      </c>
      <c r="BR168" t="s">
        <v>104</v>
      </c>
      <c r="BS168" t="s">
        <v>3319</v>
      </c>
      <c r="BT168" t="str">
        <f>HYPERLINK("https%3A%2F%2Fwww.webofscience.com%2Fwos%2Fwoscc%2Ffull-record%2FWOS:001142514700007","View Full Record in Web of Science")</f>
        <v>View Full Record in Web of Science</v>
      </c>
    </row>
    <row r="169" spans="1:72" x14ac:dyDescent="0.15">
      <c r="A169" t="s">
        <v>72</v>
      </c>
      <c r="B169" t="s">
        <v>3320</v>
      </c>
      <c r="C169" t="s">
        <v>74</v>
      </c>
      <c r="D169" t="s">
        <v>74</v>
      </c>
      <c r="E169" t="s">
        <v>74</v>
      </c>
      <c r="F169" t="s">
        <v>3321</v>
      </c>
      <c r="G169" t="s">
        <v>74</v>
      </c>
      <c r="H169" t="s">
        <v>74</v>
      </c>
      <c r="I169" t="s">
        <v>3322</v>
      </c>
      <c r="J169" t="s">
        <v>3323</v>
      </c>
      <c r="K169" t="s">
        <v>74</v>
      </c>
      <c r="L169" t="s">
        <v>74</v>
      </c>
      <c r="M169" t="s">
        <v>78</v>
      </c>
      <c r="N169" t="s">
        <v>79</v>
      </c>
      <c r="O169" t="s">
        <v>74</v>
      </c>
      <c r="P169" t="s">
        <v>74</v>
      </c>
      <c r="Q169" t="s">
        <v>74</v>
      </c>
      <c r="R169" t="s">
        <v>74</v>
      </c>
      <c r="S169" t="s">
        <v>74</v>
      </c>
      <c r="T169" t="s">
        <v>74</v>
      </c>
      <c r="U169" t="s">
        <v>3324</v>
      </c>
      <c r="V169" t="s">
        <v>3325</v>
      </c>
      <c r="W169" t="s">
        <v>3326</v>
      </c>
      <c r="X169" t="s">
        <v>3327</v>
      </c>
      <c r="Y169" t="s">
        <v>3328</v>
      </c>
      <c r="Z169" t="s">
        <v>3329</v>
      </c>
      <c r="AA169" t="s">
        <v>3330</v>
      </c>
      <c r="AB169" t="s">
        <v>3331</v>
      </c>
      <c r="AC169" t="s">
        <v>3332</v>
      </c>
      <c r="AD169" t="s">
        <v>3333</v>
      </c>
      <c r="AE169" t="s">
        <v>3334</v>
      </c>
      <c r="AF169" t="s">
        <v>74</v>
      </c>
      <c r="AG169">
        <v>56</v>
      </c>
      <c r="AH169">
        <v>0</v>
      </c>
      <c r="AI169">
        <v>0</v>
      </c>
      <c r="AJ169">
        <v>0</v>
      </c>
      <c r="AK169">
        <v>0</v>
      </c>
      <c r="AL169" t="s">
        <v>1838</v>
      </c>
      <c r="AM169" t="s">
        <v>1839</v>
      </c>
      <c r="AN169" t="s">
        <v>1840</v>
      </c>
      <c r="AO169" t="s">
        <v>3335</v>
      </c>
      <c r="AP169" t="s">
        <v>3336</v>
      </c>
      <c r="AQ169" t="s">
        <v>74</v>
      </c>
      <c r="AR169" t="s">
        <v>3337</v>
      </c>
      <c r="AS169" t="s">
        <v>3338</v>
      </c>
      <c r="AT169" t="s">
        <v>3339</v>
      </c>
      <c r="AU169">
        <v>2023</v>
      </c>
      <c r="AV169">
        <v>19</v>
      </c>
      <c r="AW169">
        <v>12</v>
      </c>
      <c r="AX169" t="s">
        <v>74</v>
      </c>
      <c r="AY169" t="s">
        <v>74</v>
      </c>
      <c r="AZ169" t="s">
        <v>74</v>
      </c>
      <c r="BA169" t="s">
        <v>74</v>
      </c>
      <c r="BB169">
        <v>2551</v>
      </c>
      <c r="BC169">
        <v>2568</v>
      </c>
      <c r="BD169" t="s">
        <v>74</v>
      </c>
      <c r="BE169" t="s">
        <v>3340</v>
      </c>
      <c r="BF169" t="str">
        <f>HYPERLINK("http://dx.doi.org/10.5194/cp-19-2551-2023","http://dx.doi.org/10.5194/cp-19-2551-2023")</f>
        <v>http://dx.doi.org/10.5194/cp-19-2551-2023</v>
      </c>
      <c r="BG169" t="s">
        <v>74</v>
      </c>
      <c r="BH169" t="s">
        <v>74</v>
      </c>
      <c r="BI169">
        <v>18</v>
      </c>
      <c r="BJ169" t="s">
        <v>2405</v>
      </c>
      <c r="BK169" t="s">
        <v>100</v>
      </c>
      <c r="BL169" t="s">
        <v>2406</v>
      </c>
      <c r="BM169" t="s">
        <v>3341</v>
      </c>
      <c r="BN169" t="s">
        <v>74</v>
      </c>
      <c r="BO169" t="s">
        <v>349</v>
      </c>
      <c r="BP169" t="s">
        <v>74</v>
      </c>
      <c r="BQ169" t="s">
        <v>74</v>
      </c>
      <c r="BR169" t="s">
        <v>104</v>
      </c>
      <c r="BS169" t="s">
        <v>3342</v>
      </c>
      <c r="BT169" t="str">
        <f>HYPERLINK("https%3A%2F%2Fwww.webofscience.com%2Fwos%2Fwoscc%2Ffull-record%2FWOS:001168842700001","View Full Record in Web of Science")</f>
        <v>View Full Record in Web of Science</v>
      </c>
    </row>
    <row r="170" spans="1:72" x14ac:dyDescent="0.15">
      <c r="A170" t="s">
        <v>72</v>
      </c>
      <c r="B170" t="s">
        <v>3343</v>
      </c>
      <c r="C170" t="s">
        <v>74</v>
      </c>
      <c r="D170" t="s">
        <v>74</v>
      </c>
      <c r="E170" t="s">
        <v>74</v>
      </c>
      <c r="F170" t="s">
        <v>3344</v>
      </c>
      <c r="G170" t="s">
        <v>74</v>
      </c>
      <c r="H170" t="s">
        <v>74</v>
      </c>
      <c r="I170" t="s">
        <v>3345</v>
      </c>
      <c r="J170" t="s">
        <v>3346</v>
      </c>
      <c r="K170" t="s">
        <v>74</v>
      </c>
      <c r="L170" t="s">
        <v>74</v>
      </c>
      <c r="M170" t="s">
        <v>78</v>
      </c>
      <c r="N170" t="s">
        <v>79</v>
      </c>
      <c r="O170" t="s">
        <v>74</v>
      </c>
      <c r="P170" t="s">
        <v>74</v>
      </c>
      <c r="Q170" t="s">
        <v>74</v>
      </c>
      <c r="R170" t="s">
        <v>74</v>
      </c>
      <c r="S170" t="s">
        <v>74</v>
      </c>
      <c r="T170" t="s">
        <v>3347</v>
      </c>
      <c r="U170" t="s">
        <v>3348</v>
      </c>
      <c r="V170" t="s">
        <v>3349</v>
      </c>
      <c r="W170" t="s">
        <v>3350</v>
      </c>
      <c r="X170" t="s">
        <v>3351</v>
      </c>
      <c r="Y170" t="s">
        <v>3352</v>
      </c>
      <c r="Z170" t="s">
        <v>3353</v>
      </c>
      <c r="AA170" t="s">
        <v>3354</v>
      </c>
      <c r="AB170" t="s">
        <v>3355</v>
      </c>
      <c r="AC170" t="s">
        <v>3356</v>
      </c>
      <c r="AD170" t="s">
        <v>3356</v>
      </c>
      <c r="AE170" t="s">
        <v>3357</v>
      </c>
      <c r="AF170" t="s">
        <v>74</v>
      </c>
      <c r="AG170">
        <v>90</v>
      </c>
      <c r="AH170">
        <v>1</v>
      </c>
      <c r="AI170">
        <v>1</v>
      </c>
      <c r="AJ170">
        <v>1</v>
      </c>
      <c r="AK170">
        <v>1</v>
      </c>
      <c r="AL170" t="s">
        <v>947</v>
      </c>
      <c r="AM170" t="s">
        <v>948</v>
      </c>
      <c r="AN170" t="s">
        <v>949</v>
      </c>
      <c r="AO170" t="s">
        <v>3358</v>
      </c>
      <c r="AP170" t="s">
        <v>74</v>
      </c>
      <c r="AQ170" t="s">
        <v>74</v>
      </c>
      <c r="AR170" t="s">
        <v>3359</v>
      </c>
      <c r="AS170" t="s">
        <v>3360</v>
      </c>
      <c r="AT170" t="s">
        <v>1133</v>
      </c>
      <c r="AU170">
        <v>2024</v>
      </c>
      <c r="AV170">
        <v>34</v>
      </c>
      <c r="AW170" t="s">
        <v>74</v>
      </c>
      <c r="AX170" t="s">
        <v>74</v>
      </c>
      <c r="AY170" t="s">
        <v>74</v>
      </c>
      <c r="AZ170" t="s">
        <v>74</v>
      </c>
      <c r="BA170" t="s">
        <v>74</v>
      </c>
      <c r="BB170" t="s">
        <v>74</v>
      </c>
      <c r="BC170" t="s">
        <v>74</v>
      </c>
      <c r="BD170">
        <v>101854</v>
      </c>
      <c r="BE170" t="s">
        <v>3361</v>
      </c>
      <c r="BF170" t="str">
        <f>HYPERLINK("http://dx.doi.org/10.1016/j.aqrep.2023.101854","http://dx.doi.org/10.1016/j.aqrep.2023.101854")</f>
        <v>http://dx.doi.org/10.1016/j.aqrep.2023.101854</v>
      </c>
      <c r="BG170" t="s">
        <v>74</v>
      </c>
      <c r="BH170" t="s">
        <v>98</v>
      </c>
      <c r="BI170">
        <v>15</v>
      </c>
      <c r="BJ170" t="s">
        <v>3362</v>
      </c>
      <c r="BK170" t="s">
        <v>100</v>
      </c>
      <c r="BL170" t="s">
        <v>3362</v>
      </c>
      <c r="BM170" t="s">
        <v>3363</v>
      </c>
      <c r="BN170" t="s">
        <v>74</v>
      </c>
      <c r="BO170" t="s">
        <v>131</v>
      </c>
      <c r="BP170" t="s">
        <v>74</v>
      </c>
      <c r="BQ170" t="s">
        <v>74</v>
      </c>
      <c r="BR170" t="s">
        <v>104</v>
      </c>
      <c r="BS170" t="s">
        <v>3364</v>
      </c>
      <c r="BT170" t="str">
        <f>HYPERLINK("https%3A%2F%2Fwww.webofscience.com%2Fwos%2Fwoscc%2Ffull-record%2FWOS:001137492800001","View Full Record in Web of Science")</f>
        <v>View Full Record in Web of Science</v>
      </c>
    </row>
    <row r="171" spans="1:72" x14ac:dyDescent="0.15">
      <c r="A171" t="s">
        <v>72</v>
      </c>
      <c r="B171" t="s">
        <v>3365</v>
      </c>
      <c r="C171" t="s">
        <v>74</v>
      </c>
      <c r="D171" t="s">
        <v>74</v>
      </c>
      <c r="E171" t="s">
        <v>74</v>
      </c>
      <c r="F171" t="s">
        <v>3366</v>
      </c>
      <c r="G171" t="s">
        <v>74</v>
      </c>
      <c r="H171" t="s">
        <v>74</v>
      </c>
      <c r="I171" t="s">
        <v>3367</v>
      </c>
      <c r="J171" t="s">
        <v>2412</v>
      </c>
      <c r="K171" t="s">
        <v>74</v>
      </c>
      <c r="L171" t="s">
        <v>74</v>
      </c>
      <c r="M171" t="s">
        <v>78</v>
      </c>
      <c r="N171" t="s">
        <v>79</v>
      </c>
      <c r="O171" t="s">
        <v>74</v>
      </c>
      <c r="P171" t="s">
        <v>74</v>
      </c>
      <c r="Q171" t="s">
        <v>74</v>
      </c>
      <c r="R171" t="s">
        <v>74</v>
      </c>
      <c r="S171" t="s">
        <v>74</v>
      </c>
      <c r="T171" t="s">
        <v>3368</v>
      </c>
      <c r="U171" t="s">
        <v>3369</v>
      </c>
      <c r="V171" t="s">
        <v>3370</v>
      </c>
      <c r="W171" t="s">
        <v>3371</v>
      </c>
      <c r="X171" t="s">
        <v>3372</v>
      </c>
      <c r="Y171" t="s">
        <v>3373</v>
      </c>
      <c r="Z171" t="s">
        <v>3374</v>
      </c>
      <c r="AA171" t="s">
        <v>74</v>
      </c>
      <c r="AB171" t="s">
        <v>74</v>
      </c>
      <c r="AC171" t="s">
        <v>3375</v>
      </c>
      <c r="AD171" t="s">
        <v>3376</v>
      </c>
      <c r="AE171" t="s">
        <v>3377</v>
      </c>
      <c r="AF171" t="s">
        <v>74</v>
      </c>
      <c r="AG171">
        <v>69</v>
      </c>
      <c r="AH171">
        <v>0</v>
      </c>
      <c r="AI171">
        <v>0</v>
      </c>
      <c r="AJ171">
        <v>8</v>
      </c>
      <c r="AK171">
        <v>8</v>
      </c>
      <c r="AL171" t="s">
        <v>947</v>
      </c>
      <c r="AM171" t="s">
        <v>948</v>
      </c>
      <c r="AN171" t="s">
        <v>949</v>
      </c>
      <c r="AO171" t="s">
        <v>2424</v>
      </c>
      <c r="AP171" t="s">
        <v>2425</v>
      </c>
      <c r="AQ171" t="s">
        <v>74</v>
      </c>
      <c r="AR171" t="s">
        <v>2426</v>
      </c>
      <c r="AS171" t="s">
        <v>2427</v>
      </c>
      <c r="AT171" t="s">
        <v>954</v>
      </c>
      <c r="AU171">
        <v>2024</v>
      </c>
      <c r="AV171">
        <v>232</v>
      </c>
      <c r="AW171" t="s">
        <v>74</v>
      </c>
      <c r="AX171" t="s">
        <v>74</v>
      </c>
      <c r="AY171" t="s">
        <v>74</v>
      </c>
      <c r="AZ171" t="s">
        <v>74</v>
      </c>
      <c r="BA171" t="s">
        <v>74</v>
      </c>
      <c r="BB171" t="s">
        <v>74</v>
      </c>
      <c r="BC171" t="s">
        <v>74</v>
      </c>
      <c r="BD171">
        <v>104335</v>
      </c>
      <c r="BE171" t="s">
        <v>3378</v>
      </c>
      <c r="BF171" t="str">
        <f>HYPERLINK("http://dx.doi.org/10.1016/j.gloplacha.2023.104335","http://dx.doi.org/10.1016/j.gloplacha.2023.104335")</f>
        <v>http://dx.doi.org/10.1016/j.gloplacha.2023.104335</v>
      </c>
      <c r="BG171" t="s">
        <v>74</v>
      </c>
      <c r="BH171" t="s">
        <v>98</v>
      </c>
      <c r="BI171">
        <v>9</v>
      </c>
      <c r="BJ171" t="s">
        <v>984</v>
      </c>
      <c r="BK171" t="s">
        <v>100</v>
      </c>
      <c r="BL171" t="s">
        <v>985</v>
      </c>
      <c r="BM171" t="s">
        <v>3379</v>
      </c>
      <c r="BN171" t="s">
        <v>74</v>
      </c>
      <c r="BO171" t="s">
        <v>74</v>
      </c>
      <c r="BP171" t="s">
        <v>74</v>
      </c>
      <c r="BQ171" t="s">
        <v>74</v>
      </c>
      <c r="BR171" t="s">
        <v>104</v>
      </c>
      <c r="BS171" t="s">
        <v>3380</v>
      </c>
      <c r="BT171" t="str">
        <f>HYPERLINK("https%3A%2F%2Fwww.webofscience.com%2Fwos%2Fwoscc%2Ffull-record%2FWOS:001138008400001","View Full Record in Web of Science")</f>
        <v>View Full Record in Web of Science</v>
      </c>
    </row>
    <row r="172" spans="1:72" x14ac:dyDescent="0.15">
      <c r="A172" t="s">
        <v>72</v>
      </c>
      <c r="B172" t="s">
        <v>3381</v>
      </c>
      <c r="C172" t="s">
        <v>74</v>
      </c>
      <c r="D172" t="s">
        <v>74</v>
      </c>
      <c r="E172" t="s">
        <v>74</v>
      </c>
      <c r="F172" t="s">
        <v>3382</v>
      </c>
      <c r="G172" t="s">
        <v>74</v>
      </c>
      <c r="H172" t="s">
        <v>74</v>
      </c>
      <c r="I172" t="s">
        <v>3383</v>
      </c>
      <c r="J172" t="s">
        <v>3384</v>
      </c>
      <c r="K172" t="s">
        <v>74</v>
      </c>
      <c r="L172" t="s">
        <v>74</v>
      </c>
      <c r="M172" t="s">
        <v>78</v>
      </c>
      <c r="N172" t="s">
        <v>79</v>
      </c>
      <c r="O172" t="s">
        <v>74</v>
      </c>
      <c r="P172" t="s">
        <v>74</v>
      </c>
      <c r="Q172" t="s">
        <v>74</v>
      </c>
      <c r="R172" t="s">
        <v>74</v>
      </c>
      <c r="S172" t="s">
        <v>74</v>
      </c>
      <c r="T172" t="s">
        <v>74</v>
      </c>
      <c r="U172" t="s">
        <v>3385</v>
      </c>
      <c r="V172" t="s">
        <v>3386</v>
      </c>
      <c r="W172" t="s">
        <v>3387</v>
      </c>
      <c r="X172" t="s">
        <v>3388</v>
      </c>
      <c r="Y172" t="s">
        <v>3389</v>
      </c>
      <c r="Z172" t="s">
        <v>3390</v>
      </c>
      <c r="AA172" t="s">
        <v>3391</v>
      </c>
      <c r="AB172" t="s">
        <v>3392</v>
      </c>
      <c r="AC172" t="s">
        <v>3393</v>
      </c>
      <c r="AD172" t="s">
        <v>3394</v>
      </c>
      <c r="AE172" t="s">
        <v>3395</v>
      </c>
      <c r="AF172" t="s">
        <v>74</v>
      </c>
      <c r="AG172">
        <v>91</v>
      </c>
      <c r="AH172">
        <v>0</v>
      </c>
      <c r="AI172">
        <v>0</v>
      </c>
      <c r="AJ172">
        <v>28</v>
      </c>
      <c r="AK172">
        <v>28</v>
      </c>
      <c r="AL172" t="s">
        <v>3057</v>
      </c>
      <c r="AM172" t="s">
        <v>3058</v>
      </c>
      <c r="AN172" t="s">
        <v>3059</v>
      </c>
      <c r="AO172" t="s">
        <v>74</v>
      </c>
      <c r="AP172" t="s">
        <v>3396</v>
      </c>
      <c r="AQ172" t="s">
        <v>74</v>
      </c>
      <c r="AR172" t="s">
        <v>3397</v>
      </c>
      <c r="AS172" t="s">
        <v>3398</v>
      </c>
      <c r="AT172" t="s">
        <v>3339</v>
      </c>
      <c r="AU172">
        <v>2023</v>
      </c>
      <c r="AV172">
        <v>14</v>
      </c>
      <c r="AW172">
        <v>1</v>
      </c>
      <c r="AX172" t="s">
        <v>74</v>
      </c>
      <c r="AY172" t="s">
        <v>74</v>
      </c>
      <c r="AZ172" t="s">
        <v>74</v>
      </c>
      <c r="BA172" t="s">
        <v>74</v>
      </c>
      <c r="BB172" t="s">
        <v>74</v>
      </c>
      <c r="BC172" t="s">
        <v>74</v>
      </c>
      <c r="BD172">
        <v>8295</v>
      </c>
      <c r="BE172" t="s">
        <v>3399</v>
      </c>
      <c r="BF172" t="str">
        <f>HYPERLINK("http://dx.doi.org/10.1038/s41467-023-44028-x","http://dx.doi.org/10.1038/s41467-023-44028-x")</f>
        <v>http://dx.doi.org/10.1038/s41467-023-44028-x</v>
      </c>
      <c r="BG172" t="s">
        <v>74</v>
      </c>
      <c r="BH172" t="s">
        <v>74</v>
      </c>
      <c r="BI172">
        <v>10</v>
      </c>
      <c r="BJ172" t="s">
        <v>1035</v>
      </c>
      <c r="BK172" t="s">
        <v>100</v>
      </c>
      <c r="BL172" t="s">
        <v>1036</v>
      </c>
      <c r="BM172" t="s">
        <v>3400</v>
      </c>
      <c r="BN172">
        <v>38097581</v>
      </c>
      <c r="BO172" t="s">
        <v>183</v>
      </c>
      <c r="BP172" t="s">
        <v>74</v>
      </c>
      <c r="BQ172" t="s">
        <v>74</v>
      </c>
      <c r="BR172" t="s">
        <v>104</v>
      </c>
      <c r="BS172" t="s">
        <v>3401</v>
      </c>
      <c r="BT172" t="str">
        <f>HYPERLINK("https%3A%2F%2Fwww.webofscience.com%2Fwos%2Fwoscc%2Ffull-record%2FWOS:001125281300015","View Full Record in Web of Science")</f>
        <v>View Full Record in Web of Science</v>
      </c>
    </row>
    <row r="173" spans="1:72" x14ac:dyDescent="0.15">
      <c r="A173" t="s">
        <v>72</v>
      </c>
      <c r="B173" t="s">
        <v>3402</v>
      </c>
      <c r="C173" t="s">
        <v>74</v>
      </c>
      <c r="D173" t="s">
        <v>74</v>
      </c>
      <c r="E173" t="s">
        <v>74</v>
      </c>
      <c r="F173" t="s">
        <v>3403</v>
      </c>
      <c r="G173" t="s">
        <v>74</v>
      </c>
      <c r="H173" t="s">
        <v>74</v>
      </c>
      <c r="I173" t="s">
        <v>3404</v>
      </c>
      <c r="J173" t="s">
        <v>1770</v>
      </c>
      <c r="K173" t="s">
        <v>74</v>
      </c>
      <c r="L173" t="s">
        <v>74</v>
      </c>
      <c r="M173" t="s">
        <v>78</v>
      </c>
      <c r="N173" t="s">
        <v>1547</v>
      </c>
      <c r="O173" t="s">
        <v>74</v>
      </c>
      <c r="P173" t="s">
        <v>74</v>
      </c>
      <c r="Q173" t="s">
        <v>74</v>
      </c>
      <c r="R173" t="s">
        <v>74</v>
      </c>
      <c r="S173" t="s">
        <v>74</v>
      </c>
      <c r="T173" t="s">
        <v>74</v>
      </c>
      <c r="U173" t="s">
        <v>74</v>
      </c>
      <c r="V173" t="s">
        <v>3405</v>
      </c>
      <c r="W173" t="s">
        <v>3406</v>
      </c>
      <c r="X173" t="s">
        <v>3407</v>
      </c>
      <c r="Y173" t="s">
        <v>3408</v>
      </c>
      <c r="Z173" t="s">
        <v>3409</v>
      </c>
      <c r="AA173" t="s">
        <v>74</v>
      </c>
      <c r="AB173" t="s">
        <v>3410</v>
      </c>
      <c r="AC173" t="s">
        <v>3411</v>
      </c>
      <c r="AD173" t="s">
        <v>3412</v>
      </c>
      <c r="AE173" t="s">
        <v>3413</v>
      </c>
      <c r="AF173" t="s">
        <v>74</v>
      </c>
      <c r="AG173">
        <v>6</v>
      </c>
      <c r="AH173">
        <v>0</v>
      </c>
      <c r="AI173">
        <v>0</v>
      </c>
      <c r="AJ173">
        <v>2</v>
      </c>
      <c r="AK173">
        <v>2</v>
      </c>
      <c r="AL173" t="s">
        <v>1782</v>
      </c>
      <c r="AM173" t="s">
        <v>1783</v>
      </c>
      <c r="AN173" t="s">
        <v>1784</v>
      </c>
      <c r="AO173" t="s">
        <v>1785</v>
      </c>
      <c r="AP173" t="s">
        <v>1786</v>
      </c>
      <c r="AQ173" t="s">
        <v>74</v>
      </c>
      <c r="AR173" t="s">
        <v>1787</v>
      </c>
      <c r="AS173" t="s">
        <v>1788</v>
      </c>
      <c r="AT173" t="s">
        <v>3414</v>
      </c>
      <c r="AU173">
        <v>2023</v>
      </c>
      <c r="AV173" t="s">
        <v>74</v>
      </c>
      <c r="AW173" t="s">
        <v>74</v>
      </c>
      <c r="AX173" t="s">
        <v>74</v>
      </c>
      <c r="AY173" t="s">
        <v>74</v>
      </c>
      <c r="AZ173" t="s">
        <v>74</v>
      </c>
      <c r="BA173" t="s">
        <v>74</v>
      </c>
      <c r="BB173" t="s">
        <v>74</v>
      </c>
      <c r="BC173" t="s">
        <v>74</v>
      </c>
      <c r="BD173" t="s">
        <v>74</v>
      </c>
      <c r="BE173" t="s">
        <v>3415</v>
      </c>
      <c r="BF173" t="str">
        <f>HYPERLINK("http://dx.doi.org/10.1017/S0954102023000366","http://dx.doi.org/10.1017/S0954102023000366")</f>
        <v>http://dx.doi.org/10.1017/S0954102023000366</v>
      </c>
      <c r="BG173" t="s">
        <v>74</v>
      </c>
      <c r="BH173" t="s">
        <v>98</v>
      </c>
      <c r="BI173">
        <v>3</v>
      </c>
      <c r="BJ173" t="s">
        <v>1791</v>
      </c>
      <c r="BK173" t="s">
        <v>100</v>
      </c>
      <c r="BL173" t="s">
        <v>1792</v>
      </c>
      <c r="BM173" t="s">
        <v>3416</v>
      </c>
      <c r="BN173" t="s">
        <v>74</v>
      </c>
      <c r="BO173" t="s">
        <v>103</v>
      </c>
      <c r="BP173" t="s">
        <v>74</v>
      </c>
      <c r="BQ173" t="s">
        <v>74</v>
      </c>
      <c r="BR173" t="s">
        <v>104</v>
      </c>
      <c r="BS173" t="s">
        <v>3417</v>
      </c>
      <c r="BT173" t="str">
        <f>HYPERLINK("https%3A%2F%2Fwww.webofscience.com%2Fwos%2Fwoscc%2Ffull-record%2FWOS:001124541200001","View Full Record in Web of Science")</f>
        <v>View Full Record in Web of Science</v>
      </c>
    </row>
    <row r="174" spans="1:72" x14ac:dyDescent="0.15">
      <c r="A174" t="s">
        <v>72</v>
      </c>
      <c r="B174" t="s">
        <v>3418</v>
      </c>
      <c r="C174" t="s">
        <v>74</v>
      </c>
      <c r="D174" t="s">
        <v>74</v>
      </c>
      <c r="E174" t="s">
        <v>74</v>
      </c>
      <c r="F174" t="s">
        <v>3419</v>
      </c>
      <c r="G174" t="s">
        <v>74</v>
      </c>
      <c r="H174" t="s">
        <v>74</v>
      </c>
      <c r="I174" t="s">
        <v>3420</v>
      </c>
      <c r="J174" t="s">
        <v>1243</v>
      </c>
      <c r="K174" t="s">
        <v>74</v>
      </c>
      <c r="L174" t="s">
        <v>74</v>
      </c>
      <c r="M174" t="s">
        <v>78</v>
      </c>
      <c r="N174" t="s">
        <v>79</v>
      </c>
      <c r="O174" t="s">
        <v>74</v>
      </c>
      <c r="P174" t="s">
        <v>74</v>
      </c>
      <c r="Q174" t="s">
        <v>74</v>
      </c>
      <c r="R174" t="s">
        <v>74</v>
      </c>
      <c r="S174" t="s">
        <v>74</v>
      </c>
      <c r="T174" t="s">
        <v>3421</v>
      </c>
      <c r="U174" t="s">
        <v>3422</v>
      </c>
      <c r="V174" t="s">
        <v>3423</v>
      </c>
      <c r="W174" t="s">
        <v>3424</v>
      </c>
      <c r="X174" t="s">
        <v>3425</v>
      </c>
      <c r="Y174" t="s">
        <v>3426</v>
      </c>
      <c r="Z174" t="s">
        <v>3427</v>
      </c>
      <c r="AA174" t="s">
        <v>74</v>
      </c>
      <c r="AB174" t="s">
        <v>3428</v>
      </c>
      <c r="AC174" t="s">
        <v>3429</v>
      </c>
      <c r="AD174" t="s">
        <v>3430</v>
      </c>
      <c r="AE174" t="s">
        <v>3431</v>
      </c>
      <c r="AF174" t="s">
        <v>74</v>
      </c>
      <c r="AG174">
        <v>55</v>
      </c>
      <c r="AH174">
        <v>0</v>
      </c>
      <c r="AI174">
        <v>0</v>
      </c>
      <c r="AJ174">
        <v>6</v>
      </c>
      <c r="AK174">
        <v>6</v>
      </c>
      <c r="AL174" t="s">
        <v>1075</v>
      </c>
      <c r="AM174" t="s">
        <v>1076</v>
      </c>
      <c r="AN174" t="s">
        <v>1077</v>
      </c>
      <c r="AO174" t="s">
        <v>1256</v>
      </c>
      <c r="AP174" t="s">
        <v>1257</v>
      </c>
      <c r="AQ174" t="s">
        <v>74</v>
      </c>
      <c r="AR174" t="s">
        <v>1258</v>
      </c>
      <c r="AS174" t="s">
        <v>1259</v>
      </c>
      <c r="AT174" t="s">
        <v>954</v>
      </c>
      <c r="AU174">
        <v>2024</v>
      </c>
      <c r="AV174">
        <v>47</v>
      </c>
      <c r="AW174">
        <v>1</v>
      </c>
      <c r="AX174" t="s">
        <v>74</v>
      </c>
      <c r="AY174" t="s">
        <v>74</v>
      </c>
      <c r="AZ174" t="s">
        <v>74</v>
      </c>
      <c r="BA174" t="s">
        <v>74</v>
      </c>
      <c r="BB174">
        <v>73</v>
      </c>
      <c r="BC174">
        <v>83</v>
      </c>
      <c r="BD174" t="s">
        <v>74</v>
      </c>
      <c r="BE174" t="s">
        <v>3432</v>
      </c>
      <c r="BF174" t="str">
        <f>HYPERLINK("http://dx.doi.org/10.1007/s00300-023-03211-y","http://dx.doi.org/10.1007/s00300-023-03211-y")</f>
        <v>http://dx.doi.org/10.1007/s00300-023-03211-y</v>
      </c>
      <c r="BG174" t="s">
        <v>74</v>
      </c>
      <c r="BH174" t="s">
        <v>98</v>
      </c>
      <c r="BI174">
        <v>11</v>
      </c>
      <c r="BJ174" t="s">
        <v>1261</v>
      </c>
      <c r="BK174" t="s">
        <v>100</v>
      </c>
      <c r="BL174" t="s">
        <v>913</v>
      </c>
      <c r="BM174" t="s">
        <v>3102</v>
      </c>
      <c r="BN174" t="s">
        <v>74</v>
      </c>
      <c r="BO174" t="s">
        <v>322</v>
      </c>
      <c r="BP174" t="s">
        <v>74</v>
      </c>
      <c r="BQ174" t="s">
        <v>74</v>
      </c>
      <c r="BR174" t="s">
        <v>104</v>
      </c>
      <c r="BS174" t="s">
        <v>3433</v>
      </c>
      <c r="BT174" t="str">
        <f>HYPERLINK("https%3A%2F%2Fwww.webofscience.com%2Fwos%2Fwoscc%2Ffull-record%2FWOS:001125956300001","View Full Record in Web of Science")</f>
        <v>View Full Record in Web of Science</v>
      </c>
    </row>
    <row r="175" spans="1:72" x14ac:dyDescent="0.15">
      <c r="A175" t="s">
        <v>72</v>
      </c>
      <c r="B175" t="s">
        <v>3434</v>
      </c>
      <c r="C175" t="s">
        <v>74</v>
      </c>
      <c r="D175" t="s">
        <v>74</v>
      </c>
      <c r="E175" t="s">
        <v>74</v>
      </c>
      <c r="F175" t="s">
        <v>3435</v>
      </c>
      <c r="G175" t="s">
        <v>74</v>
      </c>
      <c r="H175" t="s">
        <v>74</v>
      </c>
      <c r="I175" t="s">
        <v>3436</v>
      </c>
      <c r="J175" t="s">
        <v>3437</v>
      </c>
      <c r="K175" t="s">
        <v>74</v>
      </c>
      <c r="L175" t="s">
        <v>74</v>
      </c>
      <c r="M175" t="s">
        <v>78</v>
      </c>
      <c r="N175" t="s">
        <v>79</v>
      </c>
      <c r="O175" t="s">
        <v>74</v>
      </c>
      <c r="P175" t="s">
        <v>74</v>
      </c>
      <c r="Q175" t="s">
        <v>74</v>
      </c>
      <c r="R175" t="s">
        <v>74</v>
      </c>
      <c r="S175" t="s">
        <v>74</v>
      </c>
      <c r="T175" t="s">
        <v>3438</v>
      </c>
      <c r="U175" t="s">
        <v>3439</v>
      </c>
      <c r="V175" t="s">
        <v>3440</v>
      </c>
      <c r="W175" t="s">
        <v>3441</v>
      </c>
      <c r="X175" t="s">
        <v>3442</v>
      </c>
      <c r="Y175" t="s">
        <v>3443</v>
      </c>
      <c r="Z175" t="s">
        <v>3444</v>
      </c>
      <c r="AA175" t="s">
        <v>3445</v>
      </c>
      <c r="AB175" t="s">
        <v>3446</v>
      </c>
      <c r="AC175" t="s">
        <v>3447</v>
      </c>
      <c r="AD175" t="s">
        <v>3448</v>
      </c>
      <c r="AE175" t="s">
        <v>3449</v>
      </c>
      <c r="AF175" t="s">
        <v>74</v>
      </c>
      <c r="AG175">
        <v>85</v>
      </c>
      <c r="AH175">
        <v>1</v>
      </c>
      <c r="AI175">
        <v>1</v>
      </c>
      <c r="AJ175">
        <v>8</v>
      </c>
      <c r="AK175">
        <v>8</v>
      </c>
      <c r="AL175" t="s">
        <v>1101</v>
      </c>
      <c r="AM175" t="s">
        <v>1102</v>
      </c>
      <c r="AN175" t="s">
        <v>1103</v>
      </c>
      <c r="AO175" t="s">
        <v>3450</v>
      </c>
      <c r="AP175" t="s">
        <v>3451</v>
      </c>
      <c r="AQ175" t="s">
        <v>74</v>
      </c>
      <c r="AR175" t="s">
        <v>3452</v>
      </c>
      <c r="AS175" t="s">
        <v>3453</v>
      </c>
      <c r="AT175" t="s">
        <v>1082</v>
      </c>
      <c r="AU175">
        <v>2024</v>
      </c>
      <c r="AV175">
        <v>241</v>
      </c>
      <c r="AW175">
        <v>5</v>
      </c>
      <c r="AX175" t="s">
        <v>74</v>
      </c>
      <c r="AY175" t="s">
        <v>74</v>
      </c>
      <c r="AZ175" t="s">
        <v>74</v>
      </c>
      <c r="BA175" t="s">
        <v>74</v>
      </c>
      <c r="BB175">
        <v>2193</v>
      </c>
      <c r="BC175">
        <v>2208</v>
      </c>
      <c r="BD175" t="s">
        <v>74</v>
      </c>
      <c r="BE175" t="s">
        <v>3454</v>
      </c>
      <c r="BF175" t="str">
        <f>HYPERLINK("http://dx.doi.org/10.1111/nph.19387","http://dx.doi.org/10.1111/nph.19387")</f>
        <v>http://dx.doi.org/10.1111/nph.19387</v>
      </c>
      <c r="BG175" t="s">
        <v>74</v>
      </c>
      <c r="BH175" t="s">
        <v>98</v>
      </c>
      <c r="BI175">
        <v>16</v>
      </c>
      <c r="BJ175" t="s">
        <v>1887</v>
      </c>
      <c r="BK175" t="s">
        <v>100</v>
      </c>
      <c r="BL175" t="s">
        <v>1887</v>
      </c>
      <c r="BM175" t="s">
        <v>3455</v>
      </c>
      <c r="BN175">
        <v>38095198</v>
      </c>
      <c r="BO175" t="s">
        <v>3456</v>
      </c>
      <c r="BP175" t="s">
        <v>74</v>
      </c>
      <c r="BQ175" t="s">
        <v>74</v>
      </c>
      <c r="BR175" t="s">
        <v>104</v>
      </c>
      <c r="BS175" t="s">
        <v>3457</v>
      </c>
      <c r="BT175" t="str">
        <f>HYPERLINK("https%3A%2F%2Fwww.webofscience.com%2Fwos%2Fwoscc%2Ffull-record%2FWOS:001124870300001","View Full Record in Web of Science")</f>
        <v>View Full Record in Web of Science</v>
      </c>
    </row>
    <row r="176" spans="1:72" x14ac:dyDescent="0.15">
      <c r="A176" t="s">
        <v>72</v>
      </c>
      <c r="B176" t="s">
        <v>3458</v>
      </c>
      <c r="C176" t="s">
        <v>74</v>
      </c>
      <c r="D176" t="s">
        <v>74</v>
      </c>
      <c r="E176" t="s">
        <v>74</v>
      </c>
      <c r="F176" t="s">
        <v>3459</v>
      </c>
      <c r="G176" t="s">
        <v>74</v>
      </c>
      <c r="H176" t="s">
        <v>74</v>
      </c>
      <c r="I176" t="s">
        <v>3460</v>
      </c>
      <c r="J176" t="s">
        <v>3384</v>
      </c>
      <c r="K176" t="s">
        <v>74</v>
      </c>
      <c r="L176" t="s">
        <v>74</v>
      </c>
      <c r="M176" t="s">
        <v>78</v>
      </c>
      <c r="N176" t="s">
        <v>79</v>
      </c>
      <c r="O176" t="s">
        <v>74</v>
      </c>
      <c r="P176" t="s">
        <v>74</v>
      </c>
      <c r="Q176" t="s">
        <v>74</v>
      </c>
      <c r="R176" t="s">
        <v>74</v>
      </c>
      <c r="S176" t="s">
        <v>74</v>
      </c>
      <c r="T176" t="s">
        <v>74</v>
      </c>
      <c r="U176" t="s">
        <v>3461</v>
      </c>
      <c r="V176" t="s">
        <v>3462</v>
      </c>
      <c r="W176" t="s">
        <v>3463</v>
      </c>
      <c r="X176" t="s">
        <v>3464</v>
      </c>
      <c r="Y176" t="s">
        <v>3465</v>
      </c>
      <c r="Z176" t="s">
        <v>3466</v>
      </c>
      <c r="AA176" t="s">
        <v>3467</v>
      </c>
      <c r="AB176" t="s">
        <v>3468</v>
      </c>
      <c r="AC176" t="s">
        <v>3469</v>
      </c>
      <c r="AD176" t="s">
        <v>3470</v>
      </c>
      <c r="AE176" t="s">
        <v>3471</v>
      </c>
      <c r="AF176" t="s">
        <v>74</v>
      </c>
      <c r="AG176">
        <v>77</v>
      </c>
      <c r="AH176">
        <v>1</v>
      </c>
      <c r="AI176">
        <v>1</v>
      </c>
      <c r="AJ176">
        <v>6</v>
      </c>
      <c r="AK176">
        <v>6</v>
      </c>
      <c r="AL176" t="s">
        <v>3057</v>
      </c>
      <c r="AM176" t="s">
        <v>3058</v>
      </c>
      <c r="AN176" t="s">
        <v>3059</v>
      </c>
      <c r="AO176" t="s">
        <v>74</v>
      </c>
      <c r="AP176" t="s">
        <v>3396</v>
      </c>
      <c r="AQ176" t="s">
        <v>74</v>
      </c>
      <c r="AR176" t="s">
        <v>3397</v>
      </c>
      <c r="AS176" t="s">
        <v>3398</v>
      </c>
      <c r="AT176" t="s">
        <v>3472</v>
      </c>
      <c r="AU176">
        <v>2023</v>
      </c>
      <c r="AV176">
        <v>14</v>
      </c>
      <c r="AW176">
        <v>1</v>
      </c>
      <c r="AX176" t="s">
        <v>74</v>
      </c>
      <c r="AY176" t="s">
        <v>74</v>
      </c>
      <c r="AZ176" t="s">
        <v>74</v>
      </c>
      <c r="BA176" t="s">
        <v>74</v>
      </c>
      <c r="BB176" t="s">
        <v>74</v>
      </c>
      <c r="BC176" t="s">
        <v>74</v>
      </c>
      <c r="BD176">
        <v>8286</v>
      </c>
      <c r="BE176" t="s">
        <v>3473</v>
      </c>
      <c r="BF176" t="str">
        <f>HYPERLINK("http://dx.doi.org/10.1038/s41467-023-44094-1","http://dx.doi.org/10.1038/s41467-023-44094-1")</f>
        <v>http://dx.doi.org/10.1038/s41467-023-44094-1</v>
      </c>
      <c r="BG176" t="s">
        <v>74</v>
      </c>
      <c r="BH176" t="s">
        <v>74</v>
      </c>
      <c r="BI176">
        <v>12</v>
      </c>
      <c r="BJ176" t="s">
        <v>1035</v>
      </c>
      <c r="BK176" t="s">
        <v>100</v>
      </c>
      <c r="BL176" t="s">
        <v>1036</v>
      </c>
      <c r="BM176" t="s">
        <v>3474</v>
      </c>
      <c r="BN176">
        <v>38092787</v>
      </c>
      <c r="BO176" t="s">
        <v>131</v>
      </c>
      <c r="BP176" t="s">
        <v>74</v>
      </c>
      <c r="BQ176" t="s">
        <v>74</v>
      </c>
      <c r="BR176" t="s">
        <v>104</v>
      </c>
      <c r="BS176" t="s">
        <v>3475</v>
      </c>
      <c r="BT176" t="str">
        <f>HYPERLINK("https%3A%2F%2Fwww.webofscience.com%2Fwos%2Fwoscc%2Ffull-record%2FWOS:001125362100020","View Full Record in Web of Science")</f>
        <v>View Full Record in Web of Science</v>
      </c>
    </row>
    <row r="177" spans="1:72" x14ac:dyDescent="0.15">
      <c r="A177" t="s">
        <v>72</v>
      </c>
      <c r="B177" t="s">
        <v>3476</v>
      </c>
      <c r="C177" t="s">
        <v>74</v>
      </c>
      <c r="D177" t="s">
        <v>74</v>
      </c>
      <c r="E177" t="s">
        <v>74</v>
      </c>
      <c r="F177" t="s">
        <v>3477</v>
      </c>
      <c r="G177" t="s">
        <v>74</v>
      </c>
      <c r="H177" t="s">
        <v>74</v>
      </c>
      <c r="I177" t="s">
        <v>3478</v>
      </c>
      <c r="J177" t="s">
        <v>3384</v>
      </c>
      <c r="K177" t="s">
        <v>74</v>
      </c>
      <c r="L177" t="s">
        <v>74</v>
      </c>
      <c r="M177" t="s">
        <v>78</v>
      </c>
      <c r="N177" t="s">
        <v>79</v>
      </c>
      <c r="O177" t="s">
        <v>74</v>
      </c>
      <c r="P177" t="s">
        <v>74</v>
      </c>
      <c r="Q177" t="s">
        <v>74</v>
      </c>
      <c r="R177" t="s">
        <v>74</v>
      </c>
      <c r="S177" t="s">
        <v>74</v>
      </c>
      <c r="T177" t="s">
        <v>74</v>
      </c>
      <c r="U177" t="s">
        <v>3479</v>
      </c>
      <c r="V177" t="s">
        <v>3480</v>
      </c>
      <c r="W177" t="s">
        <v>3481</v>
      </c>
      <c r="X177" t="s">
        <v>3482</v>
      </c>
      <c r="Y177" t="s">
        <v>3483</v>
      </c>
      <c r="Z177" t="s">
        <v>3484</v>
      </c>
      <c r="AA177" t="s">
        <v>3485</v>
      </c>
      <c r="AB177" t="s">
        <v>3486</v>
      </c>
      <c r="AC177" t="s">
        <v>3487</v>
      </c>
      <c r="AD177" t="s">
        <v>3488</v>
      </c>
      <c r="AE177" t="s">
        <v>3489</v>
      </c>
      <c r="AF177" t="s">
        <v>74</v>
      </c>
      <c r="AG177">
        <v>81</v>
      </c>
      <c r="AH177">
        <v>1</v>
      </c>
      <c r="AI177">
        <v>1</v>
      </c>
      <c r="AJ177">
        <v>19</v>
      </c>
      <c r="AK177">
        <v>19</v>
      </c>
      <c r="AL177" t="s">
        <v>3057</v>
      </c>
      <c r="AM177" t="s">
        <v>3058</v>
      </c>
      <c r="AN177" t="s">
        <v>3059</v>
      </c>
      <c r="AO177" t="s">
        <v>74</v>
      </c>
      <c r="AP177" t="s">
        <v>3396</v>
      </c>
      <c r="AQ177" t="s">
        <v>74</v>
      </c>
      <c r="AR177" t="s">
        <v>3397</v>
      </c>
      <c r="AS177" t="s">
        <v>3398</v>
      </c>
      <c r="AT177" t="s">
        <v>3472</v>
      </c>
      <c r="AU177">
        <v>2023</v>
      </c>
      <c r="AV177">
        <v>14</v>
      </c>
      <c r="AW177">
        <v>1</v>
      </c>
      <c r="AX177" t="s">
        <v>74</v>
      </c>
      <c r="AY177" t="s">
        <v>74</v>
      </c>
      <c r="AZ177" t="s">
        <v>74</v>
      </c>
      <c r="BA177" t="s">
        <v>74</v>
      </c>
      <c r="BB177" t="s">
        <v>74</v>
      </c>
      <c r="BC177" t="s">
        <v>74</v>
      </c>
      <c r="BD177">
        <v>8281</v>
      </c>
      <c r="BE177" t="s">
        <v>3490</v>
      </c>
      <c r="BF177" t="str">
        <f>HYPERLINK("http://dx.doi.org/10.1038/s41467-023-44118-w","http://dx.doi.org/10.1038/s41467-023-44118-w")</f>
        <v>http://dx.doi.org/10.1038/s41467-023-44118-w</v>
      </c>
      <c r="BG177" t="s">
        <v>74</v>
      </c>
      <c r="BH177" t="s">
        <v>74</v>
      </c>
      <c r="BI177">
        <v>18</v>
      </c>
      <c r="BJ177" t="s">
        <v>1035</v>
      </c>
      <c r="BK177" t="s">
        <v>100</v>
      </c>
      <c r="BL177" t="s">
        <v>1036</v>
      </c>
      <c r="BM177" t="s">
        <v>3474</v>
      </c>
      <c r="BN177">
        <v>38092825</v>
      </c>
      <c r="BO177" t="s">
        <v>131</v>
      </c>
      <c r="BP177" t="s">
        <v>74</v>
      </c>
      <c r="BQ177" t="s">
        <v>74</v>
      </c>
      <c r="BR177" t="s">
        <v>104</v>
      </c>
      <c r="BS177" t="s">
        <v>3491</v>
      </c>
      <c r="BT177" t="str">
        <f>HYPERLINK("https%3A%2F%2Fwww.webofscience.com%2Fwos%2Fwoscc%2Ffull-record%2FWOS:001125362100030","View Full Record in Web of Science")</f>
        <v>View Full Record in Web of Science</v>
      </c>
    </row>
    <row r="178" spans="1:72" x14ac:dyDescent="0.15">
      <c r="A178" t="s">
        <v>72</v>
      </c>
      <c r="B178" t="s">
        <v>3492</v>
      </c>
      <c r="C178" t="s">
        <v>74</v>
      </c>
      <c r="D178" t="s">
        <v>74</v>
      </c>
      <c r="E178" t="s">
        <v>74</v>
      </c>
      <c r="F178" t="s">
        <v>3493</v>
      </c>
      <c r="G178" t="s">
        <v>74</v>
      </c>
      <c r="H178" t="s">
        <v>74</v>
      </c>
      <c r="I178" t="s">
        <v>3494</v>
      </c>
      <c r="J178" t="s">
        <v>991</v>
      </c>
      <c r="K178" t="s">
        <v>74</v>
      </c>
      <c r="L178" t="s">
        <v>74</v>
      </c>
      <c r="M178" t="s">
        <v>78</v>
      </c>
      <c r="N178" t="s">
        <v>79</v>
      </c>
      <c r="O178" t="s">
        <v>74</v>
      </c>
      <c r="P178" t="s">
        <v>74</v>
      </c>
      <c r="Q178" t="s">
        <v>74</v>
      </c>
      <c r="R178" t="s">
        <v>74</v>
      </c>
      <c r="S178" t="s">
        <v>74</v>
      </c>
      <c r="T178" t="s">
        <v>3495</v>
      </c>
      <c r="U178" t="s">
        <v>3496</v>
      </c>
      <c r="V178" t="s">
        <v>3497</v>
      </c>
      <c r="W178" t="s">
        <v>3498</v>
      </c>
      <c r="X178" t="s">
        <v>3499</v>
      </c>
      <c r="Y178" t="s">
        <v>3500</v>
      </c>
      <c r="Z178" t="s">
        <v>3501</v>
      </c>
      <c r="AA178" t="s">
        <v>3502</v>
      </c>
      <c r="AB178" t="s">
        <v>3503</v>
      </c>
      <c r="AC178" t="s">
        <v>3504</v>
      </c>
      <c r="AD178" t="s">
        <v>3505</v>
      </c>
      <c r="AE178" t="s">
        <v>3506</v>
      </c>
      <c r="AF178" t="s">
        <v>74</v>
      </c>
      <c r="AG178">
        <v>42</v>
      </c>
      <c r="AH178">
        <v>0</v>
      </c>
      <c r="AI178">
        <v>0</v>
      </c>
      <c r="AJ178">
        <v>2</v>
      </c>
      <c r="AK178">
        <v>2</v>
      </c>
      <c r="AL178" t="s">
        <v>947</v>
      </c>
      <c r="AM178" t="s">
        <v>948</v>
      </c>
      <c r="AN178" t="s">
        <v>949</v>
      </c>
      <c r="AO178" t="s">
        <v>1004</v>
      </c>
      <c r="AP178" t="s">
        <v>1005</v>
      </c>
      <c r="AQ178" t="s">
        <v>74</v>
      </c>
      <c r="AR178" t="s">
        <v>1006</v>
      </c>
      <c r="AS178" t="s">
        <v>1007</v>
      </c>
      <c r="AT178" t="s">
        <v>1008</v>
      </c>
      <c r="AU178">
        <v>2024</v>
      </c>
      <c r="AV178">
        <v>912</v>
      </c>
      <c r="AW178" t="s">
        <v>74</v>
      </c>
      <c r="AX178" t="s">
        <v>74</v>
      </c>
      <c r="AY178" t="s">
        <v>74</v>
      </c>
      <c r="AZ178" t="s">
        <v>74</v>
      </c>
      <c r="BA178" t="s">
        <v>74</v>
      </c>
      <c r="BB178" t="s">
        <v>74</v>
      </c>
      <c r="BC178" t="s">
        <v>74</v>
      </c>
      <c r="BD178">
        <v>169266</v>
      </c>
      <c r="BE178" t="s">
        <v>3507</v>
      </c>
      <c r="BF178" t="str">
        <f>HYPERLINK("http://dx.doi.org/10.1016/j.scitotenv.2023.169266","http://dx.doi.org/10.1016/j.scitotenv.2023.169266")</f>
        <v>http://dx.doi.org/10.1016/j.scitotenv.2023.169266</v>
      </c>
      <c r="BG178" t="s">
        <v>74</v>
      </c>
      <c r="BH178" t="s">
        <v>98</v>
      </c>
      <c r="BI178">
        <v>7</v>
      </c>
      <c r="BJ178" t="s">
        <v>1010</v>
      </c>
      <c r="BK178" t="s">
        <v>100</v>
      </c>
      <c r="BL178" t="s">
        <v>1011</v>
      </c>
      <c r="BM178" t="s">
        <v>3508</v>
      </c>
      <c r="BN178">
        <v>38086484</v>
      </c>
      <c r="BO178" t="s">
        <v>103</v>
      </c>
      <c r="BP178" t="s">
        <v>74</v>
      </c>
      <c r="BQ178" t="s">
        <v>74</v>
      </c>
      <c r="BR178" t="s">
        <v>104</v>
      </c>
      <c r="BS178" t="s">
        <v>3509</v>
      </c>
      <c r="BT178" t="str">
        <f>HYPERLINK("https%3A%2F%2Fwww.webofscience.com%2Fwos%2Fwoscc%2Ffull-record%2FWOS:001146486000001","View Full Record in Web of Science")</f>
        <v>View Full Record in Web of Science</v>
      </c>
    </row>
    <row r="179" spans="1:72" x14ac:dyDescent="0.15">
      <c r="A179" t="s">
        <v>72</v>
      </c>
      <c r="B179" t="s">
        <v>3510</v>
      </c>
      <c r="C179" t="s">
        <v>74</v>
      </c>
      <c r="D179" t="s">
        <v>74</v>
      </c>
      <c r="E179" t="s">
        <v>74</v>
      </c>
      <c r="F179" t="s">
        <v>3511</v>
      </c>
      <c r="G179" t="s">
        <v>74</v>
      </c>
      <c r="H179" t="s">
        <v>74</v>
      </c>
      <c r="I179" t="s">
        <v>3512</v>
      </c>
      <c r="J179" t="s">
        <v>3513</v>
      </c>
      <c r="K179" t="s">
        <v>74</v>
      </c>
      <c r="L179" t="s">
        <v>74</v>
      </c>
      <c r="M179" t="s">
        <v>78</v>
      </c>
      <c r="N179" t="s">
        <v>79</v>
      </c>
      <c r="O179" t="s">
        <v>74</v>
      </c>
      <c r="P179" t="s">
        <v>74</v>
      </c>
      <c r="Q179" t="s">
        <v>74</v>
      </c>
      <c r="R179" t="s">
        <v>74</v>
      </c>
      <c r="S179" t="s">
        <v>74</v>
      </c>
      <c r="T179" t="s">
        <v>3514</v>
      </c>
      <c r="U179" t="s">
        <v>3515</v>
      </c>
      <c r="V179" t="s">
        <v>3516</v>
      </c>
      <c r="W179" t="s">
        <v>3517</v>
      </c>
      <c r="X179" t="s">
        <v>3518</v>
      </c>
      <c r="Y179" t="s">
        <v>3519</v>
      </c>
      <c r="Z179" t="s">
        <v>3520</v>
      </c>
      <c r="AA179" t="s">
        <v>3521</v>
      </c>
      <c r="AB179" t="s">
        <v>74</v>
      </c>
      <c r="AC179" t="s">
        <v>3522</v>
      </c>
      <c r="AD179" t="s">
        <v>3523</v>
      </c>
      <c r="AE179" t="s">
        <v>3524</v>
      </c>
      <c r="AF179" t="s">
        <v>74</v>
      </c>
      <c r="AG179">
        <v>75</v>
      </c>
      <c r="AH179">
        <v>0</v>
      </c>
      <c r="AI179">
        <v>0</v>
      </c>
      <c r="AJ179">
        <v>2</v>
      </c>
      <c r="AK179">
        <v>2</v>
      </c>
      <c r="AL179" t="s">
        <v>2884</v>
      </c>
      <c r="AM179" t="s">
        <v>2294</v>
      </c>
      <c r="AN179" t="s">
        <v>2885</v>
      </c>
      <c r="AO179" t="s">
        <v>3525</v>
      </c>
      <c r="AP179" t="s">
        <v>3526</v>
      </c>
      <c r="AQ179" t="s">
        <v>74</v>
      </c>
      <c r="AR179" t="s">
        <v>3527</v>
      </c>
      <c r="AS179" t="s">
        <v>3528</v>
      </c>
      <c r="AT179" t="s">
        <v>954</v>
      </c>
      <c r="AU179">
        <v>2024</v>
      </c>
      <c r="AV179">
        <v>124</v>
      </c>
      <c r="AW179" t="s">
        <v>74</v>
      </c>
      <c r="AX179" t="s">
        <v>74</v>
      </c>
      <c r="AY179" t="s">
        <v>74</v>
      </c>
      <c r="AZ179" t="s">
        <v>74</v>
      </c>
      <c r="BA179" t="s">
        <v>74</v>
      </c>
      <c r="BB179" t="s">
        <v>74</v>
      </c>
      <c r="BC179" t="s">
        <v>74</v>
      </c>
      <c r="BD179">
        <v>104037</v>
      </c>
      <c r="BE179" t="s">
        <v>3529</v>
      </c>
      <c r="BF179" t="str">
        <f>HYPERLINK("http://dx.doi.org/10.1016/j.jfluidstructs.2023.104037","http://dx.doi.org/10.1016/j.jfluidstructs.2023.104037")</f>
        <v>http://dx.doi.org/10.1016/j.jfluidstructs.2023.104037</v>
      </c>
      <c r="BG179" t="s">
        <v>74</v>
      </c>
      <c r="BH179" t="s">
        <v>98</v>
      </c>
      <c r="BI179">
        <v>37</v>
      </c>
      <c r="BJ179" t="s">
        <v>3530</v>
      </c>
      <c r="BK179" t="s">
        <v>100</v>
      </c>
      <c r="BL179" t="s">
        <v>3531</v>
      </c>
      <c r="BM179" t="s">
        <v>3532</v>
      </c>
      <c r="BN179" t="s">
        <v>74</v>
      </c>
      <c r="BO179" t="s">
        <v>74</v>
      </c>
      <c r="BP179" t="s">
        <v>74</v>
      </c>
      <c r="BQ179" t="s">
        <v>74</v>
      </c>
      <c r="BR179" t="s">
        <v>104</v>
      </c>
      <c r="BS179" t="s">
        <v>3533</v>
      </c>
      <c r="BT179" t="str">
        <f>HYPERLINK("https%3A%2F%2Fwww.webofscience.com%2Fwos%2Fwoscc%2Ffull-record%2FWOS:001140362300001","View Full Record in Web of Science")</f>
        <v>View Full Record in Web of Science</v>
      </c>
    </row>
    <row r="180" spans="1:72" x14ac:dyDescent="0.15">
      <c r="A180" t="s">
        <v>72</v>
      </c>
      <c r="B180" t="s">
        <v>3534</v>
      </c>
      <c r="C180" t="s">
        <v>74</v>
      </c>
      <c r="D180" t="s">
        <v>74</v>
      </c>
      <c r="E180" t="s">
        <v>74</v>
      </c>
      <c r="F180" t="s">
        <v>3535</v>
      </c>
      <c r="G180" t="s">
        <v>74</v>
      </c>
      <c r="H180" t="s">
        <v>74</v>
      </c>
      <c r="I180" t="s">
        <v>3536</v>
      </c>
      <c r="J180" t="s">
        <v>1746</v>
      </c>
      <c r="K180" t="s">
        <v>74</v>
      </c>
      <c r="L180" t="s">
        <v>74</v>
      </c>
      <c r="M180" t="s">
        <v>78</v>
      </c>
      <c r="N180" t="s">
        <v>441</v>
      </c>
      <c r="O180" t="s">
        <v>74</v>
      </c>
      <c r="P180" t="s">
        <v>74</v>
      </c>
      <c r="Q180" t="s">
        <v>74</v>
      </c>
      <c r="R180" t="s">
        <v>74</v>
      </c>
      <c r="S180" t="s">
        <v>74</v>
      </c>
      <c r="T180" t="s">
        <v>3537</v>
      </c>
      <c r="U180" t="s">
        <v>3538</v>
      </c>
      <c r="V180" t="s">
        <v>3539</v>
      </c>
      <c r="W180" t="s">
        <v>3540</v>
      </c>
      <c r="X180" t="s">
        <v>2696</v>
      </c>
      <c r="Y180" t="s">
        <v>3541</v>
      </c>
      <c r="Z180" t="s">
        <v>3542</v>
      </c>
      <c r="AA180" t="s">
        <v>3543</v>
      </c>
      <c r="AB180" t="s">
        <v>3544</v>
      </c>
      <c r="AC180" t="s">
        <v>74</v>
      </c>
      <c r="AD180" t="s">
        <v>74</v>
      </c>
      <c r="AE180" t="s">
        <v>74</v>
      </c>
      <c r="AF180" t="s">
        <v>74</v>
      </c>
      <c r="AG180">
        <v>128</v>
      </c>
      <c r="AH180">
        <v>0</v>
      </c>
      <c r="AI180">
        <v>0</v>
      </c>
      <c r="AJ180">
        <v>4</v>
      </c>
      <c r="AK180">
        <v>4</v>
      </c>
      <c r="AL180" t="s">
        <v>1758</v>
      </c>
      <c r="AM180" t="s">
        <v>1759</v>
      </c>
      <c r="AN180" t="s">
        <v>1760</v>
      </c>
      <c r="AO180" t="s">
        <v>74</v>
      </c>
      <c r="AP180" t="s">
        <v>1761</v>
      </c>
      <c r="AQ180" t="s">
        <v>74</v>
      </c>
      <c r="AR180" t="s">
        <v>1762</v>
      </c>
      <c r="AS180" t="s">
        <v>1763</v>
      </c>
      <c r="AT180" t="s">
        <v>3472</v>
      </c>
      <c r="AU180">
        <v>2023</v>
      </c>
      <c r="AV180">
        <v>10</v>
      </c>
      <c r="AW180" t="s">
        <v>74</v>
      </c>
      <c r="AX180" t="s">
        <v>74</v>
      </c>
      <c r="AY180" t="s">
        <v>74</v>
      </c>
      <c r="AZ180" t="s">
        <v>74</v>
      </c>
      <c r="BA180" t="s">
        <v>74</v>
      </c>
      <c r="BB180" t="s">
        <v>74</v>
      </c>
      <c r="BC180" t="s">
        <v>74</v>
      </c>
      <c r="BD180">
        <v>1276072</v>
      </c>
      <c r="BE180" t="s">
        <v>3545</v>
      </c>
      <c r="BF180" t="str">
        <f>HYPERLINK("http://dx.doi.org/10.3389/fmars.2023.1276072","http://dx.doi.org/10.3389/fmars.2023.1276072")</f>
        <v>http://dx.doi.org/10.3389/fmars.2023.1276072</v>
      </c>
      <c r="BG180" t="s">
        <v>74</v>
      </c>
      <c r="BH180" t="s">
        <v>74</v>
      </c>
      <c r="BI180">
        <v>17</v>
      </c>
      <c r="BJ180" t="s">
        <v>1135</v>
      </c>
      <c r="BK180" t="s">
        <v>100</v>
      </c>
      <c r="BL180" t="s">
        <v>1136</v>
      </c>
      <c r="BM180" t="s">
        <v>3546</v>
      </c>
      <c r="BN180" t="s">
        <v>74</v>
      </c>
      <c r="BO180" t="s">
        <v>131</v>
      </c>
      <c r="BP180" t="s">
        <v>74</v>
      </c>
      <c r="BQ180" t="s">
        <v>74</v>
      </c>
      <c r="BR180" t="s">
        <v>104</v>
      </c>
      <c r="BS180" t="s">
        <v>3547</v>
      </c>
      <c r="BT180" t="str">
        <f>HYPERLINK("https%3A%2F%2Fwww.webofscience.com%2Fwos%2Fwoscc%2Ffull-record%2FWOS:001131792000001","View Full Record in Web of Science")</f>
        <v>View Full Record in Web of Science</v>
      </c>
    </row>
    <row r="181" spans="1:72" x14ac:dyDescent="0.15">
      <c r="A181" t="s">
        <v>72</v>
      </c>
      <c r="B181" t="s">
        <v>3548</v>
      </c>
      <c r="C181" t="s">
        <v>74</v>
      </c>
      <c r="D181" t="s">
        <v>74</v>
      </c>
      <c r="E181" t="s">
        <v>74</v>
      </c>
      <c r="F181" t="s">
        <v>3549</v>
      </c>
      <c r="G181" t="s">
        <v>74</v>
      </c>
      <c r="H181" t="s">
        <v>74</v>
      </c>
      <c r="I181" t="s">
        <v>3550</v>
      </c>
      <c r="J181" t="s">
        <v>3551</v>
      </c>
      <c r="K181" t="s">
        <v>74</v>
      </c>
      <c r="L181" t="s">
        <v>74</v>
      </c>
      <c r="M181" t="s">
        <v>78</v>
      </c>
      <c r="N181" t="s">
        <v>79</v>
      </c>
      <c r="O181" t="s">
        <v>74</v>
      </c>
      <c r="P181" t="s">
        <v>74</v>
      </c>
      <c r="Q181" t="s">
        <v>74</v>
      </c>
      <c r="R181" t="s">
        <v>74</v>
      </c>
      <c r="S181" t="s">
        <v>74</v>
      </c>
      <c r="T181" t="s">
        <v>3552</v>
      </c>
      <c r="U181" t="s">
        <v>3553</v>
      </c>
      <c r="V181" t="s">
        <v>3554</v>
      </c>
      <c r="W181" t="s">
        <v>3555</v>
      </c>
      <c r="X181" t="s">
        <v>3556</v>
      </c>
      <c r="Y181" t="s">
        <v>3557</v>
      </c>
      <c r="Z181" t="s">
        <v>3558</v>
      </c>
      <c r="AA181" t="s">
        <v>3559</v>
      </c>
      <c r="AB181" t="s">
        <v>3560</v>
      </c>
      <c r="AC181" t="s">
        <v>3561</v>
      </c>
      <c r="AD181" t="s">
        <v>3562</v>
      </c>
      <c r="AE181" t="s">
        <v>3563</v>
      </c>
      <c r="AF181" t="s">
        <v>74</v>
      </c>
      <c r="AG181">
        <v>41</v>
      </c>
      <c r="AH181">
        <v>2</v>
      </c>
      <c r="AI181">
        <v>2</v>
      </c>
      <c r="AJ181">
        <v>1</v>
      </c>
      <c r="AK181">
        <v>1</v>
      </c>
      <c r="AL181" t="s">
        <v>89</v>
      </c>
      <c r="AM181" t="s">
        <v>90</v>
      </c>
      <c r="AN181" t="s">
        <v>91</v>
      </c>
      <c r="AO181" t="s">
        <v>3564</v>
      </c>
      <c r="AP181" t="s">
        <v>3565</v>
      </c>
      <c r="AQ181" t="s">
        <v>74</v>
      </c>
      <c r="AR181" t="s">
        <v>3566</v>
      </c>
      <c r="AS181" t="s">
        <v>3567</v>
      </c>
      <c r="AT181" t="s">
        <v>3263</v>
      </c>
      <c r="AU181">
        <v>2023</v>
      </c>
      <c r="AV181">
        <v>72</v>
      </c>
      <c r="AW181">
        <v>12</v>
      </c>
      <c r="AX181" t="s">
        <v>74</v>
      </c>
      <c r="AY181" t="s">
        <v>74</v>
      </c>
      <c r="AZ181" t="s">
        <v>74</v>
      </c>
      <c r="BA181" t="s">
        <v>74</v>
      </c>
      <c r="BB181">
        <v>5490</v>
      </c>
      <c r="BC181">
        <v>5502</v>
      </c>
      <c r="BD181" t="s">
        <v>74</v>
      </c>
      <c r="BE181" t="s">
        <v>3568</v>
      </c>
      <c r="BF181" t="str">
        <f>HYPERLINK("http://dx.doi.org/10.1016/j.asr.2022.06.045","http://dx.doi.org/10.1016/j.asr.2022.06.045")</f>
        <v>http://dx.doi.org/10.1016/j.asr.2022.06.045</v>
      </c>
      <c r="BG181" t="s">
        <v>74</v>
      </c>
      <c r="BH181" t="s">
        <v>98</v>
      </c>
      <c r="BI181">
        <v>13</v>
      </c>
      <c r="BJ181" t="s">
        <v>3569</v>
      </c>
      <c r="BK181" t="s">
        <v>100</v>
      </c>
      <c r="BL181" t="s">
        <v>3570</v>
      </c>
      <c r="BM181" t="s">
        <v>3571</v>
      </c>
      <c r="BN181" t="s">
        <v>74</v>
      </c>
      <c r="BO181" t="s">
        <v>3456</v>
      </c>
      <c r="BP181" t="s">
        <v>74</v>
      </c>
      <c r="BQ181" t="s">
        <v>74</v>
      </c>
      <c r="BR181" t="s">
        <v>104</v>
      </c>
      <c r="BS181" t="s">
        <v>3572</v>
      </c>
      <c r="BT181" t="str">
        <f>HYPERLINK("https%3A%2F%2Fwww.webofscience.com%2Fwos%2Fwoscc%2Ffull-record%2FWOS:001136736200001","View Full Record in Web of Science")</f>
        <v>View Full Record in Web of Science</v>
      </c>
    </row>
    <row r="182" spans="1:72" x14ac:dyDescent="0.15">
      <c r="A182" t="s">
        <v>72</v>
      </c>
      <c r="B182" t="s">
        <v>3573</v>
      </c>
      <c r="C182" t="s">
        <v>74</v>
      </c>
      <c r="D182" t="s">
        <v>74</v>
      </c>
      <c r="E182" t="s">
        <v>74</v>
      </c>
      <c r="F182" t="s">
        <v>3574</v>
      </c>
      <c r="G182" t="s">
        <v>74</v>
      </c>
      <c r="H182" t="s">
        <v>74</v>
      </c>
      <c r="I182" t="s">
        <v>3575</v>
      </c>
      <c r="J182" t="s">
        <v>3551</v>
      </c>
      <c r="K182" t="s">
        <v>74</v>
      </c>
      <c r="L182" t="s">
        <v>74</v>
      </c>
      <c r="M182" t="s">
        <v>78</v>
      </c>
      <c r="N182" t="s">
        <v>79</v>
      </c>
      <c r="O182" t="s">
        <v>74</v>
      </c>
      <c r="P182" t="s">
        <v>74</v>
      </c>
      <c r="Q182" t="s">
        <v>74</v>
      </c>
      <c r="R182" t="s">
        <v>74</v>
      </c>
      <c r="S182" t="s">
        <v>74</v>
      </c>
      <c r="T182" t="s">
        <v>3576</v>
      </c>
      <c r="U182" t="s">
        <v>3577</v>
      </c>
      <c r="V182" t="s">
        <v>3578</v>
      </c>
      <c r="W182" t="s">
        <v>3579</v>
      </c>
      <c r="X182" t="s">
        <v>3580</v>
      </c>
      <c r="Y182" t="s">
        <v>3581</v>
      </c>
      <c r="Z182" t="s">
        <v>3582</v>
      </c>
      <c r="AA182" t="s">
        <v>3583</v>
      </c>
      <c r="AB182" t="s">
        <v>3584</v>
      </c>
      <c r="AC182" t="s">
        <v>3585</v>
      </c>
      <c r="AD182" t="s">
        <v>3586</v>
      </c>
      <c r="AE182" t="s">
        <v>3587</v>
      </c>
      <c r="AF182" t="s">
        <v>74</v>
      </c>
      <c r="AG182">
        <v>45</v>
      </c>
      <c r="AH182">
        <v>3</v>
      </c>
      <c r="AI182">
        <v>3</v>
      </c>
      <c r="AJ182">
        <v>4</v>
      </c>
      <c r="AK182">
        <v>4</v>
      </c>
      <c r="AL182" t="s">
        <v>89</v>
      </c>
      <c r="AM182" t="s">
        <v>90</v>
      </c>
      <c r="AN182" t="s">
        <v>91</v>
      </c>
      <c r="AO182" t="s">
        <v>3564</v>
      </c>
      <c r="AP182" t="s">
        <v>3565</v>
      </c>
      <c r="AQ182" t="s">
        <v>74</v>
      </c>
      <c r="AR182" t="s">
        <v>3566</v>
      </c>
      <c r="AS182" t="s">
        <v>3567</v>
      </c>
      <c r="AT182" t="s">
        <v>3263</v>
      </c>
      <c r="AU182">
        <v>2023</v>
      </c>
      <c r="AV182">
        <v>72</v>
      </c>
      <c r="AW182">
        <v>12</v>
      </c>
      <c r="AX182" t="s">
        <v>74</v>
      </c>
      <c r="AY182" t="s">
        <v>74</v>
      </c>
      <c r="AZ182" t="s">
        <v>74</v>
      </c>
      <c r="BA182" t="s">
        <v>74</v>
      </c>
      <c r="BB182">
        <v>5428</v>
      </c>
      <c r="BC182">
        <v>5442</v>
      </c>
      <c r="BD182" t="s">
        <v>74</v>
      </c>
      <c r="BE182" t="s">
        <v>3588</v>
      </c>
      <c r="BF182" t="str">
        <f>HYPERLINK("http://dx.doi.org/10.1016/j.asr.2022.05.008","http://dx.doi.org/10.1016/j.asr.2022.05.008")</f>
        <v>http://dx.doi.org/10.1016/j.asr.2022.05.008</v>
      </c>
      <c r="BG182" t="s">
        <v>74</v>
      </c>
      <c r="BH182" t="s">
        <v>98</v>
      </c>
      <c r="BI182">
        <v>15</v>
      </c>
      <c r="BJ182" t="s">
        <v>3569</v>
      </c>
      <c r="BK182" t="s">
        <v>100</v>
      </c>
      <c r="BL182" t="s">
        <v>3570</v>
      </c>
      <c r="BM182" t="s">
        <v>3589</v>
      </c>
      <c r="BN182" t="s">
        <v>74</v>
      </c>
      <c r="BO182" t="s">
        <v>74</v>
      </c>
      <c r="BP182" t="s">
        <v>74</v>
      </c>
      <c r="BQ182" t="s">
        <v>74</v>
      </c>
      <c r="BR182" t="s">
        <v>104</v>
      </c>
      <c r="BS182" t="s">
        <v>3590</v>
      </c>
      <c r="BT182" t="str">
        <f>HYPERLINK("https%3A%2F%2Fwww.webofscience.com%2Fwos%2Fwoscc%2Ffull-record%2FWOS:001137281200001","View Full Record in Web of Science")</f>
        <v>View Full Record in Web of Science</v>
      </c>
    </row>
    <row r="183" spans="1:72" x14ac:dyDescent="0.15">
      <c r="A183" t="s">
        <v>72</v>
      </c>
      <c r="B183" t="s">
        <v>3591</v>
      </c>
      <c r="C183" t="s">
        <v>74</v>
      </c>
      <c r="D183" t="s">
        <v>74</v>
      </c>
      <c r="E183" t="s">
        <v>74</v>
      </c>
      <c r="F183" t="s">
        <v>3592</v>
      </c>
      <c r="G183" t="s">
        <v>74</v>
      </c>
      <c r="H183" t="s">
        <v>74</v>
      </c>
      <c r="I183" t="s">
        <v>3593</v>
      </c>
      <c r="J183" t="s">
        <v>3594</v>
      </c>
      <c r="K183" t="s">
        <v>74</v>
      </c>
      <c r="L183" t="s">
        <v>74</v>
      </c>
      <c r="M183" t="s">
        <v>78</v>
      </c>
      <c r="N183" t="s">
        <v>79</v>
      </c>
      <c r="O183" t="s">
        <v>74</v>
      </c>
      <c r="P183" t="s">
        <v>74</v>
      </c>
      <c r="Q183" t="s">
        <v>74</v>
      </c>
      <c r="R183" t="s">
        <v>74</v>
      </c>
      <c r="S183" t="s">
        <v>74</v>
      </c>
      <c r="T183" t="s">
        <v>3595</v>
      </c>
      <c r="U183" t="s">
        <v>3596</v>
      </c>
      <c r="V183" t="s">
        <v>3597</v>
      </c>
      <c r="W183" t="s">
        <v>3598</v>
      </c>
      <c r="X183" t="s">
        <v>3599</v>
      </c>
      <c r="Y183" t="s">
        <v>3600</v>
      </c>
      <c r="Z183" t="s">
        <v>3601</v>
      </c>
      <c r="AA183" t="s">
        <v>3602</v>
      </c>
      <c r="AB183" t="s">
        <v>3603</v>
      </c>
      <c r="AC183" t="s">
        <v>3604</v>
      </c>
      <c r="AD183" t="s">
        <v>3604</v>
      </c>
      <c r="AE183" t="s">
        <v>3605</v>
      </c>
      <c r="AF183" t="s">
        <v>74</v>
      </c>
      <c r="AG183">
        <v>109</v>
      </c>
      <c r="AH183">
        <v>0</v>
      </c>
      <c r="AI183">
        <v>0</v>
      </c>
      <c r="AJ183">
        <v>6</v>
      </c>
      <c r="AK183">
        <v>6</v>
      </c>
      <c r="AL183" t="s">
        <v>1758</v>
      </c>
      <c r="AM183" t="s">
        <v>1759</v>
      </c>
      <c r="AN183" t="s">
        <v>1760</v>
      </c>
      <c r="AO183" t="s">
        <v>3606</v>
      </c>
      <c r="AP183" t="s">
        <v>74</v>
      </c>
      <c r="AQ183" t="s">
        <v>74</v>
      </c>
      <c r="AR183" t="s">
        <v>3607</v>
      </c>
      <c r="AS183" t="s">
        <v>3608</v>
      </c>
      <c r="AT183" t="s">
        <v>3472</v>
      </c>
      <c r="AU183">
        <v>2023</v>
      </c>
      <c r="AV183">
        <v>11</v>
      </c>
      <c r="AW183" t="s">
        <v>74</v>
      </c>
      <c r="AX183" t="s">
        <v>74</v>
      </c>
      <c r="AY183" t="s">
        <v>74</v>
      </c>
      <c r="AZ183" t="s">
        <v>74</v>
      </c>
      <c r="BA183" t="s">
        <v>74</v>
      </c>
      <c r="BB183" t="s">
        <v>74</v>
      </c>
      <c r="BC183" t="s">
        <v>74</v>
      </c>
      <c r="BD183">
        <v>1229803</v>
      </c>
      <c r="BE183" t="s">
        <v>3609</v>
      </c>
      <c r="BF183" t="str">
        <f>HYPERLINK("http://dx.doi.org/10.3389/fevo.2023.1229803","http://dx.doi.org/10.3389/fevo.2023.1229803")</f>
        <v>http://dx.doi.org/10.3389/fevo.2023.1229803</v>
      </c>
      <c r="BG183" t="s">
        <v>74</v>
      </c>
      <c r="BH183" t="s">
        <v>74</v>
      </c>
      <c r="BI183">
        <v>20</v>
      </c>
      <c r="BJ183" t="s">
        <v>3610</v>
      </c>
      <c r="BK183" t="s">
        <v>100</v>
      </c>
      <c r="BL183" t="s">
        <v>1011</v>
      </c>
      <c r="BM183" t="s">
        <v>3611</v>
      </c>
      <c r="BN183" t="s">
        <v>74</v>
      </c>
      <c r="BO183" t="s">
        <v>131</v>
      </c>
      <c r="BP183" t="s">
        <v>74</v>
      </c>
      <c r="BQ183" t="s">
        <v>74</v>
      </c>
      <c r="BR183" t="s">
        <v>104</v>
      </c>
      <c r="BS183" t="s">
        <v>3612</v>
      </c>
      <c r="BT183" t="str">
        <f>HYPERLINK("https%3A%2F%2Fwww.webofscience.com%2Fwos%2Fwoscc%2Ffull-record%2FWOS:001131792400001","View Full Record in Web of Science")</f>
        <v>View Full Record in Web of Science</v>
      </c>
    </row>
    <row r="184" spans="1:72" x14ac:dyDescent="0.15">
      <c r="A184" t="s">
        <v>72</v>
      </c>
      <c r="B184" t="s">
        <v>3613</v>
      </c>
      <c r="C184" t="s">
        <v>74</v>
      </c>
      <c r="D184" t="s">
        <v>74</v>
      </c>
      <c r="E184" t="s">
        <v>74</v>
      </c>
      <c r="F184" t="s">
        <v>3614</v>
      </c>
      <c r="G184" t="s">
        <v>74</v>
      </c>
      <c r="H184" t="s">
        <v>74</v>
      </c>
      <c r="I184" t="s">
        <v>3615</v>
      </c>
      <c r="J184" t="s">
        <v>3616</v>
      </c>
      <c r="K184" t="s">
        <v>74</v>
      </c>
      <c r="L184" t="s">
        <v>74</v>
      </c>
      <c r="M184" t="s">
        <v>78</v>
      </c>
      <c r="N184" t="s">
        <v>79</v>
      </c>
      <c r="O184" t="s">
        <v>74</v>
      </c>
      <c r="P184" t="s">
        <v>74</v>
      </c>
      <c r="Q184" t="s">
        <v>74</v>
      </c>
      <c r="R184" t="s">
        <v>74</v>
      </c>
      <c r="S184" t="s">
        <v>74</v>
      </c>
      <c r="T184" t="s">
        <v>3617</v>
      </c>
      <c r="U184" t="s">
        <v>3618</v>
      </c>
      <c r="V184" t="s">
        <v>3619</v>
      </c>
      <c r="W184" t="s">
        <v>3620</v>
      </c>
      <c r="X184" t="s">
        <v>3621</v>
      </c>
      <c r="Y184" t="s">
        <v>3622</v>
      </c>
      <c r="Z184" t="s">
        <v>3623</v>
      </c>
      <c r="AA184" t="s">
        <v>74</v>
      </c>
      <c r="AB184" t="s">
        <v>3624</v>
      </c>
      <c r="AC184" t="s">
        <v>74</v>
      </c>
      <c r="AD184" t="s">
        <v>74</v>
      </c>
      <c r="AE184" t="s">
        <v>74</v>
      </c>
      <c r="AF184" t="s">
        <v>74</v>
      </c>
      <c r="AG184">
        <v>115</v>
      </c>
      <c r="AH184">
        <v>0</v>
      </c>
      <c r="AI184">
        <v>0</v>
      </c>
      <c r="AJ184">
        <v>4</v>
      </c>
      <c r="AK184">
        <v>4</v>
      </c>
      <c r="AL184" t="s">
        <v>1101</v>
      </c>
      <c r="AM184" t="s">
        <v>1102</v>
      </c>
      <c r="AN184" t="s">
        <v>1103</v>
      </c>
      <c r="AO184" t="s">
        <v>3625</v>
      </c>
      <c r="AP184" t="s">
        <v>3626</v>
      </c>
      <c r="AQ184" t="s">
        <v>74</v>
      </c>
      <c r="AR184" t="s">
        <v>3627</v>
      </c>
      <c r="AS184" t="s">
        <v>3628</v>
      </c>
      <c r="AT184" t="s">
        <v>1133</v>
      </c>
      <c r="AU184">
        <v>2024</v>
      </c>
      <c r="AV184">
        <v>39</v>
      </c>
      <c r="AW184">
        <v>2</v>
      </c>
      <c r="AX184" t="s">
        <v>74</v>
      </c>
      <c r="AY184" t="s">
        <v>74</v>
      </c>
      <c r="AZ184" t="s">
        <v>74</v>
      </c>
      <c r="BA184" t="s">
        <v>74</v>
      </c>
      <c r="BB184">
        <v>163</v>
      </c>
      <c r="BC184">
        <v>172</v>
      </c>
      <c r="BD184" t="s">
        <v>74</v>
      </c>
      <c r="BE184" t="s">
        <v>3629</v>
      </c>
      <c r="BF184" t="str">
        <f>HYPERLINK("http://dx.doi.org/10.1002/jqs.3579","http://dx.doi.org/10.1002/jqs.3579")</f>
        <v>http://dx.doi.org/10.1002/jqs.3579</v>
      </c>
      <c r="BG184" t="s">
        <v>74</v>
      </c>
      <c r="BH184" t="s">
        <v>98</v>
      </c>
      <c r="BI184">
        <v>10</v>
      </c>
      <c r="BJ184" t="s">
        <v>984</v>
      </c>
      <c r="BK184" t="s">
        <v>100</v>
      </c>
      <c r="BL184" t="s">
        <v>985</v>
      </c>
      <c r="BM184" t="s">
        <v>3630</v>
      </c>
      <c r="BN184" t="s">
        <v>74</v>
      </c>
      <c r="BO184" t="s">
        <v>74</v>
      </c>
      <c r="BP184" t="s">
        <v>74</v>
      </c>
      <c r="BQ184" t="s">
        <v>74</v>
      </c>
      <c r="BR184" t="s">
        <v>104</v>
      </c>
      <c r="BS184" t="s">
        <v>3631</v>
      </c>
      <c r="BT184" t="str">
        <f>HYPERLINK("https%3A%2F%2Fwww.webofscience.com%2Fwos%2Fwoscc%2Ffull-record%2FWOS:001125161300001","View Full Record in Web of Science")</f>
        <v>View Full Record in Web of Science</v>
      </c>
    </row>
    <row r="185" spans="1:72" x14ac:dyDescent="0.15">
      <c r="A185" t="s">
        <v>72</v>
      </c>
      <c r="B185" t="s">
        <v>3632</v>
      </c>
      <c r="C185" t="s">
        <v>74</v>
      </c>
      <c r="D185" t="s">
        <v>74</v>
      </c>
      <c r="E185" t="s">
        <v>74</v>
      </c>
      <c r="F185" t="s">
        <v>3633</v>
      </c>
      <c r="G185" t="s">
        <v>74</v>
      </c>
      <c r="H185" t="s">
        <v>74</v>
      </c>
      <c r="I185" t="s">
        <v>3634</v>
      </c>
      <c r="J185" t="s">
        <v>3323</v>
      </c>
      <c r="K185" t="s">
        <v>74</v>
      </c>
      <c r="L185" t="s">
        <v>74</v>
      </c>
      <c r="M185" t="s">
        <v>78</v>
      </c>
      <c r="N185" t="s">
        <v>79</v>
      </c>
      <c r="O185" t="s">
        <v>74</v>
      </c>
      <c r="P185" t="s">
        <v>74</v>
      </c>
      <c r="Q185" t="s">
        <v>74</v>
      </c>
      <c r="R185" t="s">
        <v>74</v>
      </c>
      <c r="S185" t="s">
        <v>74</v>
      </c>
      <c r="T185" t="s">
        <v>74</v>
      </c>
      <c r="U185" t="s">
        <v>3635</v>
      </c>
      <c r="V185" t="s">
        <v>3636</v>
      </c>
      <c r="W185" t="s">
        <v>3637</v>
      </c>
      <c r="X185" t="s">
        <v>3638</v>
      </c>
      <c r="Y185" t="s">
        <v>3639</v>
      </c>
      <c r="Z185" t="s">
        <v>3640</v>
      </c>
      <c r="AA185" t="s">
        <v>3641</v>
      </c>
      <c r="AB185" t="s">
        <v>3642</v>
      </c>
      <c r="AC185" t="s">
        <v>3643</v>
      </c>
      <c r="AD185" t="s">
        <v>3644</v>
      </c>
      <c r="AE185" t="s">
        <v>3645</v>
      </c>
      <c r="AF185" t="s">
        <v>74</v>
      </c>
      <c r="AG185">
        <v>52</v>
      </c>
      <c r="AH185">
        <v>0</v>
      </c>
      <c r="AI185">
        <v>0</v>
      </c>
      <c r="AJ185">
        <v>2</v>
      </c>
      <c r="AK185">
        <v>2</v>
      </c>
      <c r="AL185" t="s">
        <v>1838</v>
      </c>
      <c r="AM185" t="s">
        <v>1839</v>
      </c>
      <c r="AN185" t="s">
        <v>1840</v>
      </c>
      <c r="AO185" t="s">
        <v>3335</v>
      </c>
      <c r="AP185" t="s">
        <v>3336</v>
      </c>
      <c r="AQ185" t="s">
        <v>74</v>
      </c>
      <c r="AR185" t="s">
        <v>3337</v>
      </c>
      <c r="AS185" t="s">
        <v>3338</v>
      </c>
      <c r="AT185" t="s">
        <v>3646</v>
      </c>
      <c r="AU185">
        <v>2023</v>
      </c>
      <c r="AV185">
        <v>19</v>
      </c>
      <c r="AW185">
        <v>12</v>
      </c>
      <c r="AX185" t="s">
        <v>74</v>
      </c>
      <c r="AY185" t="s">
        <v>74</v>
      </c>
      <c r="AZ185" t="s">
        <v>74</v>
      </c>
      <c r="BA185" t="s">
        <v>74</v>
      </c>
      <c r="BB185">
        <v>2535</v>
      </c>
      <c r="BC185">
        <v>2550</v>
      </c>
      <c r="BD185" t="s">
        <v>74</v>
      </c>
      <c r="BE185" t="s">
        <v>3647</v>
      </c>
      <c r="BF185" t="str">
        <f>HYPERLINK("http://dx.doi.org/10.5194/cp-19-2535-2023","http://dx.doi.org/10.5194/cp-19-2535-2023")</f>
        <v>http://dx.doi.org/10.5194/cp-19-2535-2023</v>
      </c>
      <c r="BG185" t="s">
        <v>74</v>
      </c>
      <c r="BH185" t="s">
        <v>74</v>
      </c>
      <c r="BI185">
        <v>16</v>
      </c>
      <c r="BJ185" t="s">
        <v>2405</v>
      </c>
      <c r="BK185" t="s">
        <v>100</v>
      </c>
      <c r="BL185" t="s">
        <v>2406</v>
      </c>
      <c r="BM185" t="s">
        <v>3648</v>
      </c>
      <c r="BN185" t="s">
        <v>74</v>
      </c>
      <c r="BO185" t="s">
        <v>131</v>
      </c>
      <c r="BP185" t="s">
        <v>74</v>
      </c>
      <c r="BQ185" t="s">
        <v>74</v>
      </c>
      <c r="BR185" t="s">
        <v>104</v>
      </c>
      <c r="BS185" t="s">
        <v>3649</v>
      </c>
      <c r="BT185" t="str">
        <f>HYPERLINK("https%3A%2F%2Fwww.webofscience.com%2Fwos%2Fwoscc%2Ffull-record%2FWOS:001170731500001","View Full Record in Web of Science")</f>
        <v>View Full Record in Web of Science</v>
      </c>
    </row>
    <row r="186" spans="1:72" x14ac:dyDescent="0.15">
      <c r="A186" t="s">
        <v>72</v>
      </c>
      <c r="B186" t="s">
        <v>3650</v>
      </c>
      <c r="C186" t="s">
        <v>74</v>
      </c>
      <c r="D186" t="s">
        <v>74</v>
      </c>
      <c r="E186" t="s">
        <v>74</v>
      </c>
      <c r="F186" t="s">
        <v>3651</v>
      </c>
      <c r="G186" t="s">
        <v>74</v>
      </c>
      <c r="H186" t="s">
        <v>74</v>
      </c>
      <c r="I186" t="s">
        <v>3652</v>
      </c>
      <c r="J186" t="s">
        <v>3653</v>
      </c>
      <c r="K186" t="s">
        <v>74</v>
      </c>
      <c r="L186" t="s">
        <v>74</v>
      </c>
      <c r="M186" t="s">
        <v>78</v>
      </c>
      <c r="N186" t="s">
        <v>79</v>
      </c>
      <c r="O186" t="s">
        <v>74</v>
      </c>
      <c r="P186" t="s">
        <v>74</v>
      </c>
      <c r="Q186" t="s">
        <v>74</v>
      </c>
      <c r="R186" t="s">
        <v>74</v>
      </c>
      <c r="S186" t="s">
        <v>74</v>
      </c>
      <c r="T186" t="s">
        <v>74</v>
      </c>
      <c r="U186" t="s">
        <v>3654</v>
      </c>
      <c r="V186" t="s">
        <v>3655</v>
      </c>
      <c r="W186" t="s">
        <v>3656</v>
      </c>
      <c r="X186" t="s">
        <v>3657</v>
      </c>
      <c r="Y186" t="s">
        <v>3658</v>
      </c>
      <c r="Z186" t="s">
        <v>3659</v>
      </c>
      <c r="AA186" t="s">
        <v>3660</v>
      </c>
      <c r="AB186" t="s">
        <v>3661</v>
      </c>
      <c r="AC186" t="s">
        <v>3662</v>
      </c>
      <c r="AD186" t="s">
        <v>3662</v>
      </c>
      <c r="AE186" t="s">
        <v>3663</v>
      </c>
      <c r="AF186" t="s">
        <v>74</v>
      </c>
      <c r="AG186">
        <v>86</v>
      </c>
      <c r="AH186">
        <v>0</v>
      </c>
      <c r="AI186">
        <v>0</v>
      </c>
      <c r="AJ186">
        <v>0</v>
      </c>
      <c r="AK186">
        <v>0</v>
      </c>
      <c r="AL186" t="s">
        <v>1838</v>
      </c>
      <c r="AM186" t="s">
        <v>1839</v>
      </c>
      <c r="AN186" t="s">
        <v>1840</v>
      </c>
      <c r="AO186" t="s">
        <v>3664</v>
      </c>
      <c r="AP186" t="s">
        <v>3665</v>
      </c>
      <c r="AQ186" t="s">
        <v>74</v>
      </c>
      <c r="AR186" t="s">
        <v>3666</v>
      </c>
      <c r="AS186" t="s">
        <v>3667</v>
      </c>
      <c r="AT186" t="s">
        <v>3646</v>
      </c>
      <c r="AU186">
        <v>2023</v>
      </c>
      <c r="AV186">
        <v>14</v>
      </c>
      <c r="AW186">
        <v>6</v>
      </c>
      <c r="AX186" t="s">
        <v>74</v>
      </c>
      <c r="AY186" t="s">
        <v>74</v>
      </c>
      <c r="AZ186" t="s">
        <v>74</v>
      </c>
      <c r="BA186" t="s">
        <v>74</v>
      </c>
      <c r="BB186">
        <v>1277</v>
      </c>
      <c r="BC186">
        <v>1294</v>
      </c>
      <c r="BD186" t="s">
        <v>74</v>
      </c>
      <c r="BE186" t="s">
        <v>3668</v>
      </c>
      <c r="BF186" t="str">
        <f>HYPERLINK("http://dx.doi.org/10.5194/esd-14-1277-2023","http://dx.doi.org/10.5194/esd-14-1277-2023")</f>
        <v>http://dx.doi.org/10.5194/esd-14-1277-2023</v>
      </c>
      <c r="BG186" t="s">
        <v>74</v>
      </c>
      <c r="BH186" t="s">
        <v>74</v>
      </c>
      <c r="BI186">
        <v>18</v>
      </c>
      <c r="BJ186" t="s">
        <v>535</v>
      </c>
      <c r="BK186" t="s">
        <v>100</v>
      </c>
      <c r="BL186" t="s">
        <v>536</v>
      </c>
      <c r="BM186" t="s">
        <v>3669</v>
      </c>
      <c r="BN186" t="s">
        <v>74</v>
      </c>
      <c r="BO186" t="s">
        <v>183</v>
      </c>
      <c r="BP186" t="s">
        <v>74</v>
      </c>
      <c r="BQ186" t="s">
        <v>74</v>
      </c>
      <c r="BR186" t="s">
        <v>104</v>
      </c>
      <c r="BS186" t="s">
        <v>3670</v>
      </c>
      <c r="BT186" t="str">
        <f>HYPERLINK("https%3A%2F%2Fwww.webofscience.com%2Fwos%2Fwoscc%2Ffull-record%2FWOS:001168826300001","View Full Record in Web of Science")</f>
        <v>View Full Record in Web of Science</v>
      </c>
    </row>
    <row r="187" spans="1:72" x14ac:dyDescent="0.15">
      <c r="A187" t="s">
        <v>72</v>
      </c>
      <c r="B187" t="s">
        <v>3671</v>
      </c>
      <c r="C187" t="s">
        <v>74</v>
      </c>
      <c r="D187" t="s">
        <v>74</v>
      </c>
      <c r="E187" t="s">
        <v>74</v>
      </c>
      <c r="F187" t="s">
        <v>3672</v>
      </c>
      <c r="G187" t="s">
        <v>74</v>
      </c>
      <c r="H187" t="s">
        <v>74</v>
      </c>
      <c r="I187" t="s">
        <v>3673</v>
      </c>
      <c r="J187" t="s">
        <v>1142</v>
      </c>
      <c r="K187" t="s">
        <v>74</v>
      </c>
      <c r="L187" t="s">
        <v>74</v>
      </c>
      <c r="M187" t="s">
        <v>78</v>
      </c>
      <c r="N187" t="s">
        <v>79</v>
      </c>
      <c r="O187" t="s">
        <v>74</v>
      </c>
      <c r="P187" t="s">
        <v>74</v>
      </c>
      <c r="Q187" t="s">
        <v>74</v>
      </c>
      <c r="R187" t="s">
        <v>74</v>
      </c>
      <c r="S187" t="s">
        <v>74</v>
      </c>
      <c r="T187" t="s">
        <v>3674</v>
      </c>
      <c r="U187" t="s">
        <v>3675</v>
      </c>
      <c r="V187" t="s">
        <v>3676</v>
      </c>
      <c r="W187" t="s">
        <v>3677</v>
      </c>
      <c r="X187" t="s">
        <v>3678</v>
      </c>
      <c r="Y187" t="s">
        <v>3679</v>
      </c>
      <c r="Z187" t="s">
        <v>3680</v>
      </c>
      <c r="AA187" t="s">
        <v>74</v>
      </c>
      <c r="AB187" t="s">
        <v>3681</v>
      </c>
      <c r="AC187" t="s">
        <v>74</v>
      </c>
      <c r="AD187" t="s">
        <v>74</v>
      </c>
      <c r="AE187" t="s">
        <v>74</v>
      </c>
      <c r="AF187" t="s">
        <v>74</v>
      </c>
      <c r="AG187">
        <v>67</v>
      </c>
      <c r="AH187">
        <v>0</v>
      </c>
      <c r="AI187">
        <v>0</v>
      </c>
      <c r="AJ187">
        <v>2</v>
      </c>
      <c r="AK187">
        <v>2</v>
      </c>
      <c r="AL187" t="s">
        <v>89</v>
      </c>
      <c r="AM187" t="s">
        <v>90</v>
      </c>
      <c r="AN187" t="s">
        <v>91</v>
      </c>
      <c r="AO187" t="s">
        <v>1155</v>
      </c>
      <c r="AP187" t="s">
        <v>1156</v>
      </c>
      <c r="AQ187" t="s">
        <v>74</v>
      </c>
      <c r="AR187" t="s">
        <v>1157</v>
      </c>
      <c r="AS187" t="s">
        <v>1158</v>
      </c>
      <c r="AT187" t="s">
        <v>982</v>
      </c>
      <c r="AU187">
        <v>2024</v>
      </c>
      <c r="AV187">
        <v>248</v>
      </c>
      <c r="AW187" t="s">
        <v>74</v>
      </c>
      <c r="AX187" t="s">
        <v>74</v>
      </c>
      <c r="AY187" t="s">
        <v>74</v>
      </c>
      <c r="AZ187" t="s">
        <v>74</v>
      </c>
      <c r="BA187" t="s">
        <v>74</v>
      </c>
      <c r="BB187" t="s">
        <v>74</v>
      </c>
      <c r="BC187" t="s">
        <v>74</v>
      </c>
      <c r="BD187">
        <v>106952</v>
      </c>
      <c r="BE187" t="s">
        <v>3682</v>
      </c>
      <c r="BF187" t="str">
        <f>HYPERLINK("http://dx.doi.org/10.1016/j.ocecoaman.2023.106952","http://dx.doi.org/10.1016/j.ocecoaman.2023.106952")</f>
        <v>http://dx.doi.org/10.1016/j.ocecoaman.2023.106952</v>
      </c>
      <c r="BG187" t="s">
        <v>74</v>
      </c>
      <c r="BH187" t="s">
        <v>98</v>
      </c>
      <c r="BI187">
        <v>11</v>
      </c>
      <c r="BJ187" t="s">
        <v>1161</v>
      </c>
      <c r="BK187" t="s">
        <v>100</v>
      </c>
      <c r="BL187" t="s">
        <v>1161</v>
      </c>
      <c r="BM187" t="s">
        <v>3683</v>
      </c>
      <c r="BN187" t="s">
        <v>74</v>
      </c>
      <c r="BO187" t="s">
        <v>103</v>
      </c>
      <c r="BP187" t="s">
        <v>74</v>
      </c>
      <c r="BQ187" t="s">
        <v>74</v>
      </c>
      <c r="BR187" t="s">
        <v>104</v>
      </c>
      <c r="BS187" t="s">
        <v>3684</v>
      </c>
      <c r="BT187" t="str">
        <f>HYPERLINK("https%3A%2F%2Fwww.webofscience.com%2Fwos%2Fwoscc%2Ffull-record%2FWOS:001139935000001","View Full Record in Web of Science")</f>
        <v>View Full Record in Web of Science</v>
      </c>
    </row>
    <row r="188" spans="1:72" x14ac:dyDescent="0.15">
      <c r="A188" t="s">
        <v>72</v>
      </c>
      <c r="B188" t="s">
        <v>3685</v>
      </c>
      <c r="C188" t="s">
        <v>74</v>
      </c>
      <c r="D188" t="s">
        <v>74</v>
      </c>
      <c r="E188" t="s">
        <v>74</v>
      </c>
      <c r="F188" t="s">
        <v>3686</v>
      </c>
      <c r="G188" t="s">
        <v>74</v>
      </c>
      <c r="H188" t="s">
        <v>74</v>
      </c>
      <c r="I188" t="s">
        <v>3687</v>
      </c>
      <c r="J188" t="s">
        <v>2412</v>
      </c>
      <c r="K188" t="s">
        <v>74</v>
      </c>
      <c r="L188" t="s">
        <v>74</v>
      </c>
      <c r="M188" t="s">
        <v>78</v>
      </c>
      <c r="N188" t="s">
        <v>79</v>
      </c>
      <c r="O188" t="s">
        <v>74</v>
      </c>
      <c r="P188" t="s">
        <v>74</v>
      </c>
      <c r="Q188" t="s">
        <v>74</v>
      </c>
      <c r="R188" t="s">
        <v>74</v>
      </c>
      <c r="S188" t="s">
        <v>74</v>
      </c>
      <c r="T188" t="s">
        <v>3688</v>
      </c>
      <c r="U188" t="s">
        <v>3689</v>
      </c>
      <c r="V188" t="s">
        <v>3690</v>
      </c>
      <c r="W188" t="s">
        <v>3691</v>
      </c>
      <c r="X188" t="s">
        <v>3692</v>
      </c>
      <c r="Y188" t="s">
        <v>3693</v>
      </c>
      <c r="Z188" t="s">
        <v>3694</v>
      </c>
      <c r="AA188" t="s">
        <v>3695</v>
      </c>
      <c r="AB188" t="s">
        <v>3696</v>
      </c>
      <c r="AC188" t="s">
        <v>3697</v>
      </c>
      <c r="AD188" t="s">
        <v>3698</v>
      </c>
      <c r="AE188" t="s">
        <v>3699</v>
      </c>
      <c r="AF188" t="s">
        <v>74</v>
      </c>
      <c r="AG188">
        <v>49</v>
      </c>
      <c r="AH188">
        <v>0</v>
      </c>
      <c r="AI188">
        <v>0</v>
      </c>
      <c r="AJ188">
        <v>6</v>
      </c>
      <c r="AK188">
        <v>6</v>
      </c>
      <c r="AL188" t="s">
        <v>947</v>
      </c>
      <c r="AM188" t="s">
        <v>948</v>
      </c>
      <c r="AN188" t="s">
        <v>949</v>
      </c>
      <c r="AO188" t="s">
        <v>2424</v>
      </c>
      <c r="AP188" t="s">
        <v>2425</v>
      </c>
      <c r="AQ188" t="s">
        <v>74</v>
      </c>
      <c r="AR188" t="s">
        <v>2426</v>
      </c>
      <c r="AS188" t="s">
        <v>2427</v>
      </c>
      <c r="AT188" t="s">
        <v>954</v>
      </c>
      <c r="AU188">
        <v>2024</v>
      </c>
      <c r="AV188">
        <v>232</v>
      </c>
      <c r="AW188" t="s">
        <v>74</v>
      </c>
      <c r="AX188" t="s">
        <v>74</v>
      </c>
      <c r="AY188" t="s">
        <v>74</v>
      </c>
      <c r="AZ188" t="s">
        <v>74</v>
      </c>
      <c r="BA188" t="s">
        <v>74</v>
      </c>
      <c r="BB188" t="s">
        <v>74</v>
      </c>
      <c r="BC188" t="s">
        <v>74</v>
      </c>
      <c r="BD188">
        <v>104316</v>
      </c>
      <c r="BE188" t="s">
        <v>3700</v>
      </c>
      <c r="BF188" t="str">
        <f>HYPERLINK("http://dx.doi.org/10.1016/j.gloplacha.2023.104316","http://dx.doi.org/10.1016/j.gloplacha.2023.104316")</f>
        <v>http://dx.doi.org/10.1016/j.gloplacha.2023.104316</v>
      </c>
      <c r="BG188" t="s">
        <v>74</v>
      </c>
      <c r="BH188" t="s">
        <v>98</v>
      </c>
      <c r="BI188">
        <v>11</v>
      </c>
      <c r="BJ188" t="s">
        <v>984</v>
      </c>
      <c r="BK188" t="s">
        <v>100</v>
      </c>
      <c r="BL188" t="s">
        <v>985</v>
      </c>
      <c r="BM188" t="s">
        <v>3701</v>
      </c>
      <c r="BN188" t="s">
        <v>74</v>
      </c>
      <c r="BO188" t="s">
        <v>103</v>
      </c>
      <c r="BP188" t="s">
        <v>74</v>
      </c>
      <c r="BQ188" t="s">
        <v>74</v>
      </c>
      <c r="BR188" t="s">
        <v>104</v>
      </c>
      <c r="BS188" t="s">
        <v>3702</v>
      </c>
      <c r="BT188" t="str">
        <f>HYPERLINK("https%3A%2F%2Fwww.webofscience.com%2Fwos%2Fwoscc%2Ffull-record%2FWOS:001143397900001","View Full Record in Web of Science")</f>
        <v>View Full Record in Web of Science</v>
      </c>
    </row>
    <row r="189" spans="1:72" x14ac:dyDescent="0.15">
      <c r="A189" t="s">
        <v>72</v>
      </c>
      <c r="B189" t="s">
        <v>3703</v>
      </c>
      <c r="C189" t="s">
        <v>74</v>
      </c>
      <c r="D189" t="s">
        <v>74</v>
      </c>
      <c r="E189" t="s">
        <v>74</v>
      </c>
      <c r="F189" t="s">
        <v>3704</v>
      </c>
      <c r="G189" t="s">
        <v>74</v>
      </c>
      <c r="H189" t="s">
        <v>74</v>
      </c>
      <c r="I189" t="s">
        <v>3705</v>
      </c>
      <c r="J189" t="s">
        <v>3706</v>
      </c>
      <c r="K189" t="s">
        <v>74</v>
      </c>
      <c r="L189" t="s">
        <v>74</v>
      </c>
      <c r="M189" t="s">
        <v>78</v>
      </c>
      <c r="N189" t="s">
        <v>79</v>
      </c>
      <c r="O189" t="s">
        <v>74</v>
      </c>
      <c r="P189" t="s">
        <v>74</v>
      </c>
      <c r="Q189" t="s">
        <v>74</v>
      </c>
      <c r="R189" t="s">
        <v>74</v>
      </c>
      <c r="S189" t="s">
        <v>74</v>
      </c>
      <c r="T189" t="s">
        <v>3707</v>
      </c>
      <c r="U189" t="s">
        <v>3708</v>
      </c>
      <c r="V189" t="s">
        <v>3709</v>
      </c>
      <c r="W189" t="s">
        <v>3710</v>
      </c>
      <c r="X189" t="s">
        <v>3711</v>
      </c>
      <c r="Y189" t="s">
        <v>3712</v>
      </c>
      <c r="Z189" t="s">
        <v>3713</v>
      </c>
      <c r="AA189" t="s">
        <v>3714</v>
      </c>
      <c r="AB189" t="s">
        <v>3715</v>
      </c>
      <c r="AC189" t="s">
        <v>3716</v>
      </c>
      <c r="AD189" t="s">
        <v>3717</v>
      </c>
      <c r="AE189" t="s">
        <v>3718</v>
      </c>
      <c r="AF189" t="s">
        <v>74</v>
      </c>
      <c r="AG189">
        <v>56</v>
      </c>
      <c r="AH189">
        <v>0</v>
      </c>
      <c r="AI189">
        <v>0</v>
      </c>
      <c r="AJ189">
        <v>21</v>
      </c>
      <c r="AK189">
        <v>21</v>
      </c>
      <c r="AL189" t="s">
        <v>3719</v>
      </c>
      <c r="AM189" t="s">
        <v>1209</v>
      </c>
      <c r="AN189" t="s">
        <v>3720</v>
      </c>
      <c r="AO189" t="s">
        <v>3721</v>
      </c>
      <c r="AP189" t="s">
        <v>74</v>
      </c>
      <c r="AQ189" t="s">
        <v>74</v>
      </c>
      <c r="AR189" t="s">
        <v>3722</v>
      </c>
      <c r="AS189" t="s">
        <v>3723</v>
      </c>
      <c r="AT189" t="s">
        <v>3724</v>
      </c>
      <c r="AU189">
        <v>2024</v>
      </c>
      <c r="AV189">
        <v>12</v>
      </c>
      <c r="AW189">
        <v>1</v>
      </c>
      <c r="AX189" t="s">
        <v>74</v>
      </c>
      <c r="AY189" t="s">
        <v>74</v>
      </c>
      <c r="AZ189" t="s">
        <v>74</v>
      </c>
      <c r="BA189" t="s">
        <v>74</v>
      </c>
      <c r="BB189" t="s">
        <v>74</v>
      </c>
      <c r="BC189" t="s">
        <v>74</v>
      </c>
      <c r="BD189" t="s">
        <v>74</v>
      </c>
      <c r="BE189" t="s">
        <v>3725</v>
      </c>
      <c r="BF189" t="str">
        <f>HYPERLINK("http://dx.doi.org/10.1128/spectrum.02110-23","http://dx.doi.org/10.1128/spectrum.02110-23")</f>
        <v>http://dx.doi.org/10.1128/spectrum.02110-23</v>
      </c>
      <c r="BG189" t="s">
        <v>74</v>
      </c>
      <c r="BH189" t="s">
        <v>98</v>
      </c>
      <c r="BI189">
        <v>19</v>
      </c>
      <c r="BJ189" t="s">
        <v>1084</v>
      </c>
      <c r="BK189" t="s">
        <v>100</v>
      </c>
      <c r="BL189" t="s">
        <v>1084</v>
      </c>
      <c r="BM189" t="s">
        <v>3726</v>
      </c>
      <c r="BN189">
        <v>38084983</v>
      </c>
      <c r="BO189" t="s">
        <v>200</v>
      </c>
      <c r="BP189" t="s">
        <v>74</v>
      </c>
      <c r="BQ189" t="s">
        <v>74</v>
      </c>
      <c r="BR189" t="s">
        <v>104</v>
      </c>
      <c r="BS189" t="s">
        <v>3727</v>
      </c>
      <c r="BT189" t="str">
        <f>HYPERLINK("https%3A%2F%2Fwww.webofscience.com%2Fwos%2Fwoscc%2Ffull-record%2FWOS:001123966900012","View Full Record in Web of Science")</f>
        <v>View Full Record in Web of Science</v>
      </c>
    </row>
    <row r="190" spans="1:72" x14ac:dyDescent="0.15">
      <c r="A190" t="s">
        <v>72</v>
      </c>
      <c r="B190" t="s">
        <v>3728</v>
      </c>
      <c r="C190" t="s">
        <v>74</v>
      </c>
      <c r="D190" t="s">
        <v>74</v>
      </c>
      <c r="E190" t="s">
        <v>74</v>
      </c>
      <c r="F190" t="s">
        <v>3729</v>
      </c>
      <c r="G190" t="s">
        <v>74</v>
      </c>
      <c r="H190" t="s">
        <v>74</v>
      </c>
      <c r="I190" t="s">
        <v>3730</v>
      </c>
      <c r="J190" t="s">
        <v>1746</v>
      </c>
      <c r="K190" t="s">
        <v>74</v>
      </c>
      <c r="L190" t="s">
        <v>74</v>
      </c>
      <c r="M190" t="s">
        <v>78</v>
      </c>
      <c r="N190" t="s">
        <v>79</v>
      </c>
      <c r="O190" t="s">
        <v>74</v>
      </c>
      <c r="P190" t="s">
        <v>74</v>
      </c>
      <c r="Q190" t="s">
        <v>74</v>
      </c>
      <c r="R190" t="s">
        <v>74</v>
      </c>
      <c r="S190" t="s">
        <v>74</v>
      </c>
      <c r="T190" t="s">
        <v>3731</v>
      </c>
      <c r="U190" t="s">
        <v>3732</v>
      </c>
      <c r="V190" t="s">
        <v>3733</v>
      </c>
      <c r="W190" t="s">
        <v>3734</v>
      </c>
      <c r="X190" t="s">
        <v>3735</v>
      </c>
      <c r="Y190" t="s">
        <v>3736</v>
      </c>
      <c r="Z190" t="s">
        <v>3737</v>
      </c>
      <c r="AA190" t="s">
        <v>74</v>
      </c>
      <c r="AB190" t="s">
        <v>3738</v>
      </c>
      <c r="AC190" t="s">
        <v>3739</v>
      </c>
      <c r="AD190" t="s">
        <v>3740</v>
      </c>
      <c r="AE190" t="s">
        <v>3741</v>
      </c>
      <c r="AF190" t="s">
        <v>74</v>
      </c>
      <c r="AG190">
        <v>72</v>
      </c>
      <c r="AH190">
        <v>0</v>
      </c>
      <c r="AI190">
        <v>0</v>
      </c>
      <c r="AJ190">
        <v>0</v>
      </c>
      <c r="AK190">
        <v>0</v>
      </c>
      <c r="AL190" t="s">
        <v>1758</v>
      </c>
      <c r="AM190" t="s">
        <v>1759</v>
      </c>
      <c r="AN190" t="s">
        <v>1760</v>
      </c>
      <c r="AO190" t="s">
        <v>74</v>
      </c>
      <c r="AP190" t="s">
        <v>1761</v>
      </c>
      <c r="AQ190" t="s">
        <v>74</v>
      </c>
      <c r="AR190" t="s">
        <v>1762</v>
      </c>
      <c r="AS190" t="s">
        <v>1763</v>
      </c>
      <c r="AT190" t="s">
        <v>3646</v>
      </c>
      <c r="AU190">
        <v>2023</v>
      </c>
      <c r="AV190">
        <v>10</v>
      </c>
      <c r="AW190" t="s">
        <v>74</v>
      </c>
      <c r="AX190" t="s">
        <v>74</v>
      </c>
      <c r="AY190" t="s">
        <v>74</v>
      </c>
      <c r="AZ190" t="s">
        <v>74</v>
      </c>
      <c r="BA190" t="s">
        <v>74</v>
      </c>
      <c r="BB190" t="s">
        <v>74</v>
      </c>
      <c r="BC190" t="s">
        <v>74</v>
      </c>
      <c r="BD190">
        <v>1240569</v>
      </c>
      <c r="BE190" t="s">
        <v>3742</v>
      </c>
      <c r="BF190" t="str">
        <f>HYPERLINK("http://dx.doi.org/10.3389/fmars.2023.1240569","http://dx.doi.org/10.3389/fmars.2023.1240569")</f>
        <v>http://dx.doi.org/10.3389/fmars.2023.1240569</v>
      </c>
      <c r="BG190" t="s">
        <v>74</v>
      </c>
      <c r="BH190" t="s">
        <v>74</v>
      </c>
      <c r="BI190">
        <v>17</v>
      </c>
      <c r="BJ190" t="s">
        <v>1135</v>
      </c>
      <c r="BK190" t="s">
        <v>100</v>
      </c>
      <c r="BL190" t="s">
        <v>1136</v>
      </c>
      <c r="BM190" t="s">
        <v>3743</v>
      </c>
      <c r="BN190" t="s">
        <v>74</v>
      </c>
      <c r="BO190" t="s">
        <v>131</v>
      </c>
      <c r="BP190" t="s">
        <v>74</v>
      </c>
      <c r="BQ190" t="s">
        <v>74</v>
      </c>
      <c r="BR190" t="s">
        <v>104</v>
      </c>
      <c r="BS190" t="s">
        <v>3744</v>
      </c>
      <c r="BT190" t="str">
        <f>HYPERLINK("https%3A%2F%2Fwww.webofscience.com%2Fwos%2Fwoscc%2Ffull-record%2FWOS:001130462900001","View Full Record in Web of Science")</f>
        <v>View Full Record in Web of Science</v>
      </c>
    </row>
    <row r="191" spans="1:72" x14ac:dyDescent="0.15">
      <c r="A191" t="s">
        <v>72</v>
      </c>
      <c r="B191" t="s">
        <v>3745</v>
      </c>
      <c r="C191" t="s">
        <v>74</v>
      </c>
      <c r="D191" t="s">
        <v>74</v>
      </c>
      <c r="E191" t="s">
        <v>74</v>
      </c>
      <c r="F191" t="s">
        <v>3746</v>
      </c>
      <c r="G191" t="s">
        <v>74</v>
      </c>
      <c r="H191" t="s">
        <v>74</v>
      </c>
      <c r="I191" t="s">
        <v>3747</v>
      </c>
      <c r="J191" t="s">
        <v>3748</v>
      </c>
      <c r="K191" t="s">
        <v>74</v>
      </c>
      <c r="L191" t="s">
        <v>74</v>
      </c>
      <c r="M191" t="s">
        <v>78</v>
      </c>
      <c r="N191" t="s">
        <v>3749</v>
      </c>
      <c r="O191" t="s">
        <v>74</v>
      </c>
      <c r="P191" t="s">
        <v>74</v>
      </c>
      <c r="Q191" t="s">
        <v>74</v>
      </c>
      <c r="R191" t="s">
        <v>74</v>
      </c>
      <c r="S191" t="s">
        <v>74</v>
      </c>
      <c r="T191" t="s">
        <v>74</v>
      </c>
      <c r="U191" t="s">
        <v>3750</v>
      </c>
      <c r="V191" t="s">
        <v>3751</v>
      </c>
      <c r="W191" t="s">
        <v>3752</v>
      </c>
      <c r="X191" t="s">
        <v>3753</v>
      </c>
      <c r="Y191" t="s">
        <v>3754</v>
      </c>
      <c r="Z191" t="s">
        <v>3755</v>
      </c>
      <c r="AA191" t="s">
        <v>74</v>
      </c>
      <c r="AB191" t="s">
        <v>3756</v>
      </c>
      <c r="AC191" t="s">
        <v>3757</v>
      </c>
      <c r="AD191" t="s">
        <v>3758</v>
      </c>
      <c r="AE191" t="s">
        <v>3759</v>
      </c>
      <c r="AF191" t="s">
        <v>74</v>
      </c>
      <c r="AG191">
        <v>72</v>
      </c>
      <c r="AH191">
        <v>0</v>
      </c>
      <c r="AI191">
        <v>0</v>
      </c>
      <c r="AJ191">
        <v>5</v>
      </c>
      <c r="AK191">
        <v>5</v>
      </c>
      <c r="AL191" t="s">
        <v>3057</v>
      </c>
      <c r="AM191" t="s">
        <v>3058</v>
      </c>
      <c r="AN191" t="s">
        <v>3059</v>
      </c>
      <c r="AO191" t="s">
        <v>74</v>
      </c>
      <c r="AP191" t="s">
        <v>3760</v>
      </c>
      <c r="AQ191" t="s">
        <v>74</v>
      </c>
      <c r="AR191" t="s">
        <v>3761</v>
      </c>
      <c r="AS191" t="s">
        <v>3762</v>
      </c>
      <c r="AT191" t="s">
        <v>3646</v>
      </c>
      <c r="AU191">
        <v>2023</v>
      </c>
      <c r="AV191">
        <v>10</v>
      </c>
      <c r="AW191">
        <v>1</v>
      </c>
      <c r="AX191" t="s">
        <v>74</v>
      </c>
      <c r="AY191" t="s">
        <v>74</v>
      </c>
      <c r="AZ191" t="s">
        <v>74</v>
      </c>
      <c r="BA191" t="s">
        <v>74</v>
      </c>
      <c r="BB191" t="s">
        <v>74</v>
      </c>
      <c r="BC191" t="s">
        <v>74</v>
      </c>
      <c r="BD191">
        <v>891</v>
      </c>
      <c r="BE191" t="s">
        <v>3763</v>
      </c>
      <c r="BF191" t="str">
        <f>HYPERLINK("http://dx.doi.org/10.1038/s41597-023-02811-x","http://dx.doi.org/10.1038/s41597-023-02811-x")</f>
        <v>http://dx.doi.org/10.1038/s41597-023-02811-x</v>
      </c>
      <c r="BG191" t="s">
        <v>74</v>
      </c>
      <c r="BH191" t="s">
        <v>74</v>
      </c>
      <c r="BI191">
        <v>10</v>
      </c>
      <c r="BJ191" t="s">
        <v>1035</v>
      </c>
      <c r="BK191" t="s">
        <v>100</v>
      </c>
      <c r="BL191" t="s">
        <v>1036</v>
      </c>
      <c r="BM191" t="s">
        <v>3764</v>
      </c>
      <c r="BN191">
        <v>38086886</v>
      </c>
      <c r="BO191" t="s">
        <v>131</v>
      </c>
      <c r="BP191" t="s">
        <v>74</v>
      </c>
      <c r="BQ191" t="s">
        <v>74</v>
      </c>
      <c r="BR191" t="s">
        <v>104</v>
      </c>
      <c r="BS191" t="s">
        <v>3765</v>
      </c>
      <c r="BT191" t="str">
        <f>HYPERLINK("https%3A%2F%2Fwww.webofscience.com%2Fwos%2Fwoscc%2Ffull-record%2FWOS:001124956400001","View Full Record in Web of Science")</f>
        <v>View Full Record in Web of Science</v>
      </c>
    </row>
    <row r="192" spans="1:72" x14ac:dyDescent="0.15">
      <c r="A192" t="s">
        <v>72</v>
      </c>
      <c r="B192" t="s">
        <v>3766</v>
      </c>
      <c r="C192" t="s">
        <v>74</v>
      </c>
      <c r="D192" t="s">
        <v>74</v>
      </c>
      <c r="E192" t="s">
        <v>74</v>
      </c>
      <c r="F192" t="s">
        <v>3767</v>
      </c>
      <c r="G192" t="s">
        <v>74</v>
      </c>
      <c r="H192" t="s">
        <v>74</v>
      </c>
      <c r="I192" t="s">
        <v>3768</v>
      </c>
      <c r="J192" t="s">
        <v>1770</v>
      </c>
      <c r="K192" t="s">
        <v>74</v>
      </c>
      <c r="L192" t="s">
        <v>74</v>
      </c>
      <c r="M192" t="s">
        <v>78</v>
      </c>
      <c r="N192" t="s">
        <v>1547</v>
      </c>
      <c r="O192" t="s">
        <v>74</v>
      </c>
      <c r="P192" t="s">
        <v>74</v>
      </c>
      <c r="Q192" t="s">
        <v>74</v>
      </c>
      <c r="R192" t="s">
        <v>74</v>
      </c>
      <c r="S192" t="s">
        <v>74</v>
      </c>
      <c r="T192" t="s">
        <v>3769</v>
      </c>
      <c r="U192" t="s">
        <v>74</v>
      </c>
      <c r="V192" t="s">
        <v>74</v>
      </c>
      <c r="W192" t="s">
        <v>3770</v>
      </c>
      <c r="X192" t="s">
        <v>3771</v>
      </c>
      <c r="Y192" t="s">
        <v>3772</v>
      </c>
      <c r="Z192" t="s">
        <v>3773</v>
      </c>
      <c r="AA192" t="s">
        <v>74</v>
      </c>
      <c r="AB192" t="s">
        <v>3774</v>
      </c>
      <c r="AC192" t="s">
        <v>3775</v>
      </c>
      <c r="AD192" t="s">
        <v>3776</v>
      </c>
      <c r="AE192" t="s">
        <v>3777</v>
      </c>
      <c r="AF192" t="s">
        <v>74</v>
      </c>
      <c r="AG192">
        <v>10</v>
      </c>
      <c r="AH192">
        <v>0</v>
      </c>
      <c r="AI192">
        <v>0</v>
      </c>
      <c r="AJ192">
        <v>3</v>
      </c>
      <c r="AK192">
        <v>3</v>
      </c>
      <c r="AL192" t="s">
        <v>1782</v>
      </c>
      <c r="AM192" t="s">
        <v>1783</v>
      </c>
      <c r="AN192" t="s">
        <v>1784</v>
      </c>
      <c r="AO192" t="s">
        <v>1785</v>
      </c>
      <c r="AP192" t="s">
        <v>1786</v>
      </c>
      <c r="AQ192" t="s">
        <v>74</v>
      </c>
      <c r="AR192" t="s">
        <v>1787</v>
      </c>
      <c r="AS192" t="s">
        <v>1788</v>
      </c>
      <c r="AT192" t="s">
        <v>3778</v>
      </c>
      <c r="AU192">
        <v>2023</v>
      </c>
      <c r="AV192" t="s">
        <v>74</v>
      </c>
      <c r="AW192" t="s">
        <v>74</v>
      </c>
      <c r="AX192" t="s">
        <v>74</v>
      </c>
      <c r="AY192" t="s">
        <v>74</v>
      </c>
      <c r="AZ192" t="s">
        <v>74</v>
      </c>
      <c r="BA192" t="s">
        <v>74</v>
      </c>
      <c r="BB192" t="s">
        <v>74</v>
      </c>
      <c r="BC192" t="s">
        <v>74</v>
      </c>
      <c r="BD192" t="s">
        <v>74</v>
      </c>
      <c r="BE192" t="s">
        <v>3779</v>
      </c>
      <c r="BF192" t="str">
        <f>HYPERLINK("http://dx.doi.org/10.1017/S0954102023000251","http://dx.doi.org/10.1017/S0954102023000251")</f>
        <v>http://dx.doi.org/10.1017/S0954102023000251</v>
      </c>
      <c r="BG192" t="s">
        <v>74</v>
      </c>
      <c r="BH192" t="s">
        <v>98</v>
      </c>
      <c r="BI192">
        <v>3</v>
      </c>
      <c r="BJ192" t="s">
        <v>1791</v>
      </c>
      <c r="BK192" t="s">
        <v>100</v>
      </c>
      <c r="BL192" t="s">
        <v>1792</v>
      </c>
      <c r="BM192" t="s">
        <v>3780</v>
      </c>
      <c r="BN192" t="s">
        <v>74</v>
      </c>
      <c r="BO192" t="s">
        <v>103</v>
      </c>
      <c r="BP192" t="s">
        <v>74</v>
      </c>
      <c r="BQ192" t="s">
        <v>74</v>
      </c>
      <c r="BR192" t="s">
        <v>104</v>
      </c>
      <c r="BS192" t="s">
        <v>3781</v>
      </c>
      <c r="BT192" t="str">
        <f>HYPERLINK("https%3A%2F%2Fwww.webofscience.com%2Fwos%2Fwoscc%2Ffull-record%2FWOS:001123983000001","View Full Record in Web of Science")</f>
        <v>View Full Record in Web of Science</v>
      </c>
    </row>
    <row r="193" spans="1:72" x14ac:dyDescent="0.15">
      <c r="A193" t="s">
        <v>72</v>
      </c>
      <c r="B193" t="s">
        <v>3782</v>
      </c>
      <c r="C193" t="s">
        <v>74</v>
      </c>
      <c r="D193" t="s">
        <v>74</v>
      </c>
      <c r="E193" t="s">
        <v>74</v>
      </c>
      <c r="F193" t="s">
        <v>3783</v>
      </c>
      <c r="G193" t="s">
        <v>74</v>
      </c>
      <c r="H193" t="s">
        <v>74</v>
      </c>
      <c r="I193" t="s">
        <v>3784</v>
      </c>
      <c r="J193" t="s">
        <v>2915</v>
      </c>
      <c r="K193" t="s">
        <v>74</v>
      </c>
      <c r="L193" t="s">
        <v>74</v>
      </c>
      <c r="M193" t="s">
        <v>78</v>
      </c>
      <c r="N193" t="s">
        <v>1547</v>
      </c>
      <c r="O193" t="s">
        <v>74</v>
      </c>
      <c r="P193" t="s">
        <v>74</v>
      </c>
      <c r="Q193" t="s">
        <v>74</v>
      </c>
      <c r="R193" t="s">
        <v>74</v>
      </c>
      <c r="S193" t="s">
        <v>74</v>
      </c>
      <c r="T193" t="s">
        <v>3785</v>
      </c>
      <c r="U193" t="s">
        <v>3786</v>
      </c>
      <c r="V193" t="s">
        <v>3787</v>
      </c>
      <c r="W193" t="s">
        <v>3788</v>
      </c>
      <c r="X193" t="s">
        <v>3789</v>
      </c>
      <c r="Y193" t="s">
        <v>3790</v>
      </c>
      <c r="Z193" t="s">
        <v>3791</v>
      </c>
      <c r="AA193" t="s">
        <v>3792</v>
      </c>
      <c r="AB193" t="s">
        <v>3793</v>
      </c>
      <c r="AC193" t="s">
        <v>3794</v>
      </c>
      <c r="AD193" t="s">
        <v>3795</v>
      </c>
      <c r="AE193" t="s">
        <v>3796</v>
      </c>
      <c r="AF193" t="s">
        <v>74</v>
      </c>
      <c r="AG193">
        <v>120</v>
      </c>
      <c r="AH193">
        <v>0</v>
      </c>
      <c r="AI193">
        <v>0</v>
      </c>
      <c r="AJ193">
        <v>6</v>
      </c>
      <c r="AK193">
        <v>6</v>
      </c>
      <c r="AL193" t="s">
        <v>1782</v>
      </c>
      <c r="AM193" t="s">
        <v>1783</v>
      </c>
      <c r="AN193" t="s">
        <v>1784</v>
      </c>
      <c r="AO193" t="s">
        <v>2928</v>
      </c>
      <c r="AP193" t="s">
        <v>2929</v>
      </c>
      <c r="AQ193" t="s">
        <v>74</v>
      </c>
      <c r="AR193" t="s">
        <v>2930</v>
      </c>
      <c r="AS193" t="s">
        <v>2931</v>
      </c>
      <c r="AT193" t="s">
        <v>3778</v>
      </c>
      <c r="AU193">
        <v>2023</v>
      </c>
      <c r="AV193" t="s">
        <v>74</v>
      </c>
      <c r="AW193" t="s">
        <v>74</v>
      </c>
      <c r="AX193" t="s">
        <v>74</v>
      </c>
      <c r="AY193" t="s">
        <v>74</v>
      </c>
      <c r="AZ193" t="s">
        <v>74</v>
      </c>
      <c r="BA193" t="s">
        <v>74</v>
      </c>
      <c r="BB193" t="s">
        <v>74</v>
      </c>
      <c r="BC193" t="s">
        <v>74</v>
      </c>
      <c r="BD193" t="s">
        <v>74</v>
      </c>
      <c r="BE193" t="s">
        <v>3797</v>
      </c>
      <c r="BF193" t="str">
        <f>HYPERLINK("http://dx.doi.org/10.1017/jog.2023.93","http://dx.doi.org/10.1017/jog.2023.93")</f>
        <v>http://dx.doi.org/10.1017/jog.2023.93</v>
      </c>
      <c r="BG193" t="s">
        <v>74</v>
      </c>
      <c r="BH193" t="s">
        <v>98</v>
      </c>
      <c r="BI193">
        <v>19</v>
      </c>
      <c r="BJ193" t="s">
        <v>984</v>
      </c>
      <c r="BK193" t="s">
        <v>100</v>
      </c>
      <c r="BL193" t="s">
        <v>985</v>
      </c>
      <c r="BM193" t="s">
        <v>3798</v>
      </c>
      <c r="BN193" t="s">
        <v>74</v>
      </c>
      <c r="BO193" t="s">
        <v>131</v>
      </c>
      <c r="BP193" t="s">
        <v>74</v>
      </c>
      <c r="BQ193" t="s">
        <v>74</v>
      </c>
      <c r="BR193" t="s">
        <v>104</v>
      </c>
      <c r="BS193" t="s">
        <v>3799</v>
      </c>
      <c r="BT193" t="str">
        <f>HYPERLINK("https%3A%2F%2Fwww.webofscience.com%2Fwos%2Fwoscc%2Ffull-record%2FWOS:001122534400001","View Full Record in Web of Science")</f>
        <v>View Full Record in Web of Science</v>
      </c>
    </row>
    <row r="194" spans="1:72" x14ac:dyDescent="0.15">
      <c r="A194" t="s">
        <v>72</v>
      </c>
      <c r="B194" t="s">
        <v>3800</v>
      </c>
      <c r="C194" t="s">
        <v>74</v>
      </c>
      <c r="D194" t="s">
        <v>74</v>
      </c>
      <c r="E194" t="s">
        <v>74</v>
      </c>
      <c r="F194" t="s">
        <v>3801</v>
      </c>
      <c r="G194" t="s">
        <v>74</v>
      </c>
      <c r="H194" t="s">
        <v>74</v>
      </c>
      <c r="I194" t="s">
        <v>3802</v>
      </c>
      <c r="J194" t="s">
        <v>3803</v>
      </c>
      <c r="K194" t="s">
        <v>74</v>
      </c>
      <c r="L194" t="s">
        <v>74</v>
      </c>
      <c r="M194" t="s">
        <v>78</v>
      </c>
      <c r="N194" t="s">
        <v>1547</v>
      </c>
      <c r="O194" t="s">
        <v>74</v>
      </c>
      <c r="P194" t="s">
        <v>74</v>
      </c>
      <c r="Q194" t="s">
        <v>74</v>
      </c>
      <c r="R194" t="s">
        <v>74</v>
      </c>
      <c r="S194" t="s">
        <v>74</v>
      </c>
      <c r="T194" t="s">
        <v>3804</v>
      </c>
      <c r="U194" t="s">
        <v>3805</v>
      </c>
      <c r="V194" t="s">
        <v>3806</v>
      </c>
      <c r="W194" t="s">
        <v>3807</v>
      </c>
      <c r="X194" t="s">
        <v>3808</v>
      </c>
      <c r="Y194" t="s">
        <v>3809</v>
      </c>
      <c r="Z194" t="s">
        <v>3810</v>
      </c>
      <c r="AA194" t="s">
        <v>74</v>
      </c>
      <c r="AB194" t="s">
        <v>74</v>
      </c>
      <c r="AC194" t="s">
        <v>3811</v>
      </c>
      <c r="AD194" t="s">
        <v>3811</v>
      </c>
      <c r="AE194" t="s">
        <v>2553</v>
      </c>
      <c r="AF194" t="s">
        <v>74</v>
      </c>
      <c r="AG194">
        <v>51</v>
      </c>
      <c r="AH194">
        <v>0</v>
      </c>
      <c r="AI194">
        <v>0</v>
      </c>
      <c r="AJ194">
        <v>6</v>
      </c>
      <c r="AK194">
        <v>6</v>
      </c>
      <c r="AL194" t="s">
        <v>3812</v>
      </c>
      <c r="AM194" t="s">
        <v>3813</v>
      </c>
      <c r="AN194" t="s">
        <v>3814</v>
      </c>
      <c r="AO194" t="s">
        <v>3815</v>
      </c>
      <c r="AP194" t="s">
        <v>3816</v>
      </c>
      <c r="AQ194" t="s">
        <v>74</v>
      </c>
      <c r="AR194" t="s">
        <v>3817</v>
      </c>
      <c r="AS194" t="s">
        <v>3818</v>
      </c>
      <c r="AT194" t="s">
        <v>3778</v>
      </c>
      <c r="AU194">
        <v>2023</v>
      </c>
      <c r="AV194" t="s">
        <v>74</v>
      </c>
      <c r="AW194" t="s">
        <v>74</v>
      </c>
      <c r="AX194" t="s">
        <v>74</v>
      </c>
      <c r="AY194" t="s">
        <v>74</v>
      </c>
      <c r="AZ194" t="s">
        <v>74</v>
      </c>
      <c r="BA194" t="s">
        <v>74</v>
      </c>
      <c r="BB194" t="s">
        <v>74</v>
      </c>
      <c r="BC194" t="s">
        <v>74</v>
      </c>
      <c r="BD194" t="s">
        <v>74</v>
      </c>
      <c r="BE194" t="s">
        <v>3819</v>
      </c>
      <c r="BF194" t="str">
        <f>HYPERLINK("http://dx.doi.org/10.1007/s11356-023-31325-7","http://dx.doi.org/10.1007/s11356-023-31325-7")</f>
        <v>http://dx.doi.org/10.1007/s11356-023-31325-7</v>
      </c>
      <c r="BG194" t="s">
        <v>74</v>
      </c>
      <c r="BH194" t="s">
        <v>98</v>
      </c>
      <c r="BI194">
        <v>12</v>
      </c>
      <c r="BJ194" t="s">
        <v>1010</v>
      </c>
      <c r="BK194" t="s">
        <v>100</v>
      </c>
      <c r="BL194" t="s">
        <v>1011</v>
      </c>
      <c r="BM194" t="s">
        <v>3820</v>
      </c>
      <c r="BN194">
        <v>38085477</v>
      </c>
      <c r="BO194" t="s">
        <v>74</v>
      </c>
      <c r="BP194" t="s">
        <v>74</v>
      </c>
      <c r="BQ194" t="s">
        <v>74</v>
      </c>
      <c r="BR194" t="s">
        <v>104</v>
      </c>
      <c r="BS194" t="s">
        <v>3821</v>
      </c>
      <c r="BT194" t="str">
        <f>HYPERLINK("https%3A%2F%2Fwww.webofscience.com%2Fwos%2Fwoscc%2Ffull-record%2FWOS:001124923800016","View Full Record in Web of Science")</f>
        <v>View Full Record in Web of Science</v>
      </c>
    </row>
    <row r="195" spans="1:72" x14ac:dyDescent="0.15">
      <c r="A195" t="s">
        <v>72</v>
      </c>
      <c r="B195" t="s">
        <v>3822</v>
      </c>
      <c r="C195" t="s">
        <v>74</v>
      </c>
      <c r="D195" t="s">
        <v>74</v>
      </c>
      <c r="E195" t="s">
        <v>74</v>
      </c>
      <c r="F195" t="s">
        <v>3823</v>
      </c>
      <c r="G195" t="s">
        <v>74</v>
      </c>
      <c r="H195" t="s">
        <v>74</v>
      </c>
      <c r="I195" t="s">
        <v>3824</v>
      </c>
      <c r="J195" t="s">
        <v>1243</v>
      </c>
      <c r="K195" t="s">
        <v>74</v>
      </c>
      <c r="L195" t="s">
        <v>74</v>
      </c>
      <c r="M195" t="s">
        <v>78</v>
      </c>
      <c r="N195" t="s">
        <v>79</v>
      </c>
      <c r="O195" t="s">
        <v>74</v>
      </c>
      <c r="P195" t="s">
        <v>74</v>
      </c>
      <c r="Q195" t="s">
        <v>74</v>
      </c>
      <c r="R195" t="s">
        <v>74</v>
      </c>
      <c r="S195" t="s">
        <v>74</v>
      </c>
      <c r="T195" t="s">
        <v>3825</v>
      </c>
      <c r="U195" t="s">
        <v>3826</v>
      </c>
      <c r="V195" t="s">
        <v>3827</v>
      </c>
      <c r="W195" t="s">
        <v>3828</v>
      </c>
      <c r="X195" t="s">
        <v>3829</v>
      </c>
      <c r="Y195" t="s">
        <v>3830</v>
      </c>
      <c r="Z195" t="s">
        <v>3831</v>
      </c>
      <c r="AA195" t="s">
        <v>3832</v>
      </c>
      <c r="AB195" t="s">
        <v>3833</v>
      </c>
      <c r="AC195" t="s">
        <v>3834</v>
      </c>
      <c r="AD195" t="s">
        <v>3834</v>
      </c>
      <c r="AE195" t="s">
        <v>3835</v>
      </c>
      <c r="AF195" t="s">
        <v>74</v>
      </c>
      <c r="AG195">
        <v>105</v>
      </c>
      <c r="AH195">
        <v>0</v>
      </c>
      <c r="AI195">
        <v>0</v>
      </c>
      <c r="AJ195">
        <v>2</v>
      </c>
      <c r="AK195">
        <v>2</v>
      </c>
      <c r="AL195" t="s">
        <v>1075</v>
      </c>
      <c r="AM195" t="s">
        <v>1076</v>
      </c>
      <c r="AN195" t="s">
        <v>1077</v>
      </c>
      <c r="AO195" t="s">
        <v>1256</v>
      </c>
      <c r="AP195" t="s">
        <v>1257</v>
      </c>
      <c r="AQ195" t="s">
        <v>74</v>
      </c>
      <c r="AR195" t="s">
        <v>1258</v>
      </c>
      <c r="AS195" t="s">
        <v>1259</v>
      </c>
      <c r="AT195" t="s">
        <v>954</v>
      </c>
      <c r="AU195">
        <v>2024</v>
      </c>
      <c r="AV195">
        <v>47</v>
      </c>
      <c r="AW195">
        <v>1</v>
      </c>
      <c r="AX195" t="s">
        <v>74</v>
      </c>
      <c r="AY195" t="s">
        <v>74</v>
      </c>
      <c r="AZ195" t="s">
        <v>74</v>
      </c>
      <c r="BA195" t="s">
        <v>74</v>
      </c>
      <c r="BB195">
        <v>53</v>
      </c>
      <c r="BC195">
        <v>71</v>
      </c>
      <c r="BD195" t="s">
        <v>74</v>
      </c>
      <c r="BE195" t="s">
        <v>3836</v>
      </c>
      <c r="BF195" t="str">
        <f>HYPERLINK("http://dx.doi.org/10.1007/s00300-023-03206-9","http://dx.doi.org/10.1007/s00300-023-03206-9")</f>
        <v>http://dx.doi.org/10.1007/s00300-023-03206-9</v>
      </c>
      <c r="BG195" t="s">
        <v>74</v>
      </c>
      <c r="BH195" t="s">
        <v>98</v>
      </c>
      <c r="BI195">
        <v>19</v>
      </c>
      <c r="BJ195" t="s">
        <v>1261</v>
      </c>
      <c r="BK195" t="s">
        <v>100</v>
      </c>
      <c r="BL195" t="s">
        <v>913</v>
      </c>
      <c r="BM195" t="s">
        <v>3102</v>
      </c>
      <c r="BN195" t="s">
        <v>74</v>
      </c>
      <c r="BO195" t="s">
        <v>74</v>
      </c>
      <c r="BP195" t="s">
        <v>74</v>
      </c>
      <c r="BQ195" t="s">
        <v>74</v>
      </c>
      <c r="BR195" t="s">
        <v>104</v>
      </c>
      <c r="BS195" t="s">
        <v>3837</v>
      </c>
      <c r="BT195" t="str">
        <f>HYPERLINK("https%3A%2F%2Fwww.webofscience.com%2Fwos%2Fwoscc%2Ffull-record%2FWOS:001124466000001","View Full Record in Web of Science")</f>
        <v>View Full Record in Web of Science</v>
      </c>
    </row>
    <row r="196" spans="1:72" x14ac:dyDescent="0.15">
      <c r="A196" t="s">
        <v>72</v>
      </c>
      <c r="B196" t="s">
        <v>3838</v>
      </c>
      <c r="C196" t="s">
        <v>74</v>
      </c>
      <c r="D196" t="s">
        <v>74</v>
      </c>
      <c r="E196" t="s">
        <v>74</v>
      </c>
      <c r="F196" t="s">
        <v>3839</v>
      </c>
      <c r="G196" t="s">
        <v>74</v>
      </c>
      <c r="H196" t="s">
        <v>74</v>
      </c>
      <c r="I196" t="s">
        <v>3840</v>
      </c>
      <c r="J196" t="s">
        <v>3841</v>
      </c>
      <c r="K196" t="s">
        <v>74</v>
      </c>
      <c r="L196" t="s">
        <v>74</v>
      </c>
      <c r="M196" t="s">
        <v>78</v>
      </c>
      <c r="N196" t="s">
        <v>79</v>
      </c>
      <c r="O196" t="s">
        <v>74</v>
      </c>
      <c r="P196" t="s">
        <v>74</v>
      </c>
      <c r="Q196" t="s">
        <v>74</v>
      </c>
      <c r="R196" t="s">
        <v>74</v>
      </c>
      <c r="S196" t="s">
        <v>74</v>
      </c>
      <c r="T196" t="s">
        <v>3842</v>
      </c>
      <c r="U196" t="s">
        <v>3843</v>
      </c>
      <c r="V196" t="s">
        <v>3844</v>
      </c>
      <c r="W196" t="s">
        <v>3845</v>
      </c>
      <c r="X196" t="s">
        <v>3846</v>
      </c>
      <c r="Y196" t="s">
        <v>3847</v>
      </c>
      <c r="Z196" t="s">
        <v>3848</v>
      </c>
      <c r="AA196" t="s">
        <v>74</v>
      </c>
      <c r="AB196" t="s">
        <v>3849</v>
      </c>
      <c r="AC196" t="s">
        <v>3850</v>
      </c>
      <c r="AD196" t="s">
        <v>3851</v>
      </c>
      <c r="AE196" t="s">
        <v>3852</v>
      </c>
      <c r="AF196" t="s">
        <v>74</v>
      </c>
      <c r="AG196">
        <v>51</v>
      </c>
      <c r="AH196">
        <v>0</v>
      </c>
      <c r="AI196">
        <v>0</v>
      </c>
      <c r="AJ196">
        <v>11</v>
      </c>
      <c r="AK196">
        <v>11</v>
      </c>
      <c r="AL196" t="s">
        <v>3812</v>
      </c>
      <c r="AM196" t="s">
        <v>3813</v>
      </c>
      <c r="AN196" t="s">
        <v>3814</v>
      </c>
      <c r="AO196" t="s">
        <v>3853</v>
      </c>
      <c r="AP196" t="s">
        <v>3854</v>
      </c>
      <c r="AQ196" t="s">
        <v>74</v>
      </c>
      <c r="AR196" t="s">
        <v>3855</v>
      </c>
      <c r="AS196" t="s">
        <v>3856</v>
      </c>
      <c r="AT196" t="s">
        <v>954</v>
      </c>
      <c r="AU196">
        <v>2024</v>
      </c>
      <c r="AV196">
        <v>61</v>
      </c>
      <c r="AW196">
        <v>1</v>
      </c>
      <c r="AX196" t="s">
        <v>74</v>
      </c>
      <c r="AY196" t="s">
        <v>74</v>
      </c>
      <c r="AZ196" t="s">
        <v>74</v>
      </c>
      <c r="BA196" t="s">
        <v>74</v>
      </c>
      <c r="BB196">
        <v>126</v>
      </c>
      <c r="BC196">
        <v>136</v>
      </c>
      <c r="BD196" t="s">
        <v>74</v>
      </c>
      <c r="BE196" t="s">
        <v>3857</v>
      </c>
      <c r="BF196" t="str">
        <f>HYPERLINK("http://dx.doi.org/10.1007/s43207-023-00355-9","http://dx.doi.org/10.1007/s43207-023-00355-9")</f>
        <v>http://dx.doi.org/10.1007/s43207-023-00355-9</v>
      </c>
      <c r="BG196" t="s">
        <v>74</v>
      </c>
      <c r="BH196" t="s">
        <v>98</v>
      </c>
      <c r="BI196">
        <v>11</v>
      </c>
      <c r="BJ196" t="s">
        <v>3858</v>
      </c>
      <c r="BK196" t="s">
        <v>100</v>
      </c>
      <c r="BL196" t="s">
        <v>3859</v>
      </c>
      <c r="BM196" t="s">
        <v>3860</v>
      </c>
      <c r="BN196" t="s">
        <v>74</v>
      </c>
      <c r="BO196" t="s">
        <v>74</v>
      </c>
      <c r="BP196" t="s">
        <v>74</v>
      </c>
      <c r="BQ196" t="s">
        <v>74</v>
      </c>
      <c r="BR196" t="s">
        <v>104</v>
      </c>
      <c r="BS196" t="s">
        <v>3861</v>
      </c>
      <c r="BT196" t="str">
        <f>HYPERLINK("https%3A%2F%2Fwww.webofscience.com%2Fwos%2Fwoscc%2Ffull-record%2FWOS:001121035000001","View Full Record in Web of Science")</f>
        <v>View Full Record in Web of Science</v>
      </c>
    </row>
    <row r="197" spans="1:72" x14ac:dyDescent="0.15">
      <c r="A197" t="s">
        <v>72</v>
      </c>
      <c r="B197" t="s">
        <v>3862</v>
      </c>
      <c r="C197" t="s">
        <v>74</v>
      </c>
      <c r="D197" t="s">
        <v>74</v>
      </c>
      <c r="E197" t="s">
        <v>74</v>
      </c>
      <c r="F197" t="s">
        <v>3863</v>
      </c>
      <c r="G197" t="s">
        <v>74</v>
      </c>
      <c r="H197" t="s">
        <v>74</v>
      </c>
      <c r="I197" t="s">
        <v>3864</v>
      </c>
      <c r="J197" t="s">
        <v>3865</v>
      </c>
      <c r="K197" t="s">
        <v>74</v>
      </c>
      <c r="L197" t="s">
        <v>74</v>
      </c>
      <c r="M197" t="s">
        <v>78</v>
      </c>
      <c r="N197" t="s">
        <v>441</v>
      </c>
      <c r="O197" t="s">
        <v>74</v>
      </c>
      <c r="P197" t="s">
        <v>74</v>
      </c>
      <c r="Q197" t="s">
        <v>74</v>
      </c>
      <c r="R197" t="s">
        <v>74</v>
      </c>
      <c r="S197" t="s">
        <v>74</v>
      </c>
      <c r="T197" t="s">
        <v>3866</v>
      </c>
      <c r="U197" t="s">
        <v>3867</v>
      </c>
      <c r="V197" t="s">
        <v>3868</v>
      </c>
      <c r="W197" t="s">
        <v>3869</v>
      </c>
      <c r="X197" t="s">
        <v>3870</v>
      </c>
      <c r="Y197" t="s">
        <v>3871</v>
      </c>
      <c r="Z197" t="s">
        <v>3872</v>
      </c>
      <c r="AA197" t="s">
        <v>74</v>
      </c>
      <c r="AB197" t="s">
        <v>74</v>
      </c>
      <c r="AC197" t="s">
        <v>3873</v>
      </c>
      <c r="AD197" t="s">
        <v>3874</v>
      </c>
      <c r="AE197" t="s">
        <v>3875</v>
      </c>
      <c r="AF197" t="s">
        <v>74</v>
      </c>
      <c r="AG197">
        <v>116</v>
      </c>
      <c r="AH197">
        <v>1</v>
      </c>
      <c r="AI197">
        <v>1</v>
      </c>
      <c r="AJ197">
        <v>5</v>
      </c>
      <c r="AK197">
        <v>5</v>
      </c>
      <c r="AL197" t="s">
        <v>2554</v>
      </c>
      <c r="AM197" t="s">
        <v>2294</v>
      </c>
      <c r="AN197" t="s">
        <v>2555</v>
      </c>
      <c r="AO197" t="s">
        <v>3876</v>
      </c>
      <c r="AP197" t="s">
        <v>3877</v>
      </c>
      <c r="AQ197" t="s">
        <v>74</v>
      </c>
      <c r="AR197" t="s">
        <v>3878</v>
      </c>
      <c r="AS197" t="s">
        <v>3879</v>
      </c>
      <c r="AT197" t="s">
        <v>3880</v>
      </c>
      <c r="AU197">
        <v>2023</v>
      </c>
      <c r="AV197">
        <v>381</v>
      </c>
      <c r="AW197">
        <v>2262</v>
      </c>
      <c r="AX197" t="s">
        <v>74</v>
      </c>
      <c r="AY197" t="s">
        <v>74</v>
      </c>
      <c r="AZ197" t="s">
        <v>74</v>
      </c>
      <c r="BA197" t="s">
        <v>74</v>
      </c>
      <c r="BB197" t="s">
        <v>74</v>
      </c>
      <c r="BC197" t="s">
        <v>74</v>
      </c>
      <c r="BD197">
        <v>20220190</v>
      </c>
      <c r="BE197" t="s">
        <v>3881</v>
      </c>
      <c r="BF197" t="str">
        <f>HYPERLINK("http://dx.doi.org/10.1098/rsta.2022.0190","http://dx.doi.org/10.1098/rsta.2022.0190")</f>
        <v>http://dx.doi.org/10.1098/rsta.2022.0190</v>
      </c>
      <c r="BG197" t="s">
        <v>74</v>
      </c>
      <c r="BH197" t="s">
        <v>74</v>
      </c>
      <c r="BI197">
        <v>23</v>
      </c>
      <c r="BJ197" t="s">
        <v>1035</v>
      </c>
      <c r="BK197" t="s">
        <v>100</v>
      </c>
      <c r="BL197" t="s">
        <v>1036</v>
      </c>
      <c r="BM197" t="s">
        <v>3882</v>
      </c>
      <c r="BN197">
        <v>37866385</v>
      </c>
      <c r="BO197" t="s">
        <v>3883</v>
      </c>
      <c r="BP197" t="s">
        <v>74</v>
      </c>
      <c r="BQ197" t="s">
        <v>74</v>
      </c>
      <c r="BR197" t="s">
        <v>104</v>
      </c>
      <c r="BS197" t="s">
        <v>3884</v>
      </c>
      <c r="BT197" t="str">
        <f>HYPERLINK("https%3A%2F%2Fwww.webofscience.com%2Fwos%2Fwoscc%2Ffull-record%2FWOS:001187247700001","View Full Record in Web of Science")</f>
        <v>View Full Record in Web of Science</v>
      </c>
    </row>
    <row r="198" spans="1:72" x14ac:dyDescent="0.15">
      <c r="A198" t="s">
        <v>72</v>
      </c>
      <c r="B198" t="s">
        <v>3885</v>
      </c>
      <c r="C198" t="s">
        <v>74</v>
      </c>
      <c r="D198" t="s">
        <v>74</v>
      </c>
      <c r="E198" t="s">
        <v>74</v>
      </c>
      <c r="F198" t="s">
        <v>3886</v>
      </c>
      <c r="G198" t="s">
        <v>74</v>
      </c>
      <c r="H198" t="s">
        <v>74</v>
      </c>
      <c r="I198" t="s">
        <v>3887</v>
      </c>
      <c r="J198" t="s">
        <v>2915</v>
      </c>
      <c r="K198" t="s">
        <v>74</v>
      </c>
      <c r="L198" t="s">
        <v>74</v>
      </c>
      <c r="M198" t="s">
        <v>78</v>
      </c>
      <c r="N198" t="s">
        <v>1547</v>
      </c>
      <c r="O198" t="s">
        <v>74</v>
      </c>
      <c r="P198" t="s">
        <v>74</v>
      </c>
      <c r="Q198" t="s">
        <v>74</v>
      </c>
      <c r="R198" t="s">
        <v>74</v>
      </c>
      <c r="S198" t="s">
        <v>74</v>
      </c>
      <c r="T198" t="s">
        <v>3888</v>
      </c>
      <c r="U198" t="s">
        <v>3889</v>
      </c>
      <c r="V198" t="s">
        <v>3890</v>
      </c>
      <c r="W198" t="s">
        <v>3891</v>
      </c>
      <c r="X198" t="s">
        <v>3892</v>
      </c>
      <c r="Y198" t="s">
        <v>3893</v>
      </c>
      <c r="Z198" t="s">
        <v>3894</v>
      </c>
      <c r="AA198" t="s">
        <v>74</v>
      </c>
      <c r="AB198" t="s">
        <v>74</v>
      </c>
      <c r="AC198" t="s">
        <v>3895</v>
      </c>
      <c r="AD198" t="s">
        <v>3896</v>
      </c>
      <c r="AE198" t="s">
        <v>3897</v>
      </c>
      <c r="AF198" t="s">
        <v>74</v>
      </c>
      <c r="AG198">
        <v>73</v>
      </c>
      <c r="AH198">
        <v>0</v>
      </c>
      <c r="AI198">
        <v>0</v>
      </c>
      <c r="AJ198">
        <v>0</v>
      </c>
      <c r="AK198">
        <v>0</v>
      </c>
      <c r="AL198" t="s">
        <v>1782</v>
      </c>
      <c r="AM198" t="s">
        <v>1783</v>
      </c>
      <c r="AN198" t="s">
        <v>1784</v>
      </c>
      <c r="AO198" t="s">
        <v>2928</v>
      </c>
      <c r="AP198" t="s">
        <v>2929</v>
      </c>
      <c r="AQ198" t="s">
        <v>74</v>
      </c>
      <c r="AR198" t="s">
        <v>2930</v>
      </c>
      <c r="AS198" t="s">
        <v>2931</v>
      </c>
      <c r="AT198" t="s">
        <v>3898</v>
      </c>
      <c r="AU198">
        <v>2023</v>
      </c>
      <c r="AV198" t="s">
        <v>74</v>
      </c>
      <c r="AW198" t="s">
        <v>74</v>
      </c>
      <c r="AX198" t="s">
        <v>74</v>
      </c>
      <c r="AY198" t="s">
        <v>74</v>
      </c>
      <c r="AZ198" t="s">
        <v>74</v>
      </c>
      <c r="BA198" t="s">
        <v>74</v>
      </c>
      <c r="BB198" t="s">
        <v>74</v>
      </c>
      <c r="BC198" t="s">
        <v>74</v>
      </c>
      <c r="BD198" t="s">
        <v>74</v>
      </c>
      <c r="BE198" t="s">
        <v>3899</v>
      </c>
      <c r="BF198" t="str">
        <f>HYPERLINK("http://dx.doi.org/10.1017/jog.2023.102","http://dx.doi.org/10.1017/jog.2023.102")</f>
        <v>http://dx.doi.org/10.1017/jog.2023.102</v>
      </c>
      <c r="BG198" t="s">
        <v>74</v>
      </c>
      <c r="BH198" t="s">
        <v>98</v>
      </c>
      <c r="BI198">
        <v>10</v>
      </c>
      <c r="BJ198" t="s">
        <v>984</v>
      </c>
      <c r="BK198" t="s">
        <v>100</v>
      </c>
      <c r="BL198" t="s">
        <v>985</v>
      </c>
      <c r="BM198" t="s">
        <v>3900</v>
      </c>
      <c r="BN198" t="s">
        <v>74</v>
      </c>
      <c r="BO198" t="s">
        <v>183</v>
      </c>
      <c r="BP198" t="s">
        <v>74</v>
      </c>
      <c r="BQ198" t="s">
        <v>74</v>
      </c>
      <c r="BR198" t="s">
        <v>104</v>
      </c>
      <c r="BS198" t="s">
        <v>3901</v>
      </c>
      <c r="BT198" t="str">
        <f>HYPERLINK("https%3A%2F%2Fwww.webofscience.com%2Fwos%2Fwoscc%2Ffull-record%2FWOS:001161992900001","View Full Record in Web of Science")</f>
        <v>View Full Record in Web of Science</v>
      </c>
    </row>
    <row r="199" spans="1:72" x14ac:dyDescent="0.15">
      <c r="A199" t="s">
        <v>72</v>
      </c>
      <c r="B199" t="s">
        <v>3902</v>
      </c>
      <c r="C199" t="s">
        <v>74</v>
      </c>
      <c r="D199" t="s">
        <v>74</v>
      </c>
      <c r="E199" t="s">
        <v>74</v>
      </c>
      <c r="F199" t="s">
        <v>3903</v>
      </c>
      <c r="G199" t="s">
        <v>74</v>
      </c>
      <c r="H199" t="s">
        <v>74</v>
      </c>
      <c r="I199" t="s">
        <v>3904</v>
      </c>
      <c r="J199" t="s">
        <v>2809</v>
      </c>
      <c r="K199" t="s">
        <v>74</v>
      </c>
      <c r="L199" t="s">
        <v>74</v>
      </c>
      <c r="M199" t="s">
        <v>78</v>
      </c>
      <c r="N199" t="s">
        <v>79</v>
      </c>
      <c r="O199" t="s">
        <v>74</v>
      </c>
      <c r="P199" t="s">
        <v>74</v>
      </c>
      <c r="Q199" t="s">
        <v>74</v>
      </c>
      <c r="R199" t="s">
        <v>74</v>
      </c>
      <c r="S199" t="s">
        <v>74</v>
      </c>
      <c r="T199" t="s">
        <v>74</v>
      </c>
      <c r="U199" t="s">
        <v>3905</v>
      </c>
      <c r="V199" t="s">
        <v>3906</v>
      </c>
      <c r="W199" t="s">
        <v>3907</v>
      </c>
      <c r="X199" t="s">
        <v>3908</v>
      </c>
      <c r="Y199" t="s">
        <v>3909</v>
      </c>
      <c r="Z199" t="s">
        <v>3910</v>
      </c>
      <c r="AA199" t="s">
        <v>3911</v>
      </c>
      <c r="AB199" t="s">
        <v>3912</v>
      </c>
      <c r="AC199" t="s">
        <v>3913</v>
      </c>
      <c r="AD199" t="s">
        <v>3914</v>
      </c>
      <c r="AE199" t="s">
        <v>3915</v>
      </c>
      <c r="AF199" t="s">
        <v>74</v>
      </c>
      <c r="AG199">
        <v>52</v>
      </c>
      <c r="AH199">
        <v>0</v>
      </c>
      <c r="AI199">
        <v>0</v>
      </c>
      <c r="AJ199">
        <v>2</v>
      </c>
      <c r="AK199">
        <v>2</v>
      </c>
      <c r="AL199" t="s">
        <v>1838</v>
      </c>
      <c r="AM199" t="s">
        <v>1839</v>
      </c>
      <c r="AN199" t="s">
        <v>1840</v>
      </c>
      <c r="AO199" t="s">
        <v>2818</v>
      </c>
      <c r="AP199" t="s">
        <v>2819</v>
      </c>
      <c r="AQ199" t="s">
        <v>74</v>
      </c>
      <c r="AR199" t="s">
        <v>2809</v>
      </c>
      <c r="AS199" t="s">
        <v>2820</v>
      </c>
      <c r="AT199" t="s">
        <v>3880</v>
      </c>
      <c r="AU199">
        <v>2023</v>
      </c>
      <c r="AV199">
        <v>17</v>
      </c>
      <c r="AW199">
        <v>12</v>
      </c>
      <c r="AX199" t="s">
        <v>74</v>
      </c>
      <c r="AY199" t="s">
        <v>74</v>
      </c>
      <c r="AZ199" t="s">
        <v>74</v>
      </c>
      <c r="BA199" t="s">
        <v>74</v>
      </c>
      <c r="BB199">
        <v>5241</v>
      </c>
      <c r="BC199">
        <v>5254</v>
      </c>
      <c r="BD199" t="s">
        <v>74</v>
      </c>
      <c r="BE199" t="s">
        <v>3916</v>
      </c>
      <c r="BF199" t="str">
        <f>HYPERLINK("http://dx.doi.org/10.5194/tc-17-5241-2023","http://dx.doi.org/10.5194/tc-17-5241-2023")</f>
        <v>http://dx.doi.org/10.5194/tc-17-5241-2023</v>
      </c>
      <c r="BG199" t="s">
        <v>74</v>
      </c>
      <c r="BH199" t="s">
        <v>74</v>
      </c>
      <c r="BI199">
        <v>14</v>
      </c>
      <c r="BJ199" t="s">
        <v>984</v>
      </c>
      <c r="BK199" t="s">
        <v>100</v>
      </c>
      <c r="BL199" t="s">
        <v>985</v>
      </c>
      <c r="BM199" t="s">
        <v>3917</v>
      </c>
      <c r="BN199" t="s">
        <v>74</v>
      </c>
      <c r="BO199" t="s">
        <v>183</v>
      </c>
      <c r="BP199" t="s">
        <v>74</v>
      </c>
      <c r="BQ199" t="s">
        <v>74</v>
      </c>
      <c r="BR199" t="s">
        <v>104</v>
      </c>
      <c r="BS199" t="s">
        <v>3918</v>
      </c>
      <c r="BT199" t="str">
        <f>HYPERLINK("https%3A%2F%2Fwww.webofscience.com%2Fwos%2Fwoscc%2Ffull-record%2FWOS:001168822500001","View Full Record in Web of Science")</f>
        <v>View Full Record in Web of Science</v>
      </c>
    </row>
    <row r="200" spans="1:72" x14ac:dyDescent="0.15">
      <c r="A200" t="s">
        <v>72</v>
      </c>
      <c r="B200" t="s">
        <v>3919</v>
      </c>
      <c r="C200" t="s">
        <v>74</v>
      </c>
      <c r="D200" t="s">
        <v>74</v>
      </c>
      <c r="E200" t="s">
        <v>74</v>
      </c>
      <c r="F200" t="s">
        <v>3920</v>
      </c>
      <c r="G200" t="s">
        <v>74</v>
      </c>
      <c r="H200" t="s">
        <v>74</v>
      </c>
      <c r="I200" t="s">
        <v>3921</v>
      </c>
      <c r="J200" t="s">
        <v>3922</v>
      </c>
      <c r="K200" t="s">
        <v>74</v>
      </c>
      <c r="L200" t="s">
        <v>74</v>
      </c>
      <c r="M200" t="s">
        <v>78</v>
      </c>
      <c r="N200" t="s">
        <v>79</v>
      </c>
      <c r="O200" t="s">
        <v>74</v>
      </c>
      <c r="P200" t="s">
        <v>74</v>
      </c>
      <c r="Q200" t="s">
        <v>74</v>
      </c>
      <c r="R200" t="s">
        <v>74</v>
      </c>
      <c r="S200" t="s">
        <v>74</v>
      </c>
      <c r="T200" t="s">
        <v>3923</v>
      </c>
      <c r="U200" t="s">
        <v>3924</v>
      </c>
      <c r="V200" t="s">
        <v>3925</v>
      </c>
      <c r="W200" t="s">
        <v>3926</v>
      </c>
      <c r="X200" t="s">
        <v>3927</v>
      </c>
      <c r="Y200" t="s">
        <v>3928</v>
      </c>
      <c r="Z200" t="s">
        <v>3929</v>
      </c>
      <c r="AA200" t="s">
        <v>74</v>
      </c>
      <c r="AB200" t="s">
        <v>3930</v>
      </c>
      <c r="AC200" t="s">
        <v>74</v>
      </c>
      <c r="AD200" t="s">
        <v>74</v>
      </c>
      <c r="AE200" t="s">
        <v>74</v>
      </c>
      <c r="AF200" t="s">
        <v>74</v>
      </c>
      <c r="AG200">
        <v>40</v>
      </c>
      <c r="AH200">
        <v>0</v>
      </c>
      <c r="AI200">
        <v>0</v>
      </c>
      <c r="AJ200">
        <v>2</v>
      </c>
      <c r="AK200">
        <v>2</v>
      </c>
      <c r="AL200" t="s">
        <v>1880</v>
      </c>
      <c r="AM200" t="s">
        <v>1881</v>
      </c>
      <c r="AN200" t="s">
        <v>1882</v>
      </c>
      <c r="AO200" t="s">
        <v>3931</v>
      </c>
      <c r="AP200" t="s">
        <v>3932</v>
      </c>
      <c r="AQ200" t="s">
        <v>74</v>
      </c>
      <c r="AR200" t="s">
        <v>3933</v>
      </c>
      <c r="AS200" t="s">
        <v>3934</v>
      </c>
      <c r="AT200" t="s">
        <v>3880</v>
      </c>
      <c r="AU200">
        <v>2023</v>
      </c>
      <c r="AV200">
        <v>11</v>
      </c>
      <c r="AW200" t="s">
        <v>74</v>
      </c>
      <c r="AX200" t="s">
        <v>74</v>
      </c>
      <c r="AY200" t="s">
        <v>74</v>
      </c>
      <c r="AZ200" t="s">
        <v>74</v>
      </c>
      <c r="BA200" t="s">
        <v>74</v>
      </c>
      <c r="BB200" t="s">
        <v>74</v>
      </c>
      <c r="BC200" t="s">
        <v>74</v>
      </c>
      <c r="BD200" t="s">
        <v>3935</v>
      </c>
      <c r="BE200" t="s">
        <v>3936</v>
      </c>
      <c r="BF200" t="str">
        <f>HYPERLINK("http://dx.doi.org/10.3897/BDJ.11.e114729","http://dx.doi.org/10.3897/BDJ.11.e114729")</f>
        <v>http://dx.doi.org/10.3897/BDJ.11.e114729</v>
      </c>
      <c r="BG200" t="s">
        <v>74</v>
      </c>
      <c r="BH200" t="s">
        <v>74</v>
      </c>
      <c r="BI200">
        <v>21</v>
      </c>
      <c r="BJ200" t="s">
        <v>1615</v>
      </c>
      <c r="BK200" t="s">
        <v>100</v>
      </c>
      <c r="BL200" t="s">
        <v>1616</v>
      </c>
      <c r="BM200" t="s">
        <v>3937</v>
      </c>
      <c r="BN200">
        <v>38116475</v>
      </c>
      <c r="BO200" t="s">
        <v>200</v>
      </c>
      <c r="BP200" t="s">
        <v>74</v>
      </c>
      <c r="BQ200" t="s">
        <v>74</v>
      </c>
      <c r="BR200" t="s">
        <v>104</v>
      </c>
      <c r="BS200" t="s">
        <v>3938</v>
      </c>
      <c r="BT200" t="str">
        <f>HYPERLINK("https%3A%2F%2Fwww.webofscience.com%2Fwos%2Fwoscc%2Ffull-record%2FWOS:001144545400001","View Full Record in Web of Science")</f>
        <v>View Full Record in Web of Science</v>
      </c>
    </row>
    <row r="201" spans="1:72" x14ac:dyDescent="0.15">
      <c r="A201" t="s">
        <v>72</v>
      </c>
      <c r="B201" t="s">
        <v>3939</v>
      </c>
      <c r="C201" t="s">
        <v>74</v>
      </c>
      <c r="D201" t="s">
        <v>74</v>
      </c>
      <c r="E201" t="s">
        <v>74</v>
      </c>
      <c r="F201" t="s">
        <v>3940</v>
      </c>
      <c r="G201" t="s">
        <v>74</v>
      </c>
      <c r="H201" t="s">
        <v>74</v>
      </c>
      <c r="I201" t="s">
        <v>3941</v>
      </c>
      <c r="J201" t="s">
        <v>3942</v>
      </c>
      <c r="K201" t="s">
        <v>74</v>
      </c>
      <c r="L201" t="s">
        <v>74</v>
      </c>
      <c r="M201" t="s">
        <v>78</v>
      </c>
      <c r="N201" t="s">
        <v>79</v>
      </c>
      <c r="O201" t="s">
        <v>74</v>
      </c>
      <c r="P201" t="s">
        <v>74</v>
      </c>
      <c r="Q201" t="s">
        <v>74</v>
      </c>
      <c r="R201" t="s">
        <v>74</v>
      </c>
      <c r="S201" t="s">
        <v>74</v>
      </c>
      <c r="T201" t="s">
        <v>3943</v>
      </c>
      <c r="U201" t="s">
        <v>3944</v>
      </c>
      <c r="V201" t="s">
        <v>3945</v>
      </c>
      <c r="W201" t="s">
        <v>3946</v>
      </c>
      <c r="X201" t="s">
        <v>3947</v>
      </c>
      <c r="Y201" t="s">
        <v>3948</v>
      </c>
      <c r="Z201" t="s">
        <v>3949</v>
      </c>
      <c r="AA201" t="s">
        <v>3950</v>
      </c>
      <c r="AB201" t="s">
        <v>3951</v>
      </c>
      <c r="AC201" t="s">
        <v>3952</v>
      </c>
      <c r="AD201" t="s">
        <v>3953</v>
      </c>
      <c r="AE201" t="s">
        <v>3954</v>
      </c>
      <c r="AF201" t="s">
        <v>74</v>
      </c>
      <c r="AG201">
        <v>118</v>
      </c>
      <c r="AH201">
        <v>0</v>
      </c>
      <c r="AI201">
        <v>0</v>
      </c>
      <c r="AJ201">
        <v>10</v>
      </c>
      <c r="AK201">
        <v>10</v>
      </c>
      <c r="AL201" t="s">
        <v>1101</v>
      </c>
      <c r="AM201" t="s">
        <v>1102</v>
      </c>
      <c r="AN201" t="s">
        <v>1103</v>
      </c>
      <c r="AO201" t="s">
        <v>3955</v>
      </c>
      <c r="AP201" t="s">
        <v>3956</v>
      </c>
      <c r="AQ201" t="s">
        <v>74</v>
      </c>
      <c r="AR201" t="s">
        <v>3957</v>
      </c>
      <c r="AS201" t="s">
        <v>3958</v>
      </c>
      <c r="AT201" t="s">
        <v>1108</v>
      </c>
      <c r="AU201">
        <v>2024</v>
      </c>
      <c r="AV201">
        <v>51</v>
      </c>
      <c r="AW201">
        <v>4</v>
      </c>
      <c r="AX201" t="s">
        <v>74</v>
      </c>
      <c r="AY201" t="s">
        <v>74</v>
      </c>
      <c r="AZ201" t="s">
        <v>74</v>
      </c>
      <c r="BA201" t="s">
        <v>74</v>
      </c>
      <c r="BB201">
        <v>632</v>
      </c>
      <c r="BC201">
        <v>648</v>
      </c>
      <c r="BD201" t="s">
        <v>74</v>
      </c>
      <c r="BE201" t="s">
        <v>3959</v>
      </c>
      <c r="BF201" t="str">
        <f>HYPERLINK("http://dx.doi.org/10.1111/jbi.14774","http://dx.doi.org/10.1111/jbi.14774")</f>
        <v>http://dx.doi.org/10.1111/jbi.14774</v>
      </c>
      <c r="BG201" t="s">
        <v>74</v>
      </c>
      <c r="BH201" t="s">
        <v>98</v>
      </c>
      <c r="BI201">
        <v>17</v>
      </c>
      <c r="BJ201" t="s">
        <v>3960</v>
      </c>
      <c r="BK201" t="s">
        <v>100</v>
      </c>
      <c r="BL201" t="s">
        <v>129</v>
      </c>
      <c r="BM201" t="s">
        <v>3961</v>
      </c>
      <c r="BN201" t="s">
        <v>74</v>
      </c>
      <c r="BO201" t="s">
        <v>322</v>
      </c>
      <c r="BP201" t="s">
        <v>74</v>
      </c>
      <c r="BQ201" t="s">
        <v>74</v>
      </c>
      <c r="BR201" t="s">
        <v>104</v>
      </c>
      <c r="BS201" t="s">
        <v>3962</v>
      </c>
      <c r="BT201" t="str">
        <f>HYPERLINK("https%3A%2F%2Fwww.webofscience.com%2Fwos%2Fwoscc%2Ffull-record%2FWOS:001121792300001","View Full Record in Web of Science")</f>
        <v>View Full Record in Web of Science</v>
      </c>
    </row>
    <row r="202" spans="1:72" x14ac:dyDescent="0.15">
      <c r="A202" t="s">
        <v>72</v>
      </c>
      <c r="B202" t="s">
        <v>3963</v>
      </c>
      <c r="C202" t="s">
        <v>74</v>
      </c>
      <c r="D202" t="s">
        <v>74</v>
      </c>
      <c r="E202" t="s">
        <v>74</v>
      </c>
      <c r="F202" t="s">
        <v>3964</v>
      </c>
      <c r="G202" t="s">
        <v>74</v>
      </c>
      <c r="H202" t="s">
        <v>74</v>
      </c>
      <c r="I202" t="s">
        <v>3965</v>
      </c>
      <c r="J202" t="s">
        <v>3966</v>
      </c>
      <c r="K202" t="s">
        <v>74</v>
      </c>
      <c r="L202" t="s">
        <v>74</v>
      </c>
      <c r="M202" t="s">
        <v>78</v>
      </c>
      <c r="N202" t="s">
        <v>79</v>
      </c>
      <c r="O202" t="s">
        <v>74</v>
      </c>
      <c r="P202" t="s">
        <v>74</v>
      </c>
      <c r="Q202" t="s">
        <v>74</v>
      </c>
      <c r="R202" t="s">
        <v>74</v>
      </c>
      <c r="S202" t="s">
        <v>74</v>
      </c>
      <c r="T202" t="s">
        <v>3967</v>
      </c>
      <c r="U202" t="s">
        <v>3968</v>
      </c>
      <c r="V202" t="s">
        <v>3969</v>
      </c>
      <c r="W202" t="s">
        <v>3970</v>
      </c>
      <c r="X202" t="s">
        <v>3971</v>
      </c>
      <c r="Y202" t="s">
        <v>3972</v>
      </c>
      <c r="Z202" t="s">
        <v>3973</v>
      </c>
      <c r="AA202" t="s">
        <v>378</v>
      </c>
      <c r="AB202" t="s">
        <v>3974</v>
      </c>
      <c r="AC202" t="s">
        <v>3975</v>
      </c>
      <c r="AD202" t="s">
        <v>3976</v>
      </c>
      <c r="AE202" t="s">
        <v>3977</v>
      </c>
      <c r="AF202" t="s">
        <v>74</v>
      </c>
      <c r="AG202">
        <v>35</v>
      </c>
      <c r="AH202">
        <v>0</v>
      </c>
      <c r="AI202">
        <v>0</v>
      </c>
      <c r="AJ202">
        <v>5</v>
      </c>
      <c r="AK202">
        <v>5</v>
      </c>
      <c r="AL202" t="s">
        <v>947</v>
      </c>
      <c r="AM202" t="s">
        <v>948</v>
      </c>
      <c r="AN202" t="s">
        <v>949</v>
      </c>
      <c r="AO202" t="s">
        <v>3978</v>
      </c>
      <c r="AP202" t="s">
        <v>3979</v>
      </c>
      <c r="AQ202" t="s">
        <v>74</v>
      </c>
      <c r="AR202" t="s">
        <v>3980</v>
      </c>
      <c r="AS202" t="s">
        <v>3981</v>
      </c>
      <c r="AT202" t="s">
        <v>1947</v>
      </c>
      <c r="AU202">
        <v>2023</v>
      </c>
      <c r="AV202">
        <v>125</v>
      </c>
      <c r="AW202" t="s">
        <v>74</v>
      </c>
      <c r="AX202" t="s">
        <v>74</v>
      </c>
      <c r="AY202" t="s">
        <v>74</v>
      </c>
      <c r="AZ202" t="s">
        <v>74</v>
      </c>
      <c r="BA202" t="s">
        <v>74</v>
      </c>
      <c r="BB202" t="s">
        <v>74</v>
      </c>
      <c r="BC202" t="s">
        <v>74</v>
      </c>
      <c r="BD202">
        <v>103600</v>
      </c>
      <c r="BE202" t="s">
        <v>3982</v>
      </c>
      <c r="BF202" t="str">
        <f>HYPERLINK("http://dx.doi.org/10.1016/j.jag.2023.103600","http://dx.doi.org/10.1016/j.jag.2023.103600")</f>
        <v>http://dx.doi.org/10.1016/j.jag.2023.103600</v>
      </c>
      <c r="BG202" t="s">
        <v>74</v>
      </c>
      <c r="BH202" t="s">
        <v>98</v>
      </c>
      <c r="BI202">
        <v>14</v>
      </c>
      <c r="BJ202" t="s">
        <v>3983</v>
      </c>
      <c r="BK202" t="s">
        <v>100</v>
      </c>
      <c r="BL202" t="s">
        <v>3983</v>
      </c>
      <c r="BM202" t="s">
        <v>3984</v>
      </c>
      <c r="BN202" t="s">
        <v>74</v>
      </c>
      <c r="BO202" t="s">
        <v>131</v>
      </c>
      <c r="BP202" t="s">
        <v>74</v>
      </c>
      <c r="BQ202" t="s">
        <v>74</v>
      </c>
      <c r="BR202" t="s">
        <v>104</v>
      </c>
      <c r="BS202" t="s">
        <v>3985</v>
      </c>
      <c r="BT202" t="str">
        <f>HYPERLINK("https%3A%2F%2Fwww.webofscience.com%2Fwos%2Fwoscc%2Ffull-record%2FWOS:001136209300001","View Full Record in Web of Science")</f>
        <v>View Full Record in Web of Science</v>
      </c>
    </row>
    <row r="203" spans="1:72" x14ac:dyDescent="0.15">
      <c r="A203" t="s">
        <v>72</v>
      </c>
      <c r="B203" t="s">
        <v>3986</v>
      </c>
      <c r="C203" t="s">
        <v>74</v>
      </c>
      <c r="D203" t="s">
        <v>74</v>
      </c>
      <c r="E203" t="s">
        <v>74</v>
      </c>
      <c r="F203" t="s">
        <v>3987</v>
      </c>
      <c r="G203" t="s">
        <v>74</v>
      </c>
      <c r="H203" t="s">
        <v>74</v>
      </c>
      <c r="I203" t="s">
        <v>3988</v>
      </c>
      <c r="J203" t="s">
        <v>3989</v>
      </c>
      <c r="K203" t="s">
        <v>74</v>
      </c>
      <c r="L203" t="s">
        <v>74</v>
      </c>
      <c r="M203" t="s">
        <v>78</v>
      </c>
      <c r="N203" t="s">
        <v>441</v>
      </c>
      <c r="O203" t="s">
        <v>74</v>
      </c>
      <c r="P203" t="s">
        <v>74</v>
      </c>
      <c r="Q203" t="s">
        <v>74</v>
      </c>
      <c r="R203" t="s">
        <v>74</v>
      </c>
      <c r="S203" t="s">
        <v>74</v>
      </c>
      <c r="T203" t="s">
        <v>3990</v>
      </c>
      <c r="U203" t="s">
        <v>3991</v>
      </c>
      <c r="V203" t="s">
        <v>3992</v>
      </c>
      <c r="W203" t="s">
        <v>3993</v>
      </c>
      <c r="X203" t="s">
        <v>3994</v>
      </c>
      <c r="Y203" t="s">
        <v>3995</v>
      </c>
      <c r="Z203" t="s">
        <v>3996</v>
      </c>
      <c r="AA203" t="s">
        <v>74</v>
      </c>
      <c r="AB203" t="s">
        <v>74</v>
      </c>
      <c r="AC203" t="s">
        <v>3997</v>
      </c>
      <c r="AD203" t="s">
        <v>3998</v>
      </c>
      <c r="AE203" t="s">
        <v>3999</v>
      </c>
      <c r="AF203" t="s">
        <v>74</v>
      </c>
      <c r="AG203">
        <v>106</v>
      </c>
      <c r="AH203">
        <v>1</v>
      </c>
      <c r="AI203">
        <v>1</v>
      </c>
      <c r="AJ203">
        <v>3</v>
      </c>
      <c r="AK203">
        <v>3</v>
      </c>
      <c r="AL203" t="s">
        <v>1560</v>
      </c>
      <c r="AM203" t="s">
        <v>976</v>
      </c>
      <c r="AN203" t="s">
        <v>1561</v>
      </c>
      <c r="AO203" t="s">
        <v>4000</v>
      </c>
      <c r="AP203" t="s">
        <v>4001</v>
      </c>
      <c r="AQ203" t="s">
        <v>74</v>
      </c>
      <c r="AR203" t="s">
        <v>4002</v>
      </c>
      <c r="AS203" t="s">
        <v>4003</v>
      </c>
      <c r="AT203" t="s">
        <v>4004</v>
      </c>
      <c r="AU203">
        <v>2024</v>
      </c>
      <c r="AV203">
        <v>133</v>
      </c>
      <c r="AW203">
        <v>1</v>
      </c>
      <c r="AX203" t="s">
        <v>74</v>
      </c>
      <c r="AY203" t="s">
        <v>74</v>
      </c>
      <c r="AZ203" t="s">
        <v>4005</v>
      </c>
      <c r="BA203" t="s">
        <v>74</v>
      </c>
      <c r="BB203">
        <v>131</v>
      </c>
      <c r="BC203">
        <v>144</v>
      </c>
      <c r="BD203" t="s">
        <v>74</v>
      </c>
      <c r="BE203" t="s">
        <v>4006</v>
      </c>
      <c r="BF203" t="str">
        <f>HYPERLINK("http://dx.doi.org/10.1093/aob/mcad187","http://dx.doi.org/10.1093/aob/mcad187")</f>
        <v>http://dx.doi.org/10.1093/aob/mcad187</v>
      </c>
      <c r="BG203" t="s">
        <v>74</v>
      </c>
      <c r="BH203" t="s">
        <v>98</v>
      </c>
      <c r="BI203">
        <v>14</v>
      </c>
      <c r="BJ203" t="s">
        <v>1887</v>
      </c>
      <c r="BK203" t="s">
        <v>100</v>
      </c>
      <c r="BL203" t="s">
        <v>1887</v>
      </c>
      <c r="BM203" t="s">
        <v>4007</v>
      </c>
      <c r="BN203">
        <v>38079203</v>
      </c>
      <c r="BO203" t="s">
        <v>1794</v>
      </c>
      <c r="BP203" t="s">
        <v>74</v>
      </c>
      <c r="BQ203" t="s">
        <v>74</v>
      </c>
      <c r="BR203" t="s">
        <v>104</v>
      </c>
      <c r="BS203" t="s">
        <v>4008</v>
      </c>
      <c r="BT203" t="str">
        <f>HYPERLINK("https%3A%2F%2Fwww.webofscience.com%2Fwos%2Fwoscc%2Ffull-record%2FWOS:001129338500001","View Full Record in Web of Science")</f>
        <v>View Full Record in Web of Science</v>
      </c>
    </row>
    <row r="204" spans="1:72" x14ac:dyDescent="0.15">
      <c r="A204" t="s">
        <v>72</v>
      </c>
      <c r="B204" t="s">
        <v>4009</v>
      </c>
      <c r="C204" t="s">
        <v>74</v>
      </c>
      <c r="D204" t="s">
        <v>74</v>
      </c>
      <c r="E204" t="s">
        <v>74</v>
      </c>
      <c r="F204" t="s">
        <v>4010</v>
      </c>
      <c r="G204" t="s">
        <v>74</v>
      </c>
      <c r="H204" t="s">
        <v>74</v>
      </c>
      <c r="I204" t="s">
        <v>4011</v>
      </c>
      <c r="J204" t="s">
        <v>4012</v>
      </c>
      <c r="K204" t="s">
        <v>74</v>
      </c>
      <c r="L204" t="s">
        <v>74</v>
      </c>
      <c r="M204" t="s">
        <v>78</v>
      </c>
      <c r="N204" t="s">
        <v>79</v>
      </c>
      <c r="O204" t="s">
        <v>74</v>
      </c>
      <c r="P204" t="s">
        <v>74</v>
      </c>
      <c r="Q204" t="s">
        <v>74</v>
      </c>
      <c r="R204" t="s">
        <v>74</v>
      </c>
      <c r="S204" t="s">
        <v>74</v>
      </c>
      <c r="T204" t="s">
        <v>4013</v>
      </c>
      <c r="U204" t="s">
        <v>4014</v>
      </c>
      <c r="V204" t="s">
        <v>4015</v>
      </c>
      <c r="W204" t="s">
        <v>4016</v>
      </c>
      <c r="X204" t="s">
        <v>4017</v>
      </c>
      <c r="Y204" t="s">
        <v>4018</v>
      </c>
      <c r="Z204" t="s">
        <v>4019</v>
      </c>
      <c r="AA204" t="s">
        <v>4020</v>
      </c>
      <c r="AB204" t="s">
        <v>4021</v>
      </c>
      <c r="AC204" t="s">
        <v>4022</v>
      </c>
      <c r="AD204" t="s">
        <v>4023</v>
      </c>
      <c r="AE204" t="s">
        <v>4024</v>
      </c>
      <c r="AF204" t="s">
        <v>74</v>
      </c>
      <c r="AG204">
        <v>46</v>
      </c>
      <c r="AH204">
        <v>0</v>
      </c>
      <c r="AI204">
        <v>0</v>
      </c>
      <c r="AJ204">
        <v>4</v>
      </c>
      <c r="AK204">
        <v>4</v>
      </c>
      <c r="AL204" t="s">
        <v>947</v>
      </c>
      <c r="AM204" t="s">
        <v>948</v>
      </c>
      <c r="AN204" t="s">
        <v>949</v>
      </c>
      <c r="AO204" t="s">
        <v>4025</v>
      </c>
      <c r="AP204" t="s">
        <v>4026</v>
      </c>
      <c r="AQ204" t="s">
        <v>74</v>
      </c>
      <c r="AR204" t="s">
        <v>4027</v>
      </c>
      <c r="AS204" t="s">
        <v>4028</v>
      </c>
      <c r="AT204" t="s">
        <v>1082</v>
      </c>
      <c r="AU204">
        <v>2024</v>
      </c>
      <c r="AV204">
        <v>107</v>
      </c>
      <c r="AW204" t="s">
        <v>74</v>
      </c>
      <c r="AX204" t="s">
        <v>74</v>
      </c>
      <c r="AY204" t="s">
        <v>74</v>
      </c>
      <c r="AZ204" t="s">
        <v>74</v>
      </c>
      <c r="BA204" t="s">
        <v>74</v>
      </c>
      <c r="BB204" t="s">
        <v>74</v>
      </c>
      <c r="BC204" t="s">
        <v>74</v>
      </c>
      <c r="BD204">
        <v>102423</v>
      </c>
      <c r="BE204" t="s">
        <v>4029</v>
      </c>
      <c r="BF204" t="str">
        <f>HYPERLINK("http://dx.doi.org/10.1016/j.strusafe.2023.102423","http://dx.doi.org/10.1016/j.strusafe.2023.102423")</f>
        <v>http://dx.doi.org/10.1016/j.strusafe.2023.102423</v>
      </c>
      <c r="BG204" t="s">
        <v>74</v>
      </c>
      <c r="BH204" t="s">
        <v>98</v>
      </c>
      <c r="BI204">
        <v>20</v>
      </c>
      <c r="BJ204" t="s">
        <v>4030</v>
      </c>
      <c r="BK204" t="s">
        <v>100</v>
      </c>
      <c r="BL204" t="s">
        <v>4031</v>
      </c>
      <c r="BM204" t="s">
        <v>4032</v>
      </c>
      <c r="BN204" t="s">
        <v>74</v>
      </c>
      <c r="BO204" t="s">
        <v>103</v>
      </c>
      <c r="BP204" t="s">
        <v>74</v>
      </c>
      <c r="BQ204" t="s">
        <v>74</v>
      </c>
      <c r="BR204" t="s">
        <v>104</v>
      </c>
      <c r="BS204" t="s">
        <v>4033</v>
      </c>
      <c r="BT204" t="str">
        <f>HYPERLINK("https%3A%2F%2Fwww.webofscience.com%2Fwos%2Fwoscc%2Ffull-record%2FWOS:001139706200001","View Full Record in Web of Science")</f>
        <v>View Full Record in Web of Science</v>
      </c>
    </row>
    <row r="205" spans="1:72" x14ac:dyDescent="0.15">
      <c r="A205" t="s">
        <v>72</v>
      </c>
      <c r="B205" t="s">
        <v>4034</v>
      </c>
      <c r="C205" t="s">
        <v>74</v>
      </c>
      <c r="D205" t="s">
        <v>74</v>
      </c>
      <c r="E205" t="s">
        <v>74</v>
      </c>
      <c r="F205" t="s">
        <v>4035</v>
      </c>
      <c r="G205" t="s">
        <v>74</v>
      </c>
      <c r="H205" t="s">
        <v>74</v>
      </c>
      <c r="I205" t="s">
        <v>4036</v>
      </c>
      <c r="J205" t="s">
        <v>4037</v>
      </c>
      <c r="K205" t="s">
        <v>74</v>
      </c>
      <c r="L205" t="s">
        <v>74</v>
      </c>
      <c r="M205" t="s">
        <v>78</v>
      </c>
      <c r="N205" t="s">
        <v>79</v>
      </c>
      <c r="O205" t="s">
        <v>74</v>
      </c>
      <c r="P205" t="s">
        <v>74</v>
      </c>
      <c r="Q205" t="s">
        <v>74</v>
      </c>
      <c r="R205" t="s">
        <v>74</v>
      </c>
      <c r="S205" t="s">
        <v>74</v>
      </c>
      <c r="T205" t="s">
        <v>4038</v>
      </c>
      <c r="U205" t="s">
        <v>4039</v>
      </c>
      <c r="V205" t="s">
        <v>4040</v>
      </c>
      <c r="W205" t="s">
        <v>4041</v>
      </c>
      <c r="X205" t="s">
        <v>4042</v>
      </c>
      <c r="Y205" t="s">
        <v>4043</v>
      </c>
      <c r="Z205" t="s">
        <v>4044</v>
      </c>
      <c r="AA205" t="s">
        <v>4045</v>
      </c>
      <c r="AB205" t="s">
        <v>4046</v>
      </c>
      <c r="AC205" t="s">
        <v>4047</v>
      </c>
      <c r="AD205" t="s">
        <v>4048</v>
      </c>
      <c r="AE205" t="s">
        <v>4049</v>
      </c>
      <c r="AF205" t="s">
        <v>74</v>
      </c>
      <c r="AG205">
        <v>78</v>
      </c>
      <c r="AH205">
        <v>0</v>
      </c>
      <c r="AI205">
        <v>0</v>
      </c>
      <c r="AJ205">
        <v>2</v>
      </c>
      <c r="AK205">
        <v>2</v>
      </c>
      <c r="AL205" t="s">
        <v>947</v>
      </c>
      <c r="AM205" t="s">
        <v>948</v>
      </c>
      <c r="AN205" t="s">
        <v>949</v>
      </c>
      <c r="AO205" t="s">
        <v>4050</v>
      </c>
      <c r="AP205" t="s">
        <v>4051</v>
      </c>
      <c r="AQ205" t="s">
        <v>74</v>
      </c>
      <c r="AR205" t="s">
        <v>4052</v>
      </c>
      <c r="AS205" t="s">
        <v>4053</v>
      </c>
      <c r="AT205" t="s">
        <v>1082</v>
      </c>
      <c r="AU205">
        <v>2024</v>
      </c>
      <c r="AV205">
        <v>79</v>
      </c>
      <c r="AW205" t="s">
        <v>74</v>
      </c>
      <c r="AX205" t="s">
        <v>74</v>
      </c>
      <c r="AY205" t="s">
        <v>74</v>
      </c>
      <c r="AZ205" t="s">
        <v>74</v>
      </c>
      <c r="BA205" t="s">
        <v>74</v>
      </c>
      <c r="BB205" t="s">
        <v>74</v>
      </c>
      <c r="BC205" t="s">
        <v>74</v>
      </c>
      <c r="BD205">
        <v>102403</v>
      </c>
      <c r="BE205" t="s">
        <v>4054</v>
      </c>
      <c r="BF205" t="str">
        <f>HYPERLINK("http://dx.doi.org/10.1016/j.ecoinf.2023.102403","http://dx.doi.org/10.1016/j.ecoinf.2023.102403")</f>
        <v>http://dx.doi.org/10.1016/j.ecoinf.2023.102403</v>
      </c>
      <c r="BG205" t="s">
        <v>74</v>
      </c>
      <c r="BH205" t="s">
        <v>98</v>
      </c>
      <c r="BI205">
        <v>14</v>
      </c>
      <c r="BJ205" t="s">
        <v>3610</v>
      </c>
      <c r="BK205" t="s">
        <v>100</v>
      </c>
      <c r="BL205" t="s">
        <v>1011</v>
      </c>
      <c r="BM205" t="s">
        <v>4055</v>
      </c>
      <c r="BN205" t="s">
        <v>74</v>
      </c>
      <c r="BO205" t="s">
        <v>3040</v>
      </c>
      <c r="BP205" t="s">
        <v>74</v>
      </c>
      <c r="BQ205" t="s">
        <v>74</v>
      </c>
      <c r="BR205" t="s">
        <v>104</v>
      </c>
      <c r="BS205" t="s">
        <v>4056</v>
      </c>
      <c r="BT205" t="str">
        <f>HYPERLINK("https%3A%2F%2Fwww.webofscience.com%2Fwos%2Fwoscc%2Ffull-record%2FWOS:001141486000001","View Full Record in Web of Science")</f>
        <v>View Full Record in Web of Science</v>
      </c>
    </row>
    <row r="206" spans="1:72" x14ac:dyDescent="0.15">
      <c r="A206" t="s">
        <v>72</v>
      </c>
      <c r="B206" t="s">
        <v>4057</v>
      </c>
      <c r="C206" t="s">
        <v>74</v>
      </c>
      <c r="D206" t="s">
        <v>74</v>
      </c>
      <c r="E206" t="s">
        <v>74</v>
      </c>
      <c r="F206" t="s">
        <v>4058</v>
      </c>
      <c r="G206" t="s">
        <v>74</v>
      </c>
      <c r="H206" t="s">
        <v>74</v>
      </c>
      <c r="I206" t="s">
        <v>4059</v>
      </c>
      <c r="J206" t="s">
        <v>2711</v>
      </c>
      <c r="K206" t="s">
        <v>74</v>
      </c>
      <c r="L206" t="s">
        <v>74</v>
      </c>
      <c r="M206" t="s">
        <v>78</v>
      </c>
      <c r="N206" t="s">
        <v>79</v>
      </c>
      <c r="O206" t="s">
        <v>74</v>
      </c>
      <c r="P206" t="s">
        <v>74</v>
      </c>
      <c r="Q206" t="s">
        <v>74</v>
      </c>
      <c r="R206" t="s">
        <v>74</v>
      </c>
      <c r="S206" t="s">
        <v>74</v>
      </c>
      <c r="T206" t="s">
        <v>4060</v>
      </c>
      <c r="U206" t="s">
        <v>4061</v>
      </c>
      <c r="V206" t="s">
        <v>4062</v>
      </c>
      <c r="W206" t="s">
        <v>4063</v>
      </c>
      <c r="X206" t="s">
        <v>4064</v>
      </c>
      <c r="Y206" t="s">
        <v>4065</v>
      </c>
      <c r="Z206" t="s">
        <v>4066</v>
      </c>
      <c r="AA206" t="s">
        <v>4067</v>
      </c>
      <c r="AB206" t="s">
        <v>4068</v>
      </c>
      <c r="AC206" t="s">
        <v>4069</v>
      </c>
      <c r="AD206" t="s">
        <v>4070</v>
      </c>
      <c r="AE206" t="s">
        <v>4071</v>
      </c>
      <c r="AF206" t="s">
        <v>74</v>
      </c>
      <c r="AG206">
        <v>90</v>
      </c>
      <c r="AH206">
        <v>0</v>
      </c>
      <c r="AI206">
        <v>0</v>
      </c>
      <c r="AJ206">
        <v>7</v>
      </c>
      <c r="AK206">
        <v>7</v>
      </c>
      <c r="AL206" t="s">
        <v>947</v>
      </c>
      <c r="AM206" t="s">
        <v>948</v>
      </c>
      <c r="AN206" t="s">
        <v>949</v>
      </c>
      <c r="AO206" t="s">
        <v>2723</v>
      </c>
      <c r="AP206" t="s">
        <v>2724</v>
      </c>
      <c r="AQ206" t="s">
        <v>74</v>
      </c>
      <c r="AR206" t="s">
        <v>2725</v>
      </c>
      <c r="AS206" t="s">
        <v>2726</v>
      </c>
      <c r="AT206" t="s">
        <v>954</v>
      </c>
      <c r="AU206">
        <v>2024</v>
      </c>
      <c r="AV206">
        <v>467</v>
      </c>
      <c r="AW206" t="s">
        <v>74</v>
      </c>
      <c r="AX206" t="s">
        <v>74</v>
      </c>
      <c r="AY206" t="s">
        <v>74</v>
      </c>
      <c r="AZ206" t="s">
        <v>74</v>
      </c>
      <c r="BA206" t="s">
        <v>74</v>
      </c>
      <c r="BB206" t="s">
        <v>74</v>
      </c>
      <c r="BC206" t="s">
        <v>74</v>
      </c>
      <c r="BD206">
        <v>107189</v>
      </c>
      <c r="BE206" t="s">
        <v>4072</v>
      </c>
      <c r="BF206" t="str">
        <f>HYPERLINK("http://dx.doi.org/10.1016/j.margeo.2023.107189","http://dx.doi.org/10.1016/j.margeo.2023.107189")</f>
        <v>http://dx.doi.org/10.1016/j.margeo.2023.107189</v>
      </c>
      <c r="BG206" t="s">
        <v>74</v>
      </c>
      <c r="BH206" t="s">
        <v>98</v>
      </c>
      <c r="BI206">
        <v>18</v>
      </c>
      <c r="BJ206" t="s">
        <v>2728</v>
      </c>
      <c r="BK206" t="s">
        <v>100</v>
      </c>
      <c r="BL206" t="s">
        <v>2729</v>
      </c>
      <c r="BM206" t="s">
        <v>4073</v>
      </c>
      <c r="BN206" t="s">
        <v>74</v>
      </c>
      <c r="BO206" t="s">
        <v>103</v>
      </c>
      <c r="BP206" t="s">
        <v>74</v>
      </c>
      <c r="BQ206" t="s">
        <v>74</v>
      </c>
      <c r="BR206" t="s">
        <v>104</v>
      </c>
      <c r="BS206" t="s">
        <v>4074</v>
      </c>
      <c r="BT206" t="str">
        <f>HYPERLINK("https%3A%2F%2Fwww.webofscience.com%2Fwos%2Fwoscc%2Ffull-record%2FWOS:001134182600001","View Full Record in Web of Science")</f>
        <v>View Full Record in Web of Science</v>
      </c>
    </row>
    <row r="207" spans="1:72" x14ac:dyDescent="0.15">
      <c r="A207" t="s">
        <v>72</v>
      </c>
      <c r="B207" t="s">
        <v>4075</v>
      </c>
      <c r="C207" t="s">
        <v>74</v>
      </c>
      <c r="D207" t="s">
        <v>74</v>
      </c>
      <c r="E207" t="s">
        <v>74</v>
      </c>
      <c r="F207" t="s">
        <v>4076</v>
      </c>
      <c r="G207" t="s">
        <v>74</v>
      </c>
      <c r="H207" t="s">
        <v>4077</v>
      </c>
      <c r="I207" t="s">
        <v>4078</v>
      </c>
      <c r="J207" t="s">
        <v>1698</v>
      </c>
      <c r="K207" t="s">
        <v>74</v>
      </c>
      <c r="L207" t="s">
        <v>74</v>
      </c>
      <c r="M207" t="s">
        <v>78</v>
      </c>
      <c r="N207" t="s">
        <v>79</v>
      </c>
      <c r="O207" t="s">
        <v>74</v>
      </c>
      <c r="P207" t="s">
        <v>74</v>
      </c>
      <c r="Q207" t="s">
        <v>74</v>
      </c>
      <c r="R207" t="s">
        <v>74</v>
      </c>
      <c r="S207" t="s">
        <v>74</v>
      </c>
      <c r="T207" t="s">
        <v>74</v>
      </c>
      <c r="U207" t="s">
        <v>4079</v>
      </c>
      <c r="V207" t="s">
        <v>4080</v>
      </c>
      <c r="W207" t="s">
        <v>4081</v>
      </c>
      <c r="X207" t="s">
        <v>4082</v>
      </c>
      <c r="Y207" t="s">
        <v>4083</v>
      </c>
      <c r="Z207" t="s">
        <v>4084</v>
      </c>
      <c r="AA207" t="s">
        <v>4085</v>
      </c>
      <c r="AB207" t="s">
        <v>4086</v>
      </c>
      <c r="AC207" t="s">
        <v>74</v>
      </c>
      <c r="AD207" t="s">
        <v>74</v>
      </c>
      <c r="AE207" t="s">
        <v>74</v>
      </c>
      <c r="AF207" t="s">
        <v>74</v>
      </c>
      <c r="AG207">
        <v>117</v>
      </c>
      <c r="AH207">
        <v>3</v>
      </c>
      <c r="AI207">
        <v>3</v>
      </c>
      <c r="AJ207">
        <v>44</v>
      </c>
      <c r="AK207">
        <v>44</v>
      </c>
      <c r="AL207" t="s">
        <v>1710</v>
      </c>
      <c r="AM207" t="s">
        <v>1209</v>
      </c>
      <c r="AN207" t="s">
        <v>1711</v>
      </c>
      <c r="AO207" t="s">
        <v>1712</v>
      </c>
      <c r="AP207" t="s">
        <v>1713</v>
      </c>
      <c r="AQ207" t="s">
        <v>74</v>
      </c>
      <c r="AR207" t="s">
        <v>1698</v>
      </c>
      <c r="AS207" t="s">
        <v>1714</v>
      </c>
      <c r="AT207" t="s">
        <v>4087</v>
      </c>
      <c r="AU207">
        <v>2023</v>
      </c>
      <c r="AV207">
        <v>382</v>
      </c>
      <c r="AW207">
        <v>6675</v>
      </c>
      <c r="AX207" t="s">
        <v>74</v>
      </c>
      <c r="AY207" t="s">
        <v>74</v>
      </c>
      <c r="AZ207" t="s">
        <v>74</v>
      </c>
      <c r="BA207" t="s">
        <v>74</v>
      </c>
      <c r="BB207">
        <v>1136</v>
      </c>
      <c r="BC207" t="s">
        <v>4088</v>
      </c>
      <c r="BD207" t="s">
        <v>74</v>
      </c>
      <c r="BE207" t="s">
        <v>4089</v>
      </c>
      <c r="BF207" t="str">
        <f>HYPERLINK("http://dx.doi.org/10.1126/science.adi5177","http://dx.doi.org/10.1126/science.adi5177")</f>
        <v>http://dx.doi.org/10.1126/science.adi5177</v>
      </c>
      <c r="BG207" t="s">
        <v>74</v>
      </c>
      <c r="BH207" t="s">
        <v>74</v>
      </c>
      <c r="BI207">
        <v>11</v>
      </c>
      <c r="BJ207" t="s">
        <v>1035</v>
      </c>
      <c r="BK207" t="s">
        <v>100</v>
      </c>
      <c r="BL207" t="s">
        <v>1036</v>
      </c>
      <c r="BM207" t="s">
        <v>4090</v>
      </c>
      <c r="BN207">
        <v>38060645</v>
      </c>
      <c r="BO207" t="s">
        <v>4091</v>
      </c>
      <c r="BP207" t="s">
        <v>74</v>
      </c>
      <c r="BQ207" t="s">
        <v>74</v>
      </c>
      <c r="BR207" t="s">
        <v>104</v>
      </c>
      <c r="BS207" t="s">
        <v>4092</v>
      </c>
      <c r="BT207" t="str">
        <f>HYPERLINK("https%3A%2F%2Fwww.webofscience.com%2Fwos%2Fwoscc%2Ffull-record%2FWOS:001156091000001","View Full Record in Web of Science")</f>
        <v>View Full Record in Web of Science</v>
      </c>
    </row>
    <row r="208" spans="1:72" x14ac:dyDescent="0.15">
      <c r="A208" t="s">
        <v>72</v>
      </c>
      <c r="B208" t="s">
        <v>4093</v>
      </c>
      <c r="C208" t="s">
        <v>74</v>
      </c>
      <c r="D208" t="s">
        <v>74</v>
      </c>
      <c r="E208" t="s">
        <v>74</v>
      </c>
      <c r="F208" t="s">
        <v>4094</v>
      </c>
      <c r="G208" t="s">
        <v>74</v>
      </c>
      <c r="H208" t="s">
        <v>74</v>
      </c>
      <c r="I208" t="s">
        <v>4095</v>
      </c>
      <c r="J208" t="s">
        <v>2809</v>
      </c>
      <c r="K208" t="s">
        <v>74</v>
      </c>
      <c r="L208" t="s">
        <v>74</v>
      </c>
      <c r="M208" t="s">
        <v>78</v>
      </c>
      <c r="N208" t="s">
        <v>79</v>
      </c>
      <c r="O208" t="s">
        <v>74</v>
      </c>
      <c r="P208" t="s">
        <v>74</v>
      </c>
      <c r="Q208" t="s">
        <v>74</v>
      </c>
      <c r="R208" t="s">
        <v>74</v>
      </c>
      <c r="S208" t="s">
        <v>74</v>
      </c>
      <c r="T208" t="s">
        <v>74</v>
      </c>
      <c r="U208" t="s">
        <v>4096</v>
      </c>
      <c r="V208" t="s">
        <v>4097</v>
      </c>
      <c r="W208" t="s">
        <v>4098</v>
      </c>
      <c r="X208" t="s">
        <v>4099</v>
      </c>
      <c r="Y208" t="s">
        <v>4100</v>
      </c>
      <c r="Z208" t="s">
        <v>4101</v>
      </c>
      <c r="AA208" t="s">
        <v>4102</v>
      </c>
      <c r="AB208" t="s">
        <v>4103</v>
      </c>
      <c r="AC208" t="s">
        <v>4104</v>
      </c>
      <c r="AD208" t="s">
        <v>4105</v>
      </c>
      <c r="AE208" t="s">
        <v>4106</v>
      </c>
      <c r="AF208" t="s">
        <v>74</v>
      </c>
      <c r="AG208">
        <v>82</v>
      </c>
      <c r="AH208">
        <v>1</v>
      </c>
      <c r="AI208">
        <v>1</v>
      </c>
      <c r="AJ208">
        <v>1</v>
      </c>
      <c r="AK208">
        <v>1</v>
      </c>
      <c r="AL208" t="s">
        <v>1838</v>
      </c>
      <c r="AM208" t="s">
        <v>1839</v>
      </c>
      <c r="AN208" t="s">
        <v>1840</v>
      </c>
      <c r="AO208" t="s">
        <v>2818</v>
      </c>
      <c r="AP208" t="s">
        <v>2819</v>
      </c>
      <c r="AQ208" t="s">
        <v>74</v>
      </c>
      <c r="AR208" t="s">
        <v>2809</v>
      </c>
      <c r="AS208" t="s">
        <v>2820</v>
      </c>
      <c r="AT208" t="s">
        <v>4087</v>
      </c>
      <c r="AU208">
        <v>2023</v>
      </c>
      <c r="AV208">
        <v>17</v>
      </c>
      <c r="AW208">
        <v>12</v>
      </c>
      <c r="AX208" t="s">
        <v>74</v>
      </c>
      <c r="AY208" t="s">
        <v>74</v>
      </c>
      <c r="AZ208" t="s">
        <v>74</v>
      </c>
      <c r="BA208" t="s">
        <v>74</v>
      </c>
      <c r="BB208">
        <v>5219</v>
      </c>
      <c r="BC208">
        <v>5240</v>
      </c>
      <c r="BD208" t="s">
        <v>74</v>
      </c>
      <c r="BE208" t="s">
        <v>4107</v>
      </c>
      <c r="BF208" t="str">
        <f>HYPERLINK("http://dx.doi.org/10.5194/tc-17-5219-2023","http://dx.doi.org/10.5194/tc-17-5219-2023")</f>
        <v>http://dx.doi.org/10.5194/tc-17-5219-2023</v>
      </c>
      <c r="BG208" t="s">
        <v>74</v>
      </c>
      <c r="BH208" t="s">
        <v>74</v>
      </c>
      <c r="BI208">
        <v>22</v>
      </c>
      <c r="BJ208" t="s">
        <v>984</v>
      </c>
      <c r="BK208" t="s">
        <v>100</v>
      </c>
      <c r="BL208" t="s">
        <v>985</v>
      </c>
      <c r="BM208" t="s">
        <v>4108</v>
      </c>
      <c r="BN208" t="s">
        <v>74</v>
      </c>
      <c r="BO208" t="s">
        <v>131</v>
      </c>
      <c r="BP208" t="s">
        <v>74</v>
      </c>
      <c r="BQ208" t="s">
        <v>74</v>
      </c>
      <c r="BR208" t="s">
        <v>104</v>
      </c>
      <c r="BS208" t="s">
        <v>4109</v>
      </c>
      <c r="BT208" t="str">
        <f>HYPERLINK("https%3A%2F%2Fwww.webofscience.com%2Fwos%2Fwoscc%2Ffull-record%2FWOS:001168826100001","View Full Record in Web of Science")</f>
        <v>View Full Record in Web of Science</v>
      </c>
    </row>
    <row r="209" spans="1:72" x14ac:dyDescent="0.15">
      <c r="A209" t="s">
        <v>72</v>
      </c>
      <c r="B209" t="s">
        <v>4110</v>
      </c>
      <c r="C209" t="s">
        <v>74</v>
      </c>
      <c r="D209" t="s">
        <v>74</v>
      </c>
      <c r="E209" t="s">
        <v>74</v>
      </c>
      <c r="F209" t="s">
        <v>4111</v>
      </c>
      <c r="G209" t="s">
        <v>74</v>
      </c>
      <c r="H209" t="s">
        <v>74</v>
      </c>
      <c r="I209" t="s">
        <v>4112</v>
      </c>
      <c r="J209" t="s">
        <v>1826</v>
      </c>
      <c r="K209" t="s">
        <v>74</v>
      </c>
      <c r="L209" t="s">
        <v>74</v>
      </c>
      <c r="M209" t="s">
        <v>78</v>
      </c>
      <c r="N209" t="s">
        <v>79</v>
      </c>
      <c r="O209" t="s">
        <v>74</v>
      </c>
      <c r="P209" t="s">
        <v>74</v>
      </c>
      <c r="Q209" t="s">
        <v>74</v>
      </c>
      <c r="R209" t="s">
        <v>74</v>
      </c>
      <c r="S209" t="s">
        <v>74</v>
      </c>
      <c r="T209" t="s">
        <v>74</v>
      </c>
      <c r="U209" t="s">
        <v>4113</v>
      </c>
      <c r="V209" t="s">
        <v>4114</v>
      </c>
      <c r="W209" t="s">
        <v>4115</v>
      </c>
      <c r="X209" t="s">
        <v>4116</v>
      </c>
      <c r="Y209" t="s">
        <v>4117</v>
      </c>
      <c r="Z209" t="s">
        <v>4118</v>
      </c>
      <c r="AA209" t="s">
        <v>4119</v>
      </c>
      <c r="AB209" t="s">
        <v>4120</v>
      </c>
      <c r="AC209" t="s">
        <v>4121</v>
      </c>
      <c r="AD209" t="s">
        <v>4122</v>
      </c>
      <c r="AE209" t="s">
        <v>4123</v>
      </c>
      <c r="AF209" t="s">
        <v>74</v>
      </c>
      <c r="AG209">
        <v>36</v>
      </c>
      <c r="AH209">
        <v>0</v>
      </c>
      <c r="AI209">
        <v>0</v>
      </c>
      <c r="AJ209">
        <v>1</v>
      </c>
      <c r="AK209">
        <v>1</v>
      </c>
      <c r="AL209" t="s">
        <v>1838</v>
      </c>
      <c r="AM209" t="s">
        <v>1839</v>
      </c>
      <c r="AN209" t="s">
        <v>1840</v>
      </c>
      <c r="AO209" t="s">
        <v>1841</v>
      </c>
      <c r="AP209" t="s">
        <v>1842</v>
      </c>
      <c r="AQ209" t="s">
        <v>74</v>
      </c>
      <c r="AR209" t="s">
        <v>1843</v>
      </c>
      <c r="AS209" t="s">
        <v>1844</v>
      </c>
      <c r="AT209" t="s">
        <v>4087</v>
      </c>
      <c r="AU209">
        <v>2023</v>
      </c>
      <c r="AV209">
        <v>16</v>
      </c>
      <c r="AW209">
        <v>23</v>
      </c>
      <c r="AX209" t="s">
        <v>74</v>
      </c>
      <c r="AY209" t="s">
        <v>74</v>
      </c>
      <c r="AZ209" t="s">
        <v>74</v>
      </c>
      <c r="BA209" t="s">
        <v>74</v>
      </c>
      <c r="BB209">
        <v>7143</v>
      </c>
      <c r="BC209">
        <v>7170</v>
      </c>
      <c r="BD209" t="s">
        <v>74</v>
      </c>
      <c r="BE209" t="s">
        <v>4124</v>
      </c>
      <c r="BF209" t="str">
        <f>HYPERLINK("http://dx.doi.org/10.5194/gmd-16-7143-2023","http://dx.doi.org/10.5194/gmd-16-7143-2023")</f>
        <v>http://dx.doi.org/10.5194/gmd-16-7143-2023</v>
      </c>
      <c r="BG209" t="s">
        <v>74</v>
      </c>
      <c r="BH209" t="s">
        <v>74</v>
      </c>
      <c r="BI209">
        <v>28</v>
      </c>
      <c r="BJ209" t="s">
        <v>535</v>
      </c>
      <c r="BK209" t="s">
        <v>100</v>
      </c>
      <c r="BL209" t="s">
        <v>536</v>
      </c>
      <c r="BM209" t="s">
        <v>4125</v>
      </c>
      <c r="BN209" t="s">
        <v>74</v>
      </c>
      <c r="BO209" t="s">
        <v>349</v>
      </c>
      <c r="BP209" t="s">
        <v>74</v>
      </c>
      <c r="BQ209" t="s">
        <v>74</v>
      </c>
      <c r="BR209" t="s">
        <v>104</v>
      </c>
      <c r="BS209" t="s">
        <v>4126</v>
      </c>
      <c r="BT209" t="str">
        <f>HYPERLINK("https%3A%2F%2Fwww.webofscience.com%2Fwos%2Fwoscc%2Ffull-record%2FWOS:001168821800001","View Full Record in Web of Science")</f>
        <v>View Full Record in Web of Science</v>
      </c>
    </row>
    <row r="210" spans="1:72" x14ac:dyDescent="0.15">
      <c r="A210" t="s">
        <v>72</v>
      </c>
      <c r="B210" t="s">
        <v>4127</v>
      </c>
      <c r="C210" t="s">
        <v>74</v>
      </c>
      <c r="D210" t="s">
        <v>74</v>
      </c>
      <c r="E210" t="s">
        <v>74</v>
      </c>
      <c r="F210" t="s">
        <v>4128</v>
      </c>
      <c r="G210" t="s">
        <v>74</v>
      </c>
      <c r="H210" t="s">
        <v>74</v>
      </c>
      <c r="I210" t="s">
        <v>4129</v>
      </c>
      <c r="J210" t="s">
        <v>1746</v>
      </c>
      <c r="K210" t="s">
        <v>74</v>
      </c>
      <c r="L210" t="s">
        <v>74</v>
      </c>
      <c r="M210" t="s">
        <v>78</v>
      </c>
      <c r="N210" t="s">
        <v>441</v>
      </c>
      <c r="O210" t="s">
        <v>74</v>
      </c>
      <c r="P210" t="s">
        <v>74</v>
      </c>
      <c r="Q210" t="s">
        <v>74</v>
      </c>
      <c r="R210" t="s">
        <v>74</v>
      </c>
      <c r="S210" t="s">
        <v>74</v>
      </c>
      <c r="T210" t="s">
        <v>4130</v>
      </c>
      <c r="U210" t="s">
        <v>4131</v>
      </c>
      <c r="V210" t="s">
        <v>4132</v>
      </c>
      <c r="W210" t="s">
        <v>4133</v>
      </c>
      <c r="X210" t="s">
        <v>4134</v>
      </c>
      <c r="Y210" t="s">
        <v>4135</v>
      </c>
      <c r="Z210" t="s">
        <v>4136</v>
      </c>
      <c r="AA210" t="s">
        <v>4137</v>
      </c>
      <c r="AB210" t="s">
        <v>4138</v>
      </c>
      <c r="AC210" t="s">
        <v>4139</v>
      </c>
      <c r="AD210" t="s">
        <v>4140</v>
      </c>
      <c r="AE210" t="s">
        <v>4141</v>
      </c>
      <c r="AF210" t="s">
        <v>74</v>
      </c>
      <c r="AG210">
        <v>320</v>
      </c>
      <c r="AH210">
        <v>0</v>
      </c>
      <c r="AI210">
        <v>0</v>
      </c>
      <c r="AJ210">
        <v>14</v>
      </c>
      <c r="AK210">
        <v>14</v>
      </c>
      <c r="AL210" t="s">
        <v>1758</v>
      </c>
      <c r="AM210" t="s">
        <v>1759</v>
      </c>
      <c r="AN210" t="s">
        <v>1760</v>
      </c>
      <c r="AO210" t="s">
        <v>74</v>
      </c>
      <c r="AP210" t="s">
        <v>1761</v>
      </c>
      <c r="AQ210" t="s">
        <v>74</v>
      </c>
      <c r="AR210" t="s">
        <v>1762</v>
      </c>
      <c r="AS210" t="s">
        <v>1763</v>
      </c>
      <c r="AT210" t="s">
        <v>4087</v>
      </c>
      <c r="AU210">
        <v>2023</v>
      </c>
      <c r="AV210">
        <v>10</v>
      </c>
      <c r="AW210" t="s">
        <v>74</v>
      </c>
      <c r="AX210" t="s">
        <v>74</v>
      </c>
      <c r="AY210" t="s">
        <v>74</v>
      </c>
      <c r="AZ210" t="s">
        <v>74</v>
      </c>
      <c r="BA210" t="s">
        <v>74</v>
      </c>
      <c r="BB210" t="s">
        <v>74</v>
      </c>
      <c r="BC210" t="s">
        <v>74</v>
      </c>
      <c r="BD210">
        <v>1221701</v>
      </c>
      <c r="BE210" t="s">
        <v>4142</v>
      </c>
      <c r="BF210" t="str">
        <f>HYPERLINK("http://dx.doi.org/10.3389/fmars.2023.1221701","http://dx.doi.org/10.3389/fmars.2023.1221701")</f>
        <v>http://dx.doi.org/10.3389/fmars.2023.1221701</v>
      </c>
      <c r="BG210" t="s">
        <v>74</v>
      </c>
      <c r="BH210" t="s">
        <v>74</v>
      </c>
      <c r="BI210">
        <v>30</v>
      </c>
      <c r="BJ210" t="s">
        <v>1135</v>
      </c>
      <c r="BK210" t="s">
        <v>100</v>
      </c>
      <c r="BL210" t="s">
        <v>1136</v>
      </c>
      <c r="BM210" t="s">
        <v>4143</v>
      </c>
      <c r="BN210" t="s">
        <v>74</v>
      </c>
      <c r="BO210" t="s">
        <v>4144</v>
      </c>
      <c r="BP210" t="s">
        <v>74</v>
      </c>
      <c r="BQ210" t="s">
        <v>74</v>
      </c>
      <c r="BR210" t="s">
        <v>104</v>
      </c>
      <c r="BS210" t="s">
        <v>4145</v>
      </c>
      <c r="BT210" t="str">
        <f>HYPERLINK("https%3A%2F%2Fwww.webofscience.com%2Fwos%2Fwoscc%2Ffull-record%2FWOS:001129397500001","View Full Record in Web of Science")</f>
        <v>View Full Record in Web of Science</v>
      </c>
    </row>
    <row r="211" spans="1:72" x14ac:dyDescent="0.15">
      <c r="A211" t="s">
        <v>72</v>
      </c>
      <c r="B211" t="s">
        <v>4146</v>
      </c>
      <c r="C211" t="s">
        <v>74</v>
      </c>
      <c r="D211" t="s">
        <v>74</v>
      </c>
      <c r="E211" t="s">
        <v>74</v>
      </c>
      <c r="F211" t="s">
        <v>4147</v>
      </c>
      <c r="G211" t="s">
        <v>74</v>
      </c>
      <c r="H211" t="s">
        <v>74</v>
      </c>
      <c r="I211" t="s">
        <v>4148</v>
      </c>
      <c r="J211" t="s">
        <v>4149</v>
      </c>
      <c r="K211" t="s">
        <v>74</v>
      </c>
      <c r="L211" t="s">
        <v>74</v>
      </c>
      <c r="M211" t="s">
        <v>78</v>
      </c>
      <c r="N211" t="s">
        <v>79</v>
      </c>
      <c r="O211" t="s">
        <v>74</v>
      </c>
      <c r="P211" t="s">
        <v>74</v>
      </c>
      <c r="Q211" t="s">
        <v>74</v>
      </c>
      <c r="R211" t="s">
        <v>74</v>
      </c>
      <c r="S211" t="s">
        <v>74</v>
      </c>
      <c r="T211" t="s">
        <v>4150</v>
      </c>
      <c r="U211" t="s">
        <v>4151</v>
      </c>
      <c r="V211" t="s">
        <v>4152</v>
      </c>
      <c r="W211" t="s">
        <v>4153</v>
      </c>
      <c r="X211" t="s">
        <v>4154</v>
      </c>
      <c r="Y211" t="s">
        <v>4155</v>
      </c>
      <c r="Z211" t="s">
        <v>4156</v>
      </c>
      <c r="AA211" t="s">
        <v>4157</v>
      </c>
      <c r="AB211" t="s">
        <v>4158</v>
      </c>
      <c r="AC211" t="s">
        <v>4159</v>
      </c>
      <c r="AD211" t="s">
        <v>4160</v>
      </c>
      <c r="AE211" t="s">
        <v>4161</v>
      </c>
      <c r="AF211" t="s">
        <v>74</v>
      </c>
      <c r="AG211">
        <v>71</v>
      </c>
      <c r="AH211">
        <v>0</v>
      </c>
      <c r="AI211">
        <v>0</v>
      </c>
      <c r="AJ211">
        <v>0</v>
      </c>
      <c r="AK211">
        <v>0</v>
      </c>
      <c r="AL211" t="s">
        <v>4162</v>
      </c>
      <c r="AM211" t="s">
        <v>4163</v>
      </c>
      <c r="AN211" t="s">
        <v>4164</v>
      </c>
      <c r="AO211" t="s">
        <v>4165</v>
      </c>
      <c r="AP211" t="s">
        <v>74</v>
      </c>
      <c r="AQ211" t="s">
        <v>74</v>
      </c>
      <c r="AR211" t="s">
        <v>4166</v>
      </c>
      <c r="AS211" t="s">
        <v>4167</v>
      </c>
      <c r="AT211" t="s">
        <v>1947</v>
      </c>
      <c r="AU211">
        <v>2023</v>
      </c>
      <c r="AV211">
        <v>81</v>
      </c>
      <c r="AW211" t="s">
        <v>74</v>
      </c>
      <c r="AX211" t="s">
        <v>74</v>
      </c>
      <c r="AY211" t="s">
        <v>74</v>
      </c>
      <c r="AZ211" t="s">
        <v>74</v>
      </c>
      <c r="BA211" t="s">
        <v>74</v>
      </c>
      <c r="BB211" t="s">
        <v>74</v>
      </c>
      <c r="BC211" t="s">
        <v>74</v>
      </c>
      <c r="BD211">
        <v>100739</v>
      </c>
      <c r="BE211" t="s">
        <v>4168</v>
      </c>
      <c r="BF211" t="str">
        <f>HYPERLINK("http://dx.doi.org/10.1016/j.revmic.2023.100739","http://dx.doi.org/10.1016/j.revmic.2023.100739")</f>
        <v>http://dx.doi.org/10.1016/j.revmic.2023.100739</v>
      </c>
      <c r="BG211" t="s">
        <v>74</v>
      </c>
      <c r="BH211" t="s">
        <v>98</v>
      </c>
      <c r="BI211">
        <v>10</v>
      </c>
      <c r="BJ211" t="s">
        <v>2844</v>
      </c>
      <c r="BK211" t="s">
        <v>912</v>
      </c>
      <c r="BL211" t="s">
        <v>2844</v>
      </c>
      <c r="BM211" t="s">
        <v>4169</v>
      </c>
      <c r="BN211" t="s">
        <v>74</v>
      </c>
      <c r="BO211" t="s">
        <v>74</v>
      </c>
      <c r="BP211" t="s">
        <v>74</v>
      </c>
      <c r="BQ211" t="s">
        <v>74</v>
      </c>
      <c r="BR211" t="s">
        <v>104</v>
      </c>
      <c r="BS211" t="s">
        <v>4170</v>
      </c>
      <c r="BT211" t="str">
        <f>HYPERLINK("https%3A%2F%2Fwww.webofscience.com%2Fwos%2Fwoscc%2Ffull-record%2FWOS:001134033000001","View Full Record in Web of Science")</f>
        <v>View Full Record in Web of Science</v>
      </c>
    </row>
    <row r="212" spans="1:72" x14ac:dyDescent="0.15">
      <c r="A212" t="s">
        <v>72</v>
      </c>
      <c r="B212" t="s">
        <v>4171</v>
      </c>
      <c r="C212" t="s">
        <v>74</v>
      </c>
      <c r="D212" t="s">
        <v>74</v>
      </c>
      <c r="E212" t="s">
        <v>74</v>
      </c>
      <c r="F212" t="s">
        <v>4172</v>
      </c>
      <c r="G212" t="s">
        <v>74</v>
      </c>
      <c r="H212" t="s">
        <v>74</v>
      </c>
      <c r="I212" t="s">
        <v>4173</v>
      </c>
      <c r="J212" t="s">
        <v>991</v>
      </c>
      <c r="K212" t="s">
        <v>74</v>
      </c>
      <c r="L212" t="s">
        <v>74</v>
      </c>
      <c r="M212" t="s">
        <v>78</v>
      </c>
      <c r="N212" t="s">
        <v>79</v>
      </c>
      <c r="O212" t="s">
        <v>74</v>
      </c>
      <c r="P212" t="s">
        <v>74</v>
      </c>
      <c r="Q212" t="s">
        <v>74</v>
      </c>
      <c r="R212" t="s">
        <v>74</v>
      </c>
      <c r="S212" t="s">
        <v>74</v>
      </c>
      <c r="T212" t="s">
        <v>4174</v>
      </c>
      <c r="U212" t="s">
        <v>4175</v>
      </c>
      <c r="V212" t="s">
        <v>4176</v>
      </c>
      <c r="W212" t="s">
        <v>4177</v>
      </c>
      <c r="X212" t="s">
        <v>4178</v>
      </c>
      <c r="Y212" t="s">
        <v>4179</v>
      </c>
      <c r="Z212" t="s">
        <v>4180</v>
      </c>
      <c r="AA212" t="s">
        <v>4181</v>
      </c>
      <c r="AB212" t="s">
        <v>74</v>
      </c>
      <c r="AC212" t="s">
        <v>4182</v>
      </c>
      <c r="AD212" t="s">
        <v>4182</v>
      </c>
      <c r="AE212" t="s">
        <v>4183</v>
      </c>
      <c r="AF212" t="s">
        <v>74</v>
      </c>
      <c r="AG212">
        <v>143</v>
      </c>
      <c r="AH212">
        <v>0</v>
      </c>
      <c r="AI212">
        <v>0</v>
      </c>
      <c r="AJ212">
        <v>11</v>
      </c>
      <c r="AK212">
        <v>11</v>
      </c>
      <c r="AL212" t="s">
        <v>947</v>
      </c>
      <c r="AM212" t="s">
        <v>948</v>
      </c>
      <c r="AN212" t="s">
        <v>949</v>
      </c>
      <c r="AO212" t="s">
        <v>1004</v>
      </c>
      <c r="AP212" t="s">
        <v>1005</v>
      </c>
      <c r="AQ212" t="s">
        <v>74</v>
      </c>
      <c r="AR212" t="s">
        <v>1006</v>
      </c>
      <c r="AS212" t="s">
        <v>1007</v>
      </c>
      <c r="AT212" t="s">
        <v>1008</v>
      </c>
      <c r="AU212">
        <v>2024</v>
      </c>
      <c r="AV212">
        <v>912</v>
      </c>
      <c r="AW212" t="s">
        <v>74</v>
      </c>
      <c r="AX212" t="s">
        <v>74</v>
      </c>
      <c r="AY212" t="s">
        <v>74</v>
      </c>
      <c r="AZ212" t="s">
        <v>74</v>
      </c>
      <c r="BA212" t="s">
        <v>74</v>
      </c>
      <c r="BB212" t="s">
        <v>74</v>
      </c>
      <c r="BC212" t="s">
        <v>74</v>
      </c>
      <c r="BD212">
        <v>169084</v>
      </c>
      <c r="BE212" t="s">
        <v>4184</v>
      </c>
      <c r="BF212" t="str">
        <f>HYPERLINK("http://dx.doi.org/10.1016/j.scitotenv.2023.169084","http://dx.doi.org/10.1016/j.scitotenv.2023.169084")</f>
        <v>http://dx.doi.org/10.1016/j.scitotenv.2023.169084</v>
      </c>
      <c r="BG212" t="s">
        <v>74</v>
      </c>
      <c r="BH212" t="s">
        <v>98</v>
      </c>
      <c r="BI212">
        <v>13</v>
      </c>
      <c r="BJ212" t="s">
        <v>1010</v>
      </c>
      <c r="BK212" t="s">
        <v>100</v>
      </c>
      <c r="BL212" t="s">
        <v>1011</v>
      </c>
      <c r="BM212" t="s">
        <v>4185</v>
      </c>
      <c r="BN212">
        <v>38056658</v>
      </c>
      <c r="BO212" t="s">
        <v>103</v>
      </c>
      <c r="BP212" t="s">
        <v>74</v>
      </c>
      <c r="BQ212" t="s">
        <v>74</v>
      </c>
      <c r="BR212" t="s">
        <v>104</v>
      </c>
      <c r="BS212" t="s">
        <v>4186</v>
      </c>
      <c r="BT212" t="str">
        <f>HYPERLINK("https%3A%2F%2Fwww.webofscience.com%2Fwos%2Fwoscc%2Ffull-record%2FWOS:001133911100001","View Full Record in Web of Science")</f>
        <v>View Full Record in Web of Science</v>
      </c>
    </row>
    <row r="213" spans="1:72" x14ac:dyDescent="0.15">
      <c r="A213" t="s">
        <v>72</v>
      </c>
      <c r="B213" t="s">
        <v>4187</v>
      </c>
      <c r="C213" t="s">
        <v>74</v>
      </c>
      <c r="D213" t="s">
        <v>74</v>
      </c>
      <c r="E213" t="s">
        <v>74</v>
      </c>
      <c r="F213" t="s">
        <v>4188</v>
      </c>
      <c r="G213" t="s">
        <v>74</v>
      </c>
      <c r="H213" t="s">
        <v>74</v>
      </c>
      <c r="I213" t="s">
        <v>4189</v>
      </c>
      <c r="J213" t="s">
        <v>4190</v>
      </c>
      <c r="K213" t="s">
        <v>74</v>
      </c>
      <c r="L213" t="s">
        <v>74</v>
      </c>
      <c r="M213" t="s">
        <v>78</v>
      </c>
      <c r="N213" t="s">
        <v>79</v>
      </c>
      <c r="O213" t="s">
        <v>74</v>
      </c>
      <c r="P213" t="s">
        <v>74</v>
      </c>
      <c r="Q213" t="s">
        <v>74</v>
      </c>
      <c r="R213" t="s">
        <v>74</v>
      </c>
      <c r="S213" t="s">
        <v>74</v>
      </c>
      <c r="T213" t="s">
        <v>4191</v>
      </c>
      <c r="U213" t="s">
        <v>4192</v>
      </c>
      <c r="V213" t="s">
        <v>4193</v>
      </c>
      <c r="W213" t="s">
        <v>4194</v>
      </c>
      <c r="X213" t="s">
        <v>4195</v>
      </c>
      <c r="Y213" t="s">
        <v>4196</v>
      </c>
      <c r="Z213" t="s">
        <v>4197</v>
      </c>
      <c r="AA213" t="s">
        <v>4198</v>
      </c>
      <c r="AB213" t="s">
        <v>4199</v>
      </c>
      <c r="AC213" t="s">
        <v>4200</v>
      </c>
      <c r="AD213" t="s">
        <v>4201</v>
      </c>
      <c r="AE213" t="s">
        <v>4202</v>
      </c>
      <c r="AF213" t="s">
        <v>74</v>
      </c>
      <c r="AG213">
        <v>111</v>
      </c>
      <c r="AH213">
        <v>0</v>
      </c>
      <c r="AI213">
        <v>0</v>
      </c>
      <c r="AJ213">
        <v>4</v>
      </c>
      <c r="AK213">
        <v>4</v>
      </c>
      <c r="AL213" t="s">
        <v>2884</v>
      </c>
      <c r="AM213" t="s">
        <v>2294</v>
      </c>
      <c r="AN213" t="s">
        <v>2885</v>
      </c>
      <c r="AO213" t="s">
        <v>4203</v>
      </c>
      <c r="AP213" t="s">
        <v>4204</v>
      </c>
      <c r="AQ213" t="s">
        <v>74</v>
      </c>
      <c r="AR213" t="s">
        <v>4205</v>
      </c>
      <c r="AS213" t="s">
        <v>4206</v>
      </c>
      <c r="AT213" t="s">
        <v>1133</v>
      </c>
      <c r="AU213">
        <v>2024</v>
      </c>
      <c r="AV213">
        <v>351</v>
      </c>
      <c r="AW213" t="s">
        <v>74</v>
      </c>
      <c r="AX213" t="s">
        <v>74</v>
      </c>
      <c r="AY213" t="s">
        <v>74</v>
      </c>
      <c r="AZ213" t="s">
        <v>74</v>
      </c>
      <c r="BA213" t="s">
        <v>74</v>
      </c>
      <c r="BB213" t="s">
        <v>74</v>
      </c>
      <c r="BC213" t="s">
        <v>74</v>
      </c>
      <c r="BD213">
        <v>119711</v>
      </c>
      <c r="BE213" t="s">
        <v>4207</v>
      </c>
      <c r="BF213" t="str">
        <f>HYPERLINK("http://dx.doi.org/10.1016/j.jenvman.2023.119711","http://dx.doi.org/10.1016/j.jenvman.2023.119711")</f>
        <v>http://dx.doi.org/10.1016/j.jenvman.2023.119711</v>
      </c>
      <c r="BG213" t="s">
        <v>74</v>
      </c>
      <c r="BH213" t="s">
        <v>98</v>
      </c>
      <c r="BI213">
        <v>12</v>
      </c>
      <c r="BJ213" t="s">
        <v>1010</v>
      </c>
      <c r="BK213" t="s">
        <v>100</v>
      </c>
      <c r="BL213" t="s">
        <v>1011</v>
      </c>
      <c r="BM213" t="s">
        <v>4208</v>
      </c>
      <c r="BN213">
        <v>38070424</v>
      </c>
      <c r="BO213" t="s">
        <v>103</v>
      </c>
      <c r="BP213" t="s">
        <v>74</v>
      </c>
      <c r="BQ213" t="s">
        <v>74</v>
      </c>
      <c r="BR213" t="s">
        <v>104</v>
      </c>
      <c r="BS213" t="s">
        <v>4209</v>
      </c>
      <c r="BT213" t="str">
        <f>HYPERLINK("https%3A%2F%2Fwww.webofscience.com%2Fwos%2Fwoscc%2Ffull-record%2FWOS:001133990000001","View Full Record in Web of Science")</f>
        <v>View Full Record in Web of Science</v>
      </c>
    </row>
    <row r="214" spans="1:72" x14ac:dyDescent="0.15">
      <c r="A214" t="s">
        <v>72</v>
      </c>
      <c r="B214" t="s">
        <v>4210</v>
      </c>
      <c r="C214" t="s">
        <v>74</v>
      </c>
      <c r="D214" t="s">
        <v>74</v>
      </c>
      <c r="E214" t="s">
        <v>74</v>
      </c>
      <c r="F214" t="s">
        <v>4211</v>
      </c>
      <c r="G214" t="s">
        <v>74</v>
      </c>
      <c r="H214" t="s">
        <v>74</v>
      </c>
      <c r="I214" t="s">
        <v>4212</v>
      </c>
      <c r="J214" t="s">
        <v>4213</v>
      </c>
      <c r="K214" t="s">
        <v>74</v>
      </c>
      <c r="L214" t="s">
        <v>74</v>
      </c>
      <c r="M214" t="s">
        <v>78</v>
      </c>
      <c r="N214" t="s">
        <v>79</v>
      </c>
      <c r="O214" t="s">
        <v>74</v>
      </c>
      <c r="P214" t="s">
        <v>74</v>
      </c>
      <c r="Q214" t="s">
        <v>74</v>
      </c>
      <c r="R214" t="s">
        <v>74</v>
      </c>
      <c r="S214" t="s">
        <v>74</v>
      </c>
      <c r="T214" t="s">
        <v>4214</v>
      </c>
      <c r="U214" t="s">
        <v>4215</v>
      </c>
      <c r="V214" t="s">
        <v>4216</v>
      </c>
      <c r="W214" t="s">
        <v>4217</v>
      </c>
      <c r="X214" t="s">
        <v>2773</v>
      </c>
      <c r="Y214" t="s">
        <v>4218</v>
      </c>
      <c r="Z214" t="s">
        <v>4219</v>
      </c>
      <c r="AA214" t="s">
        <v>4220</v>
      </c>
      <c r="AB214" t="s">
        <v>74</v>
      </c>
      <c r="AC214" t="s">
        <v>74</v>
      </c>
      <c r="AD214" t="s">
        <v>74</v>
      </c>
      <c r="AE214" t="s">
        <v>74</v>
      </c>
      <c r="AF214" t="s">
        <v>74</v>
      </c>
      <c r="AG214">
        <v>21</v>
      </c>
      <c r="AH214">
        <v>0</v>
      </c>
      <c r="AI214">
        <v>0</v>
      </c>
      <c r="AJ214">
        <v>1</v>
      </c>
      <c r="AK214">
        <v>1</v>
      </c>
      <c r="AL214" t="s">
        <v>89</v>
      </c>
      <c r="AM214" t="s">
        <v>90</v>
      </c>
      <c r="AN214" t="s">
        <v>91</v>
      </c>
      <c r="AO214" t="s">
        <v>4221</v>
      </c>
      <c r="AP214" t="s">
        <v>4222</v>
      </c>
      <c r="AQ214" t="s">
        <v>74</v>
      </c>
      <c r="AR214" t="s">
        <v>4223</v>
      </c>
      <c r="AS214" t="s">
        <v>4224</v>
      </c>
      <c r="AT214" t="s">
        <v>1133</v>
      </c>
      <c r="AU214">
        <v>2024</v>
      </c>
      <c r="AV214">
        <v>160</v>
      </c>
      <c r="AW214" t="s">
        <v>74</v>
      </c>
      <c r="AX214" t="s">
        <v>74</v>
      </c>
      <c r="AY214" t="s">
        <v>74</v>
      </c>
      <c r="AZ214" t="s">
        <v>74</v>
      </c>
      <c r="BA214" t="s">
        <v>74</v>
      </c>
      <c r="BB214" t="s">
        <v>74</v>
      </c>
      <c r="BC214" t="s">
        <v>74</v>
      </c>
      <c r="BD214">
        <v>105879</v>
      </c>
      <c r="BE214" t="s">
        <v>4225</v>
      </c>
      <c r="BF214" t="str">
        <f>HYPERLINK("http://dx.doi.org/10.1016/j.marpol.2023.105879","http://dx.doi.org/10.1016/j.marpol.2023.105879")</f>
        <v>http://dx.doi.org/10.1016/j.marpol.2023.105879</v>
      </c>
      <c r="BG214" t="s">
        <v>74</v>
      </c>
      <c r="BH214" t="s">
        <v>98</v>
      </c>
      <c r="BI214">
        <v>9</v>
      </c>
      <c r="BJ214" t="s">
        <v>4226</v>
      </c>
      <c r="BK214" t="s">
        <v>1740</v>
      </c>
      <c r="BL214" t="s">
        <v>4227</v>
      </c>
      <c r="BM214" t="s">
        <v>4228</v>
      </c>
      <c r="BN214" t="s">
        <v>74</v>
      </c>
      <c r="BO214" t="s">
        <v>103</v>
      </c>
      <c r="BP214" t="s">
        <v>74</v>
      </c>
      <c r="BQ214" t="s">
        <v>74</v>
      </c>
      <c r="BR214" t="s">
        <v>104</v>
      </c>
      <c r="BS214" t="s">
        <v>4229</v>
      </c>
      <c r="BT214" t="str">
        <f>HYPERLINK("https%3A%2F%2Fwww.webofscience.com%2Fwos%2Fwoscc%2Ffull-record%2FWOS:001135403600001","View Full Record in Web of Science")</f>
        <v>View Full Record in Web of Science</v>
      </c>
    </row>
    <row r="215" spans="1:72" x14ac:dyDescent="0.15">
      <c r="A215" t="s">
        <v>72</v>
      </c>
      <c r="B215" t="s">
        <v>4230</v>
      </c>
      <c r="C215" t="s">
        <v>74</v>
      </c>
      <c r="D215" t="s">
        <v>74</v>
      </c>
      <c r="E215" t="s">
        <v>74</v>
      </c>
      <c r="F215" t="s">
        <v>4231</v>
      </c>
      <c r="G215" t="s">
        <v>74</v>
      </c>
      <c r="H215" t="s">
        <v>74</v>
      </c>
      <c r="I215" t="s">
        <v>4232</v>
      </c>
      <c r="J215" t="s">
        <v>4233</v>
      </c>
      <c r="K215" t="s">
        <v>74</v>
      </c>
      <c r="L215" t="s">
        <v>74</v>
      </c>
      <c r="M215" t="s">
        <v>78</v>
      </c>
      <c r="N215" t="s">
        <v>79</v>
      </c>
      <c r="O215" t="s">
        <v>74</v>
      </c>
      <c r="P215" t="s">
        <v>74</v>
      </c>
      <c r="Q215" t="s">
        <v>74</v>
      </c>
      <c r="R215" t="s">
        <v>74</v>
      </c>
      <c r="S215" t="s">
        <v>74</v>
      </c>
      <c r="T215" t="s">
        <v>4234</v>
      </c>
      <c r="U215" t="s">
        <v>4235</v>
      </c>
      <c r="V215" t="s">
        <v>4236</v>
      </c>
      <c r="W215" t="s">
        <v>4237</v>
      </c>
      <c r="X215" t="s">
        <v>4238</v>
      </c>
      <c r="Y215" t="s">
        <v>4239</v>
      </c>
      <c r="Z215" t="s">
        <v>4240</v>
      </c>
      <c r="AA215" t="s">
        <v>4241</v>
      </c>
      <c r="AB215" t="s">
        <v>4242</v>
      </c>
      <c r="AC215" t="s">
        <v>4243</v>
      </c>
      <c r="AD215" t="s">
        <v>4244</v>
      </c>
      <c r="AE215" t="s">
        <v>4245</v>
      </c>
      <c r="AF215" t="s">
        <v>74</v>
      </c>
      <c r="AG215">
        <v>72</v>
      </c>
      <c r="AH215">
        <v>0</v>
      </c>
      <c r="AI215">
        <v>0</v>
      </c>
      <c r="AJ215">
        <v>3</v>
      </c>
      <c r="AK215">
        <v>3</v>
      </c>
      <c r="AL215" t="s">
        <v>975</v>
      </c>
      <c r="AM215" t="s">
        <v>976</v>
      </c>
      <c r="AN215" t="s">
        <v>977</v>
      </c>
      <c r="AO215" t="s">
        <v>4246</v>
      </c>
      <c r="AP215" t="s">
        <v>4247</v>
      </c>
      <c r="AQ215" t="s">
        <v>74</v>
      </c>
      <c r="AR215" t="s">
        <v>4248</v>
      </c>
      <c r="AS215" t="s">
        <v>4249</v>
      </c>
      <c r="AT215" t="s">
        <v>4250</v>
      </c>
      <c r="AU215">
        <v>2024</v>
      </c>
      <c r="AV215">
        <v>365</v>
      </c>
      <c r="AW215" t="s">
        <v>74</v>
      </c>
      <c r="AX215" t="s">
        <v>74</v>
      </c>
      <c r="AY215" t="s">
        <v>74</v>
      </c>
      <c r="AZ215" t="s">
        <v>74</v>
      </c>
      <c r="BA215" t="s">
        <v>74</v>
      </c>
      <c r="BB215">
        <v>35</v>
      </c>
      <c r="BC215">
        <v>52</v>
      </c>
      <c r="BD215" t="s">
        <v>74</v>
      </c>
      <c r="BE215" t="s">
        <v>4251</v>
      </c>
      <c r="BF215" t="str">
        <f>HYPERLINK("http://dx.doi.org/10.1016/j.gca.2023.11.027","http://dx.doi.org/10.1016/j.gca.2023.11.027")</f>
        <v>http://dx.doi.org/10.1016/j.gca.2023.11.027</v>
      </c>
      <c r="BG215" t="s">
        <v>74</v>
      </c>
      <c r="BH215" t="s">
        <v>98</v>
      </c>
      <c r="BI215">
        <v>18</v>
      </c>
      <c r="BJ215" t="s">
        <v>4252</v>
      </c>
      <c r="BK215" t="s">
        <v>100</v>
      </c>
      <c r="BL215" t="s">
        <v>4252</v>
      </c>
      <c r="BM215" t="s">
        <v>4253</v>
      </c>
      <c r="BN215" t="s">
        <v>74</v>
      </c>
      <c r="BO215" t="s">
        <v>103</v>
      </c>
      <c r="BP215" t="s">
        <v>74</v>
      </c>
      <c r="BQ215" t="s">
        <v>74</v>
      </c>
      <c r="BR215" t="s">
        <v>104</v>
      </c>
      <c r="BS215" t="s">
        <v>4254</v>
      </c>
      <c r="BT215" t="str">
        <f>HYPERLINK("https%3A%2F%2Fwww.webofscience.com%2Fwos%2Fwoscc%2Ffull-record%2FWOS:001135451700001","View Full Record in Web of Science")</f>
        <v>View Full Record in Web of Science</v>
      </c>
    </row>
    <row r="216" spans="1:72" x14ac:dyDescent="0.15">
      <c r="A216" t="s">
        <v>72</v>
      </c>
      <c r="B216" t="s">
        <v>4255</v>
      </c>
      <c r="C216" t="s">
        <v>74</v>
      </c>
      <c r="D216" t="s">
        <v>74</v>
      </c>
      <c r="E216" t="s">
        <v>74</v>
      </c>
      <c r="F216" t="s">
        <v>4256</v>
      </c>
      <c r="G216" t="s">
        <v>74</v>
      </c>
      <c r="H216" t="s">
        <v>74</v>
      </c>
      <c r="I216" t="s">
        <v>4257</v>
      </c>
      <c r="J216" t="s">
        <v>4258</v>
      </c>
      <c r="K216" t="s">
        <v>74</v>
      </c>
      <c r="L216" t="s">
        <v>74</v>
      </c>
      <c r="M216" t="s">
        <v>78</v>
      </c>
      <c r="N216" t="s">
        <v>79</v>
      </c>
      <c r="O216" t="s">
        <v>74</v>
      </c>
      <c r="P216" t="s">
        <v>74</v>
      </c>
      <c r="Q216" t="s">
        <v>74</v>
      </c>
      <c r="R216" t="s">
        <v>74</v>
      </c>
      <c r="S216" t="s">
        <v>74</v>
      </c>
      <c r="T216" t="s">
        <v>4259</v>
      </c>
      <c r="U216" t="s">
        <v>4260</v>
      </c>
      <c r="V216" t="s">
        <v>4261</v>
      </c>
      <c r="W216" t="s">
        <v>4262</v>
      </c>
      <c r="X216" t="s">
        <v>4263</v>
      </c>
      <c r="Y216" t="s">
        <v>4264</v>
      </c>
      <c r="Z216" t="s">
        <v>4265</v>
      </c>
      <c r="AA216" t="s">
        <v>4266</v>
      </c>
      <c r="AB216" t="s">
        <v>4267</v>
      </c>
      <c r="AC216" t="s">
        <v>4268</v>
      </c>
      <c r="AD216" t="s">
        <v>4269</v>
      </c>
      <c r="AE216" t="s">
        <v>4270</v>
      </c>
      <c r="AF216" t="s">
        <v>74</v>
      </c>
      <c r="AG216">
        <v>77</v>
      </c>
      <c r="AH216">
        <v>0</v>
      </c>
      <c r="AI216">
        <v>0</v>
      </c>
      <c r="AJ216">
        <v>14</v>
      </c>
      <c r="AK216">
        <v>14</v>
      </c>
      <c r="AL216" t="s">
        <v>4271</v>
      </c>
      <c r="AM216" t="s">
        <v>1076</v>
      </c>
      <c r="AN216" t="s">
        <v>4272</v>
      </c>
      <c r="AO216" t="s">
        <v>4273</v>
      </c>
      <c r="AP216" t="s">
        <v>4274</v>
      </c>
      <c r="AQ216" t="s">
        <v>74</v>
      </c>
      <c r="AR216" t="s">
        <v>4275</v>
      </c>
      <c r="AS216" t="s">
        <v>4276</v>
      </c>
      <c r="AT216" t="s">
        <v>982</v>
      </c>
      <c r="AU216">
        <v>2024</v>
      </c>
      <c r="AV216">
        <v>301</v>
      </c>
      <c r="AW216" t="s">
        <v>74</v>
      </c>
      <c r="AX216" t="s">
        <v>74</v>
      </c>
      <c r="AY216" t="s">
        <v>74</v>
      </c>
      <c r="AZ216" t="s">
        <v>74</v>
      </c>
      <c r="BA216" t="s">
        <v>74</v>
      </c>
      <c r="BB216" t="s">
        <v>74</v>
      </c>
      <c r="BC216" t="s">
        <v>74</v>
      </c>
      <c r="BD216">
        <v>113950</v>
      </c>
      <c r="BE216" t="s">
        <v>4277</v>
      </c>
      <c r="BF216" t="str">
        <f>HYPERLINK("http://dx.doi.org/10.1016/j.rse.2023.113950","http://dx.doi.org/10.1016/j.rse.2023.113950")</f>
        <v>http://dx.doi.org/10.1016/j.rse.2023.113950</v>
      </c>
      <c r="BG216" t="s">
        <v>74</v>
      </c>
      <c r="BH216" t="s">
        <v>98</v>
      </c>
      <c r="BI216">
        <v>15</v>
      </c>
      <c r="BJ216" t="s">
        <v>4278</v>
      </c>
      <c r="BK216" t="s">
        <v>100</v>
      </c>
      <c r="BL216" t="s">
        <v>4279</v>
      </c>
      <c r="BM216" t="s">
        <v>4280</v>
      </c>
      <c r="BN216" t="s">
        <v>74</v>
      </c>
      <c r="BO216" t="s">
        <v>3883</v>
      </c>
      <c r="BP216" t="s">
        <v>74</v>
      </c>
      <c r="BQ216" t="s">
        <v>74</v>
      </c>
      <c r="BR216" t="s">
        <v>104</v>
      </c>
      <c r="BS216" t="s">
        <v>4281</v>
      </c>
      <c r="BT216" t="str">
        <f>HYPERLINK("https%3A%2F%2Fwww.webofscience.com%2Fwos%2Fwoscc%2Ffull-record%2FWOS:001134005200001","View Full Record in Web of Science")</f>
        <v>View Full Record in Web of Science</v>
      </c>
    </row>
    <row r="217" spans="1:72" x14ac:dyDescent="0.15">
      <c r="A217" t="s">
        <v>72</v>
      </c>
      <c r="B217" t="s">
        <v>4282</v>
      </c>
      <c r="C217" t="s">
        <v>74</v>
      </c>
      <c r="D217" t="s">
        <v>74</v>
      </c>
      <c r="E217" t="s">
        <v>74</v>
      </c>
      <c r="F217" t="s">
        <v>4283</v>
      </c>
      <c r="G217" t="s">
        <v>74</v>
      </c>
      <c r="H217" t="s">
        <v>74</v>
      </c>
      <c r="I217" t="s">
        <v>4284</v>
      </c>
      <c r="J217" t="s">
        <v>370</v>
      </c>
      <c r="K217" t="s">
        <v>74</v>
      </c>
      <c r="L217" t="s">
        <v>74</v>
      </c>
      <c r="M217" t="s">
        <v>78</v>
      </c>
      <c r="N217" t="s">
        <v>79</v>
      </c>
      <c r="O217" t="s">
        <v>74</v>
      </c>
      <c r="P217" t="s">
        <v>74</v>
      </c>
      <c r="Q217" t="s">
        <v>74</v>
      </c>
      <c r="R217" t="s">
        <v>74</v>
      </c>
      <c r="S217" t="s">
        <v>74</v>
      </c>
      <c r="T217" t="s">
        <v>4285</v>
      </c>
      <c r="U217" t="s">
        <v>4286</v>
      </c>
      <c r="V217" t="s">
        <v>4287</v>
      </c>
      <c r="W217" t="s">
        <v>4288</v>
      </c>
      <c r="X217" t="s">
        <v>4289</v>
      </c>
      <c r="Y217" t="s">
        <v>4290</v>
      </c>
      <c r="Z217" t="s">
        <v>4291</v>
      </c>
      <c r="AA217" t="s">
        <v>4292</v>
      </c>
      <c r="AB217" t="s">
        <v>74</v>
      </c>
      <c r="AC217" t="s">
        <v>4293</v>
      </c>
      <c r="AD217" t="s">
        <v>511</v>
      </c>
      <c r="AE217" t="s">
        <v>2553</v>
      </c>
      <c r="AF217" t="s">
        <v>74</v>
      </c>
      <c r="AG217">
        <v>57</v>
      </c>
      <c r="AH217">
        <v>0</v>
      </c>
      <c r="AI217">
        <v>0</v>
      </c>
      <c r="AJ217">
        <v>8</v>
      </c>
      <c r="AK217">
        <v>8</v>
      </c>
      <c r="AL217" t="s">
        <v>119</v>
      </c>
      <c r="AM217" t="s">
        <v>120</v>
      </c>
      <c r="AN217" t="s">
        <v>121</v>
      </c>
      <c r="AO217" t="s">
        <v>381</v>
      </c>
      <c r="AP217" t="s">
        <v>382</v>
      </c>
      <c r="AQ217" t="s">
        <v>74</v>
      </c>
      <c r="AR217" t="s">
        <v>383</v>
      </c>
      <c r="AS217" t="s">
        <v>384</v>
      </c>
      <c r="AT217" t="s">
        <v>4087</v>
      </c>
      <c r="AU217">
        <v>2023</v>
      </c>
      <c r="AV217">
        <v>16</v>
      </c>
      <c r="AW217">
        <v>2</v>
      </c>
      <c r="AX217" t="s">
        <v>74</v>
      </c>
      <c r="AY217" t="s">
        <v>74</v>
      </c>
      <c r="AZ217" t="s">
        <v>74</v>
      </c>
      <c r="BA217" t="s">
        <v>74</v>
      </c>
      <c r="BB217">
        <v>4906</v>
      </c>
      <c r="BC217">
        <v>4928</v>
      </c>
      <c r="BD217" t="s">
        <v>74</v>
      </c>
      <c r="BE217" t="s">
        <v>4294</v>
      </c>
      <c r="BF217" t="str">
        <f>HYPERLINK("http://dx.doi.org/10.1080/17538947.2023.2283490","http://dx.doi.org/10.1080/17538947.2023.2283490")</f>
        <v>http://dx.doi.org/10.1080/17538947.2023.2283490</v>
      </c>
      <c r="BG217" t="s">
        <v>74</v>
      </c>
      <c r="BH217" t="s">
        <v>74</v>
      </c>
      <c r="BI217">
        <v>23</v>
      </c>
      <c r="BJ217" t="s">
        <v>386</v>
      </c>
      <c r="BK217" t="s">
        <v>100</v>
      </c>
      <c r="BL217" t="s">
        <v>387</v>
      </c>
      <c r="BM217" t="s">
        <v>4295</v>
      </c>
      <c r="BN217" t="s">
        <v>74</v>
      </c>
      <c r="BO217" t="s">
        <v>131</v>
      </c>
      <c r="BP217" t="s">
        <v>74</v>
      </c>
      <c r="BQ217" t="s">
        <v>74</v>
      </c>
      <c r="BR217" t="s">
        <v>104</v>
      </c>
      <c r="BS217" t="s">
        <v>4296</v>
      </c>
      <c r="BT217" t="str">
        <f>HYPERLINK("https%3A%2F%2Fwww.webofscience.com%2Fwos%2Fwoscc%2Ffull-record%2FWOS:001124403600001","View Full Record in Web of Science")</f>
        <v>View Full Record in Web of Science</v>
      </c>
    </row>
    <row r="218" spans="1:72" x14ac:dyDescent="0.15">
      <c r="A218" t="s">
        <v>72</v>
      </c>
      <c r="B218" t="s">
        <v>4297</v>
      </c>
      <c r="C218" t="s">
        <v>74</v>
      </c>
      <c r="D218" t="s">
        <v>74</v>
      </c>
      <c r="E218" t="s">
        <v>74</v>
      </c>
      <c r="F218" t="s">
        <v>4298</v>
      </c>
      <c r="G218" t="s">
        <v>74</v>
      </c>
      <c r="H218" t="s">
        <v>74</v>
      </c>
      <c r="I218" t="s">
        <v>4299</v>
      </c>
      <c r="J218" t="s">
        <v>4300</v>
      </c>
      <c r="K218" t="s">
        <v>74</v>
      </c>
      <c r="L218" t="s">
        <v>74</v>
      </c>
      <c r="M218" t="s">
        <v>78</v>
      </c>
      <c r="N218" t="s">
        <v>79</v>
      </c>
      <c r="O218" t="s">
        <v>74</v>
      </c>
      <c r="P218" t="s">
        <v>74</v>
      </c>
      <c r="Q218" t="s">
        <v>74</v>
      </c>
      <c r="R218" t="s">
        <v>74</v>
      </c>
      <c r="S218" t="s">
        <v>74</v>
      </c>
      <c r="T218" t="s">
        <v>4301</v>
      </c>
      <c r="U218" t="s">
        <v>4302</v>
      </c>
      <c r="V218" t="s">
        <v>4303</v>
      </c>
      <c r="W218" t="s">
        <v>4304</v>
      </c>
      <c r="X218" t="s">
        <v>4305</v>
      </c>
      <c r="Y218" t="s">
        <v>4306</v>
      </c>
      <c r="Z218" t="s">
        <v>4307</v>
      </c>
      <c r="AA218" t="s">
        <v>4308</v>
      </c>
      <c r="AB218" t="s">
        <v>4309</v>
      </c>
      <c r="AC218" t="s">
        <v>4310</v>
      </c>
      <c r="AD218" t="s">
        <v>4310</v>
      </c>
      <c r="AE218" t="s">
        <v>4311</v>
      </c>
      <c r="AF218" t="s">
        <v>74</v>
      </c>
      <c r="AG218">
        <v>39</v>
      </c>
      <c r="AH218">
        <v>1</v>
      </c>
      <c r="AI218">
        <v>1</v>
      </c>
      <c r="AJ218">
        <v>0</v>
      </c>
      <c r="AK218">
        <v>0</v>
      </c>
      <c r="AL218" t="s">
        <v>3812</v>
      </c>
      <c r="AM218" t="s">
        <v>3813</v>
      </c>
      <c r="AN218" t="s">
        <v>3814</v>
      </c>
      <c r="AO218" t="s">
        <v>4312</v>
      </c>
      <c r="AP218" t="s">
        <v>4313</v>
      </c>
      <c r="AQ218" t="s">
        <v>74</v>
      </c>
      <c r="AR218" t="s">
        <v>4314</v>
      </c>
      <c r="AS218" t="s">
        <v>4315</v>
      </c>
      <c r="AT218" t="s">
        <v>1082</v>
      </c>
      <c r="AU218">
        <v>2024</v>
      </c>
      <c r="AV218">
        <v>24</v>
      </c>
      <c r="AW218">
        <v>1</v>
      </c>
      <c r="AX218" t="s">
        <v>74</v>
      </c>
      <c r="AY218" t="s">
        <v>74</v>
      </c>
      <c r="AZ218" t="s">
        <v>74</v>
      </c>
      <c r="BA218" t="s">
        <v>74</v>
      </c>
      <c r="BB218">
        <v>85</v>
      </c>
      <c r="BC218">
        <v>94</v>
      </c>
      <c r="BD218" t="s">
        <v>74</v>
      </c>
      <c r="BE218" t="s">
        <v>4316</v>
      </c>
      <c r="BF218" t="str">
        <f>HYPERLINK("http://dx.doi.org/10.1007/s13127-023-00629-4","http://dx.doi.org/10.1007/s13127-023-00629-4")</f>
        <v>http://dx.doi.org/10.1007/s13127-023-00629-4</v>
      </c>
      <c r="BG218" t="s">
        <v>74</v>
      </c>
      <c r="BH218" t="s">
        <v>98</v>
      </c>
      <c r="BI218">
        <v>10</v>
      </c>
      <c r="BJ218" t="s">
        <v>4317</v>
      </c>
      <c r="BK218" t="s">
        <v>100</v>
      </c>
      <c r="BL218" t="s">
        <v>4317</v>
      </c>
      <c r="BM218" t="s">
        <v>4318</v>
      </c>
      <c r="BN218">
        <v>38482159</v>
      </c>
      <c r="BO218" t="s">
        <v>3456</v>
      </c>
      <c r="BP218" t="s">
        <v>74</v>
      </c>
      <c r="BQ218" t="s">
        <v>74</v>
      </c>
      <c r="BR218" t="s">
        <v>104</v>
      </c>
      <c r="BS218" t="s">
        <v>4319</v>
      </c>
      <c r="BT218" t="str">
        <f>HYPERLINK("https%3A%2F%2Fwww.webofscience.com%2Fwos%2Fwoscc%2Ffull-record%2FWOS:001117710700001","View Full Record in Web of Science")</f>
        <v>View Full Record in Web of Science</v>
      </c>
    </row>
    <row r="219" spans="1:72" x14ac:dyDescent="0.15">
      <c r="A219" t="s">
        <v>72</v>
      </c>
      <c r="B219" t="s">
        <v>4320</v>
      </c>
      <c r="C219" t="s">
        <v>74</v>
      </c>
      <c r="D219" t="s">
        <v>74</v>
      </c>
      <c r="E219" t="s">
        <v>74</v>
      </c>
      <c r="F219" t="s">
        <v>4321</v>
      </c>
      <c r="G219" t="s">
        <v>74</v>
      </c>
      <c r="H219" t="s">
        <v>74</v>
      </c>
      <c r="I219" t="s">
        <v>4322</v>
      </c>
      <c r="J219" t="s">
        <v>4323</v>
      </c>
      <c r="K219" t="s">
        <v>74</v>
      </c>
      <c r="L219" t="s">
        <v>74</v>
      </c>
      <c r="M219" t="s">
        <v>78</v>
      </c>
      <c r="N219" t="s">
        <v>79</v>
      </c>
      <c r="O219" t="s">
        <v>74</v>
      </c>
      <c r="P219" t="s">
        <v>74</v>
      </c>
      <c r="Q219" t="s">
        <v>74</v>
      </c>
      <c r="R219" t="s">
        <v>74</v>
      </c>
      <c r="S219" t="s">
        <v>74</v>
      </c>
      <c r="T219" t="s">
        <v>4324</v>
      </c>
      <c r="U219" t="s">
        <v>4325</v>
      </c>
      <c r="V219" t="s">
        <v>4326</v>
      </c>
      <c r="W219" t="s">
        <v>4327</v>
      </c>
      <c r="X219" t="s">
        <v>4328</v>
      </c>
      <c r="Y219" t="s">
        <v>4329</v>
      </c>
      <c r="Z219" t="s">
        <v>4330</v>
      </c>
      <c r="AA219" t="s">
        <v>4331</v>
      </c>
      <c r="AB219" t="s">
        <v>4332</v>
      </c>
      <c r="AC219" t="s">
        <v>4333</v>
      </c>
      <c r="AD219" t="s">
        <v>4334</v>
      </c>
      <c r="AE219" t="s">
        <v>4335</v>
      </c>
      <c r="AF219" t="s">
        <v>74</v>
      </c>
      <c r="AG219">
        <v>66</v>
      </c>
      <c r="AH219">
        <v>0</v>
      </c>
      <c r="AI219">
        <v>0</v>
      </c>
      <c r="AJ219">
        <v>10</v>
      </c>
      <c r="AK219">
        <v>10</v>
      </c>
      <c r="AL219" t="s">
        <v>1101</v>
      </c>
      <c r="AM219" t="s">
        <v>1102</v>
      </c>
      <c r="AN219" t="s">
        <v>1103</v>
      </c>
      <c r="AO219" t="s">
        <v>4336</v>
      </c>
      <c r="AP219" t="s">
        <v>4337</v>
      </c>
      <c r="AQ219" t="s">
        <v>74</v>
      </c>
      <c r="AR219" t="s">
        <v>4338</v>
      </c>
      <c r="AS219" t="s">
        <v>4339</v>
      </c>
      <c r="AT219" t="s">
        <v>954</v>
      </c>
      <c r="AU219">
        <v>2024</v>
      </c>
      <c r="AV219">
        <v>15</v>
      </c>
      <c r="AW219">
        <v>1</v>
      </c>
      <c r="AX219" t="s">
        <v>74</v>
      </c>
      <c r="AY219" t="s">
        <v>74</v>
      </c>
      <c r="AZ219" t="s">
        <v>74</v>
      </c>
      <c r="BA219" t="s">
        <v>74</v>
      </c>
      <c r="BB219">
        <v>227</v>
      </c>
      <c r="BC219">
        <v>243</v>
      </c>
      <c r="BD219" t="s">
        <v>74</v>
      </c>
      <c r="BE219" t="s">
        <v>4340</v>
      </c>
      <c r="BF219" t="str">
        <f>HYPERLINK("http://dx.doi.org/10.1111/2041-210X.14267","http://dx.doi.org/10.1111/2041-210X.14267")</f>
        <v>http://dx.doi.org/10.1111/2041-210X.14267</v>
      </c>
      <c r="BG219" t="s">
        <v>74</v>
      </c>
      <c r="BH219" t="s">
        <v>98</v>
      </c>
      <c r="BI219">
        <v>17</v>
      </c>
      <c r="BJ219" t="s">
        <v>3610</v>
      </c>
      <c r="BK219" t="s">
        <v>100</v>
      </c>
      <c r="BL219" t="s">
        <v>1011</v>
      </c>
      <c r="BM219" t="s">
        <v>4341</v>
      </c>
      <c r="BN219" t="s">
        <v>74</v>
      </c>
      <c r="BO219" t="s">
        <v>131</v>
      </c>
      <c r="BP219" t="s">
        <v>74</v>
      </c>
      <c r="BQ219" t="s">
        <v>74</v>
      </c>
      <c r="BR219" t="s">
        <v>104</v>
      </c>
      <c r="BS219" t="s">
        <v>4342</v>
      </c>
      <c r="BT219" t="str">
        <f>HYPERLINK("https%3A%2F%2Fwww.webofscience.com%2Fwos%2Fwoscc%2Ffull-record%2FWOS:001115728500001","View Full Record in Web of Science")</f>
        <v>View Full Record in Web of Science</v>
      </c>
    </row>
    <row r="220" spans="1:72" x14ac:dyDescent="0.15">
      <c r="A220" t="s">
        <v>72</v>
      </c>
      <c r="B220" t="s">
        <v>4343</v>
      </c>
      <c r="C220" t="s">
        <v>74</v>
      </c>
      <c r="D220" t="s">
        <v>74</v>
      </c>
      <c r="E220" t="s">
        <v>74</v>
      </c>
      <c r="F220" t="s">
        <v>4344</v>
      </c>
      <c r="G220" t="s">
        <v>74</v>
      </c>
      <c r="H220" t="s">
        <v>74</v>
      </c>
      <c r="I220" t="s">
        <v>4345</v>
      </c>
      <c r="J220" t="s">
        <v>4346</v>
      </c>
      <c r="K220" t="s">
        <v>74</v>
      </c>
      <c r="L220" t="s">
        <v>74</v>
      </c>
      <c r="M220" t="s">
        <v>78</v>
      </c>
      <c r="N220" t="s">
        <v>1547</v>
      </c>
      <c r="O220" t="s">
        <v>74</v>
      </c>
      <c r="P220" t="s">
        <v>74</v>
      </c>
      <c r="Q220" t="s">
        <v>74</v>
      </c>
      <c r="R220" t="s">
        <v>74</v>
      </c>
      <c r="S220" t="s">
        <v>74</v>
      </c>
      <c r="T220" t="s">
        <v>4347</v>
      </c>
      <c r="U220" t="s">
        <v>4348</v>
      </c>
      <c r="V220" t="s">
        <v>4349</v>
      </c>
      <c r="W220" t="s">
        <v>4350</v>
      </c>
      <c r="X220" t="s">
        <v>4351</v>
      </c>
      <c r="Y220" t="s">
        <v>4352</v>
      </c>
      <c r="Z220" t="s">
        <v>4353</v>
      </c>
      <c r="AA220" t="s">
        <v>4354</v>
      </c>
      <c r="AB220" t="s">
        <v>4355</v>
      </c>
      <c r="AC220" t="s">
        <v>4356</v>
      </c>
      <c r="AD220" t="s">
        <v>4356</v>
      </c>
      <c r="AE220" t="s">
        <v>4357</v>
      </c>
      <c r="AF220" t="s">
        <v>74</v>
      </c>
      <c r="AG220">
        <v>82</v>
      </c>
      <c r="AH220">
        <v>1</v>
      </c>
      <c r="AI220">
        <v>1</v>
      </c>
      <c r="AJ220">
        <v>0</v>
      </c>
      <c r="AK220">
        <v>0</v>
      </c>
      <c r="AL220" t="s">
        <v>1560</v>
      </c>
      <c r="AM220" t="s">
        <v>976</v>
      </c>
      <c r="AN220" t="s">
        <v>1561</v>
      </c>
      <c r="AO220" t="s">
        <v>4358</v>
      </c>
      <c r="AP220" t="s">
        <v>4359</v>
      </c>
      <c r="AQ220" t="s">
        <v>74</v>
      </c>
      <c r="AR220" t="s">
        <v>4360</v>
      </c>
      <c r="AS220" t="s">
        <v>4361</v>
      </c>
      <c r="AT220" t="s">
        <v>4362</v>
      </c>
      <c r="AU220">
        <v>2023</v>
      </c>
      <c r="AV220" t="s">
        <v>74</v>
      </c>
      <c r="AW220" t="s">
        <v>74</v>
      </c>
      <c r="AX220" t="s">
        <v>74</v>
      </c>
      <c r="AY220" t="s">
        <v>74</v>
      </c>
      <c r="AZ220" t="s">
        <v>74</v>
      </c>
      <c r="BA220" t="s">
        <v>74</v>
      </c>
      <c r="BB220" t="s">
        <v>74</v>
      </c>
      <c r="BC220" t="s">
        <v>74</v>
      </c>
      <c r="BD220" t="s">
        <v>74</v>
      </c>
      <c r="BE220" t="s">
        <v>4363</v>
      </c>
      <c r="BF220" t="str">
        <f>HYPERLINK("http://dx.doi.org/10.1093/icesjms/fsad192","http://dx.doi.org/10.1093/icesjms/fsad192")</f>
        <v>http://dx.doi.org/10.1093/icesjms/fsad192</v>
      </c>
      <c r="BG220" t="s">
        <v>74</v>
      </c>
      <c r="BH220" t="s">
        <v>98</v>
      </c>
      <c r="BI220">
        <v>14</v>
      </c>
      <c r="BJ220" t="s">
        <v>4364</v>
      </c>
      <c r="BK220" t="s">
        <v>100</v>
      </c>
      <c r="BL220" t="s">
        <v>4364</v>
      </c>
      <c r="BM220" t="s">
        <v>4365</v>
      </c>
      <c r="BN220" t="s">
        <v>74</v>
      </c>
      <c r="BO220" t="s">
        <v>4366</v>
      </c>
      <c r="BP220" t="s">
        <v>74</v>
      </c>
      <c r="BQ220" t="s">
        <v>74</v>
      </c>
      <c r="BR220" t="s">
        <v>104</v>
      </c>
      <c r="BS220" t="s">
        <v>4367</v>
      </c>
      <c r="BT220" t="str">
        <f>HYPERLINK("https%3A%2F%2Fwww.webofscience.com%2Fwos%2Fwoscc%2Ffull-record%2FWOS:001114747300001","View Full Record in Web of Science")</f>
        <v>View Full Record in Web of Science</v>
      </c>
    </row>
    <row r="221" spans="1:72" x14ac:dyDescent="0.15">
      <c r="A221" t="s">
        <v>72</v>
      </c>
      <c r="B221" t="s">
        <v>4368</v>
      </c>
      <c r="C221" t="s">
        <v>74</v>
      </c>
      <c r="D221" t="s">
        <v>74</v>
      </c>
      <c r="E221" t="s">
        <v>74</v>
      </c>
      <c r="F221" t="s">
        <v>4369</v>
      </c>
      <c r="G221" t="s">
        <v>74</v>
      </c>
      <c r="H221" t="s">
        <v>74</v>
      </c>
      <c r="I221" t="s">
        <v>4370</v>
      </c>
      <c r="J221" t="s">
        <v>3384</v>
      </c>
      <c r="K221" t="s">
        <v>74</v>
      </c>
      <c r="L221" t="s">
        <v>74</v>
      </c>
      <c r="M221" t="s">
        <v>78</v>
      </c>
      <c r="N221" t="s">
        <v>79</v>
      </c>
      <c r="O221" t="s">
        <v>74</v>
      </c>
      <c r="P221" t="s">
        <v>74</v>
      </c>
      <c r="Q221" t="s">
        <v>74</v>
      </c>
      <c r="R221" t="s">
        <v>74</v>
      </c>
      <c r="S221" t="s">
        <v>74</v>
      </c>
      <c r="T221" t="s">
        <v>74</v>
      </c>
      <c r="U221" t="s">
        <v>4371</v>
      </c>
      <c r="V221" t="s">
        <v>4372</v>
      </c>
      <c r="W221" t="s">
        <v>4373</v>
      </c>
      <c r="X221" t="s">
        <v>4374</v>
      </c>
      <c r="Y221" t="s">
        <v>4375</v>
      </c>
      <c r="Z221" t="s">
        <v>4376</v>
      </c>
      <c r="AA221" t="s">
        <v>4377</v>
      </c>
      <c r="AB221" t="s">
        <v>4378</v>
      </c>
      <c r="AC221" t="s">
        <v>4379</v>
      </c>
      <c r="AD221" t="s">
        <v>4380</v>
      </c>
      <c r="AE221" t="s">
        <v>4381</v>
      </c>
      <c r="AF221" t="s">
        <v>74</v>
      </c>
      <c r="AG221">
        <v>105</v>
      </c>
      <c r="AH221">
        <v>9</v>
      </c>
      <c r="AI221">
        <v>10</v>
      </c>
      <c r="AJ221">
        <v>6</v>
      </c>
      <c r="AK221">
        <v>14</v>
      </c>
      <c r="AL221" t="s">
        <v>3057</v>
      </c>
      <c r="AM221" t="s">
        <v>3058</v>
      </c>
      <c r="AN221" t="s">
        <v>3059</v>
      </c>
      <c r="AO221" t="s">
        <v>74</v>
      </c>
      <c r="AP221" t="s">
        <v>3396</v>
      </c>
      <c r="AQ221" t="s">
        <v>74</v>
      </c>
      <c r="AR221" t="s">
        <v>3397</v>
      </c>
      <c r="AS221" t="s">
        <v>3398</v>
      </c>
      <c r="AT221" t="s">
        <v>4382</v>
      </c>
      <c r="AU221">
        <v>2023</v>
      </c>
      <c r="AV221">
        <v>14</v>
      </c>
      <c r="AW221">
        <v>1</v>
      </c>
      <c r="AX221" t="s">
        <v>74</v>
      </c>
      <c r="AY221" t="s">
        <v>74</v>
      </c>
      <c r="AZ221" t="s">
        <v>74</v>
      </c>
      <c r="BA221" t="s">
        <v>74</v>
      </c>
      <c r="BB221" t="s">
        <v>74</v>
      </c>
      <c r="BC221" t="s">
        <v>74</v>
      </c>
      <c r="BD221">
        <v>805</v>
      </c>
      <c r="BE221" t="s">
        <v>4383</v>
      </c>
      <c r="BF221" t="str">
        <f>HYPERLINK("http://dx.doi.org/10.1038/s41467-023-36177-w","http://dx.doi.org/10.1038/s41467-023-36177-w")</f>
        <v>http://dx.doi.org/10.1038/s41467-023-36177-w</v>
      </c>
      <c r="BG221" t="s">
        <v>74</v>
      </c>
      <c r="BH221" t="s">
        <v>74</v>
      </c>
      <c r="BI221">
        <v>14</v>
      </c>
      <c r="BJ221" t="s">
        <v>1035</v>
      </c>
      <c r="BK221" t="s">
        <v>100</v>
      </c>
      <c r="BL221" t="s">
        <v>1036</v>
      </c>
      <c r="BM221" t="s">
        <v>4384</v>
      </c>
      <c r="BN221">
        <v>36808154</v>
      </c>
      <c r="BO221" t="s">
        <v>4144</v>
      </c>
      <c r="BP221" t="s">
        <v>74</v>
      </c>
      <c r="BQ221" t="s">
        <v>74</v>
      </c>
      <c r="BR221" t="s">
        <v>104</v>
      </c>
      <c r="BS221" t="s">
        <v>4385</v>
      </c>
      <c r="BT221" t="str">
        <f>HYPERLINK("https%3A%2F%2Fwww.webofscience.com%2Fwos%2Fwoscc%2Ffull-record%2FWOS:001164830900007","View Full Record in Web of Science")</f>
        <v>View Full Record in Web of Science</v>
      </c>
    </row>
    <row r="222" spans="1:72" x14ac:dyDescent="0.15">
      <c r="A222" t="s">
        <v>72</v>
      </c>
      <c r="B222" t="s">
        <v>4386</v>
      </c>
      <c r="C222" t="s">
        <v>74</v>
      </c>
      <c r="D222" t="s">
        <v>74</v>
      </c>
      <c r="E222" t="s">
        <v>74</v>
      </c>
      <c r="F222" t="s">
        <v>4387</v>
      </c>
      <c r="G222" t="s">
        <v>74</v>
      </c>
      <c r="H222" t="s">
        <v>74</v>
      </c>
      <c r="I222" t="s">
        <v>4388</v>
      </c>
      <c r="J222" t="s">
        <v>2809</v>
      </c>
      <c r="K222" t="s">
        <v>74</v>
      </c>
      <c r="L222" t="s">
        <v>74</v>
      </c>
      <c r="M222" t="s">
        <v>78</v>
      </c>
      <c r="N222" t="s">
        <v>79</v>
      </c>
      <c r="O222" t="s">
        <v>74</v>
      </c>
      <c r="P222" t="s">
        <v>74</v>
      </c>
      <c r="Q222" t="s">
        <v>74</v>
      </c>
      <c r="R222" t="s">
        <v>74</v>
      </c>
      <c r="S222" t="s">
        <v>74</v>
      </c>
      <c r="T222" t="s">
        <v>74</v>
      </c>
      <c r="U222" t="s">
        <v>4389</v>
      </c>
      <c r="V222" t="s">
        <v>4390</v>
      </c>
      <c r="W222" t="s">
        <v>4391</v>
      </c>
      <c r="X222" t="s">
        <v>4392</v>
      </c>
      <c r="Y222" t="s">
        <v>4393</v>
      </c>
      <c r="Z222" t="s">
        <v>4394</v>
      </c>
      <c r="AA222" t="s">
        <v>4395</v>
      </c>
      <c r="AB222" t="s">
        <v>4396</v>
      </c>
      <c r="AC222" t="s">
        <v>4397</v>
      </c>
      <c r="AD222" t="s">
        <v>4398</v>
      </c>
      <c r="AE222" t="s">
        <v>4399</v>
      </c>
      <c r="AF222" t="s">
        <v>74</v>
      </c>
      <c r="AG222">
        <v>60</v>
      </c>
      <c r="AH222">
        <v>0</v>
      </c>
      <c r="AI222">
        <v>0</v>
      </c>
      <c r="AJ222">
        <v>1</v>
      </c>
      <c r="AK222">
        <v>1</v>
      </c>
      <c r="AL222" t="s">
        <v>1838</v>
      </c>
      <c r="AM222" t="s">
        <v>1839</v>
      </c>
      <c r="AN222" t="s">
        <v>1840</v>
      </c>
      <c r="AO222" t="s">
        <v>2818</v>
      </c>
      <c r="AP222" t="s">
        <v>2819</v>
      </c>
      <c r="AQ222" t="s">
        <v>74</v>
      </c>
      <c r="AR222" t="s">
        <v>2809</v>
      </c>
      <c r="AS222" t="s">
        <v>2820</v>
      </c>
      <c r="AT222" t="s">
        <v>4382</v>
      </c>
      <c r="AU222">
        <v>2023</v>
      </c>
      <c r="AV222">
        <v>17</v>
      </c>
      <c r="AW222">
        <v>12</v>
      </c>
      <c r="AX222" t="s">
        <v>74</v>
      </c>
      <c r="AY222" t="s">
        <v>74</v>
      </c>
      <c r="AZ222" t="s">
        <v>74</v>
      </c>
      <c r="BA222" t="s">
        <v>74</v>
      </c>
      <c r="BB222">
        <v>5197</v>
      </c>
      <c r="BC222">
        <v>5217</v>
      </c>
      <c r="BD222" t="s">
        <v>74</v>
      </c>
      <c r="BE222" t="s">
        <v>4400</v>
      </c>
      <c r="BF222" t="str">
        <f>HYPERLINK("http://dx.doi.org/10.5194/tc-17-5197-2023","http://dx.doi.org/10.5194/tc-17-5197-2023")</f>
        <v>http://dx.doi.org/10.5194/tc-17-5197-2023</v>
      </c>
      <c r="BG222" t="s">
        <v>74</v>
      </c>
      <c r="BH222" t="s">
        <v>74</v>
      </c>
      <c r="BI222">
        <v>21</v>
      </c>
      <c r="BJ222" t="s">
        <v>984</v>
      </c>
      <c r="BK222" t="s">
        <v>100</v>
      </c>
      <c r="BL222" t="s">
        <v>985</v>
      </c>
      <c r="BM222" t="s">
        <v>4401</v>
      </c>
      <c r="BN222" t="s">
        <v>74</v>
      </c>
      <c r="BO222" t="s">
        <v>349</v>
      </c>
      <c r="BP222" t="s">
        <v>74</v>
      </c>
      <c r="BQ222" t="s">
        <v>74</v>
      </c>
      <c r="BR222" t="s">
        <v>104</v>
      </c>
      <c r="BS222" t="s">
        <v>4402</v>
      </c>
      <c r="BT222" t="str">
        <f>HYPERLINK("https%3A%2F%2Fwww.webofscience.com%2Fwos%2Fwoscc%2Ffull-record%2FWOS:001168858200001","View Full Record in Web of Science")</f>
        <v>View Full Record in Web of Science</v>
      </c>
    </row>
    <row r="223" spans="1:72" x14ac:dyDescent="0.15">
      <c r="A223" t="s">
        <v>72</v>
      </c>
      <c r="B223" t="s">
        <v>4403</v>
      </c>
      <c r="C223" t="s">
        <v>74</v>
      </c>
      <c r="D223" t="s">
        <v>74</v>
      </c>
      <c r="E223" t="s">
        <v>74</v>
      </c>
      <c r="F223" t="s">
        <v>4404</v>
      </c>
      <c r="G223" t="s">
        <v>74</v>
      </c>
      <c r="H223" t="s">
        <v>74</v>
      </c>
      <c r="I223" t="s">
        <v>4405</v>
      </c>
      <c r="J223" t="s">
        <v>962</v>
      </c>
      <c r="K223" t="s">
        <v>74</v>
      </c>
      <c r="L223" t="s">
        <v>74</v>
      </c>
      <c r="M223" t="s">
        <v>78</v>
      </c>
      <c r="N223" t="s">
        <v>79</v>
      </c>
      <c r="O223" t="s">
        <v>74</v>
      </c>
      <c r="P223" t="s">
        <v>74</v>
      </c>
      <c r="Q223" t="s">
        <v>74</v>
      </c>
      <c r="R223" t="s">
        <v>74</v>
      </c>
      <c r="S223" t="s">
        <v>74</v>
      </c>
      <c r="T223" t="s">
        <v>4406</v>
      </c>
      <c r="U223" t="s">
        <v>4407</v>
      </c>
      <c r="V223" t="s">
        <v>4408</v>
      </c>
      <c r="W223" t="s">
        <v>4409</v>
      </c>
      <c r="X223" t="s">
        <v>4410</v>
      </c>
      <c r="Y223" t="s">
        <v>2717</v>
      </c>
      <c r="Z223" t="s">
        <v>4411</v>
      </c>
      <c r="AA223" t="s">
        <v>74</v>
      </c>
      <c r="AB223" t="s">
        <v>4412</v>
      </c>
      <c r="AC223" t="s">
        <v>4413</v>
      </c>
      <c r="AD223" t="s">
        <v>4414</v>
      </c>
      <c r="AE223" t="s">
        <v>4415</v>
      </c>
      <c r="AF223" t="s">
        <v>74</v>
      </c>
      <c r="AG223">
        <v>155</v>
      </c>
      <c r="AH223">
        <v>9</v>
      </c>
      <c r="AI223">
        <v>9</v>
      </c>
      <c r="AJ223">
        <v>1</v>
      </c>
      <c r="AK223">
        <v>1</v>
      </c>
      <c r="AL223" t="s">
        <v>975</v>
      </c>
      <c r="AM223" t="s">
        <v>976</v>
      </c>
      <c r="AN223" t="s">
        <v>977</v>
      </c>
      <c r="AO223" t="s">
        <v>978</v>
      </c>
      <c r="AP223" t="s">
        <v>979</v>
      </c>
      <c r="AQ223" t="s">
        <v>74</v>
      </c>
      <c r="AR223" t="s">
        <v>980</v>
      </c>
      <c r="AS223" t="s">
        <v>981</v>
      </c>
      <c r="AT223" t="s">
        <v>1186</v>
      </c>
      <c r="AU223">
        <v>2024</v>
      </c>
      <c r="AV223">
        <v>323</v>
      </c>
      <c r="AW223" t="s">
        <v>74</v>
      </c>
      <c r="AX223" t="s">
        <v>74</v>
      </c>
      <c r="AY223" t="s">
        <v>74</v>
      </c>
      <c r="AZ223" t="s">
        <v>74</v>
      </c>
      <c r="BA223" t="s">
        <v>74</v>
      </c>
      <c r="BB223" t="s">
        <v>74</v>
      </c>
      <c r="BC223" t="s">
        <v>74</v>
      </c>
      <c r="BD223">
        <v>107680</v>
      </c>
      <c r="BE223" t="s">
        <v>4416</v>
      </c>
      <c r="BF223" t="str">
        <f>HYPERLINK("http://dx.doi.org/10.1016/j.quascirev.2022.107680","http://dx.doi.org/10.1016/j.quascirev.2022.107680")</f>
        <v>http://dx.doi.org/10.1016/j.quascirev.2022.107680</v>
      </c>
      <c r="BG223" t="s">
        <v>74</v>
      </c>
      <c r="BH223" t="s">
        <v>98</v>
      </c>
      <c r="BI223">
        <v>22</v>
      </c>
      <c r="BJ223" t="s">
        <v>984</v>
      </c>
      <c r="BK223" t="s">
        <v>100</v>
      </c>
      <c r="BL223" t="s">
        <v>985</v>
      </c>
      <c r="BM223" t="s">
        <v>4417</v>
      </c>
      <c r="BN223" t="s">
        <v>74</v>
      </c>
      <c r="BO223" t="s">
        <v>2452</v>
      </c>
      <c r="BP223" t="s">
        <v>74</v>
      </c>
      <c r="BQ223" t="s">
        <v>74</v>
      </c>
      <c r="BR223" t="s">
        <v>104</v>
      </c>
      <c r="BS223" t="s">
        <v>4418</v>
      </c>
      <c r="BT223" t="str">
        <f>HYPERLINK("https%3A%2F%2Fwww.webofscience.com%2Fwos%2Fwoscc%2Ffull-record%2FWOS:001138844400001","View Full Record in Web of Science")</f>
        <v>View Full Record in Web of Science</v>
      </c>
    </row>
    <row r="224" spans="1:72" x14ac:dyDescent="0.15">
      <c r="A224" t="s">
        <v>72</v>
      </c>
      <c r="B224" t="s">
        <v>4419</v>
      </c>
      <c r="C224" t="s">
        <v>74</v>
      </c>
      <c r="D224" t="s">
        <v>74</v>
      </c>
      <c r="E224" t="s">
        <v>74</v>
      </c>
      <c r="F224" t="s">
        <v>4420</v>
      </c>
      <c r="G224" t="s">
        <v>74</v>
      </c>
      <c r="H224" t="s">
        <v>74</v>
      </c>
      <c r="I224" t="s">
        <v>4421</v>
      </c>
      <c r="J224" t="s">
        <v>962</v>
      </c>
      <c r="K224" t="s">
        <v>74</v>
      </c>
      <c r="L224" t="s">
        <v>74</v>
      </c>
      <c r="M224" t="s">
        <v>78</v>
      </c>
      <c r="N224" t="s">
        <v>1459</v>
      </c>
      <c r="O224" t="s">
        <v>74</v>
      </c>
      <c r="P224" t="s">
        <v>74</v>
      </c>
      <c r="Q224" t="s">
        <v>74</v>
      </c>
      <c r="R224" t="s">
        <v>74</v>
      </c>
      <c r="S224" t="s">
        <v>74</v>
      </c>
      <c r="T224" t="s">
        <v>74</v>
      </c>
      <c r="U224" t="s">
        <v>4422</v>
      </c>
      <c r="V224" t="s">
        <v>74</v>
      </c>
      <c r="W224" t="s">
        <v>4423</v>
      </c>
      <c r="X224" t="s">
        <v>4424</v>
      </c>
      <c r="Y224" t="s">
        <v>4425</v>
      </c>
      <c r="Z224" t="s">
        <v>4426</v>
      </c>
      <c r="AA224" t="s">
        <v>74</v>
      </c>
      <c r="AB224" t="s">
        <v>74</v>
      </c>
      <c r="AC224" t="s">
        <v>74</v>
      </c>
      <c r="AD224" t="s">
        <v>74</v>
      </c>
      <c r="AE224" t="s">
        <v>74</v>
      </c>
      <c r="AF224" t="s">
        <v>74</v>
      </c>
      <c r="AG224">
        <v>17</v>
      </c>
      <c r="AH224">
        <v>0</v>
      </c>
      <c r="AI224">
        <v>0</v>
      </c>
      <c r="AJ224">
        <v>2</v>
      </c>
      <c r="AK224">
        <v>2</v>
      </c>
      <c r="AL224" t="s">
        <v>975</v>
      </c>
      <c r="AM224" t="s">
        <v>976</v>
      </c>
      <c r="AN224" t="s">
        <v>977</v>
      </c>
      <c r="AO224" t="s">
        <v>978</v>
      </c>
      <c r="AP224" t="s">
        <v>979</v>
      </c>
      <c r="AQ224" t="s">
        <v>74</v>
      </c>
      <c r="AR224" t="s">
        <v>980</v>
      </c>
      <c r="AS224" t="s">
        <v>981</v>
      </c>
      <c r="AT224" t="s">
        <v>1186</v>
      </c>
      <c r="AU224">
        <v>2024</v>
      </c>
      <c r="AV224">
        <v>323</v>
      </c>
      <c r="AW224" t="s">
        <v>74</v>
      </c>
      <c r="AX224" t="s">
        <v>74</v>
      </c>
      <c r="AY224" t="s">
        <v>74</v>
      </c>
      <c r="AZ224" t="s">
        <v>74</v>
      </c>
      <c r="BA224" t="s">
        <v>74</v>
      </c>
      <c r="BB224" t="s">
        <v>74</v>
      </c>
      <c r="BC224" t="s">
        <v>74</v>
      </c>
      <c r="BD224">
        <v>108435</v>
      </c>
      <c r="BE224" t="s">
        <v>4427</v>
      </c>
      <c r="BF224" t="str">
        <f>HYPERLINK("http://dx.doi.org/10.1016/j.quascirev.2023.108435","http://dx.doi.org/10.1016/j.quascirev.2023.108435")</f>
        <v>http://dx.doi.org/10.1016/j.quascirev.2023.108435</v>
      </c>
      <c r="BG224" t="s">
        <v>74</v>
      </c>
      <c r="BH224" t="s">
        <v>98</v>
      </c>
      <c r="BI224">
        <v>2</v>
      </c>
      <c r="BJ224" t="s">
        <v>984</v>
      </c>
      <c r="BK224" t="s">
        <v>100</v>
      </c>
      <c r="BL224" t="s">
        <v>985</v>
      </c>
      <c r="BM224" t="s">
        <v>4428</v>
      </c>
      <c r="BN224" t="s">
        <v>74</v>
      </c>
      <c r="BO224" t="s">
        <v>74</v>
      </c>
      <c r="BP224" t="s">
        <v>74</v>
      </c>
      <c r="BQ224" t="s">
        <v>74</v>
      </c>
      <c r="BR224" t="s">
        <v>104</v>
      </c>
      <c r="BS224" t="s">
        <v>4429</v>
      </c>
      <c r="BT224" t="str">
        <f>HYPERLINK("https%3A%2F%2Fwww.webofscience.com%2Fwos%2Fwoscc%2Ffull-record%2FWOS:001138841400001","View Full Record in Web of Science")</f>
        <v>View Full Record in Web of Science</v>
      </c>
    </row>
    <row r="225" spans="1:72" x14ac:dyDescent="0.15">
      <c r="A225" t="s">
        <v>72</v>
      </c>
      <c r="B225" t="s">
        <v>4430</v>
      </c>
      <c r="C225" t="s">
        <v>74</v>
      </c>
      <c r="D225" t="s">
        <v>74</v>
      </c>
      <c r="E225" t="s">
        <v>74</v>
      </c>
      <c r="F225" t="s">
        <v>4431</v>
      </c>
      <c r="G225" t="s">
        <v>74</v>
      </c>
      <c r="H225" t="s">
        <v>74</v>
      </c>
      <c r="I225" t="s">
        <v>4432</v>
      </c>
      <c r="J225" t="s">
        <v>962</v>
      </c>
      <c r="K225" t="s">
        <v>74</v>
      </c>
      <c r="L225" t="s">
        <v>74</v>
      </c>
      <c r="M225" t="s">
        <v>78</v>
      </c>
      <c r="N225" t="s">
        <v>920</v>
      </c>
      <c r="O225" t="s">
        <v>74</v>
      </c>
      <c r="P225" t="s">
        <v>74</v>
      </c>
      <c r="Q225" t="s">
        <v>74</v>
      </c>
      <c r="R225" t="s">
        <v>74</v>
      </c>
      <c r="S225" t="s">
        <v>74</v>
      </c>
      <c r="T225" t="s">
        <v>74</v>
      </c>
      <c r="U225" t="s">
        <v>4433</v>
      </c>
      <c r="V225" t="s">
        <v>74</v>
      </c>
      <c r="W225" t="s">
        <v>4434</v>
      </c>
      <c r="X225" t="s">
        <v>4435</v>
      </c>
      <c r="Y225" t="s">
        <v>4436</v>
      </c>
      <c r="Z225" t="s">
        <v>4437</v>
      </c>
      <c r="AA225" t="s">
        <v>74</v>
      </c>
      <c r="AB225" t="s">
        <v>74</v>
      </c>
      <c r="AC225" t="s">
        <v>74</v>
      </c>
      <c r="AD225" t="s">
        <v>74</v>
      </c>
      <c r="AE225" t="s">
        <v>74</v>
      </c>
      <c r="AF225" t="s">
        <v>74</v>
      </c>
      <c r="AG225">
        <v>24</v>
      </c>
      <c r="AH225">
        <v>0</v>
      </c>
      <c r="AI225">
        <v>0</v>
      </c>
      <c r="AJ225">
        <v>1</v>
      </c>
      <c r="AK225">
        <v>1</v>
      </c>
      <c r="AL225" t="s">
        <v>975</v>
      </c>
      <c r="AM225" t="s">
        <v>976</v>
      </c>
      <c r="AN225" t="s">
        <v>977</v>
      </c>
      <c r="AO225" t="s">
        <v>978</v>
      </c>
      <c r="AP225" t="s">
        <v>979</v>
      </c>
      <c r="AQ225" t="s">
        <v>74</v>
      </c>
      <c r="AR225" t="s">
        <v>980</v>
      </c>
      <c r="AS225" t="s">
        <v>981</v>
      </c>
      <c r="AT225" t="s">
        <v>1186</v>
      </c>
      <c r="AU225">
        <v>2024</v>
      </c>
      <c r="AV225">
        <v>323</v>
      </c>
      <c r="AW225" t="s">
        <v>74</v>
      </c>
      <c r="AX225" t="s">
        <v>74</v>
      </c>
      <c r="AY225" t="s">
        <v>74</v>
      </c>
      <c r="AZ225" t="s">
        <v>74</v>
      </c>
      <c r="BA225" t="s">
        <v>74</v>
      </c>
      <c r="BB225" t="s">
        <v>74</v>
      </c>
      <c r="BC225" t="s">
        <v>74</v>
      </c>
      <c r="BD225">
        <v>108348</v>
      </c>
      <c r="BE225" t="s">
        <v>4438</v>
      </c>
      <c r="BF225" t="str">
        <f>HYPERLINK("http://dx.doi.org/10.1016/j.quascirev.2023.108348","http://dx.doi.org/10.1016/j.quascirev.2023.108348")</f>
        <v>http://dx.doi.org/10.1016/j.quascirev.2023.108348</v>
      </c>
      <c r="BG225" t="s">
        <v>74</v>
      </c>
      <c r="BH225" t="s">
        <v>98</v>
      </c>
      <c r="BI225">
        <v>3</v>
      </c>
      <c r="BJ225" t="s">
        <v>984</v>
      </c>
      <c r="BK225" t="s">
        <v>100</v>
      </c>
      <c r="BL225" t="s">
        <v>985</v>
      </c>
      <c r="BM225" t="s">
        <v>4439</v>
      </c>
      <c r="BN225" t="s">
        <v>74</v>
      </c>
      <c r="BO225" t="s">
        <v>74</v>
      </c>
      <c r="BP225" t="s">
        <v>74</v>
      </c>
      <c r="BQ225" t="s">
        <v>74</v>
      </c>
      <c r="BR225" t="s">
        <v>104</v>
      </c>
      <c r="BS225" t="s">
        <v>4440</v>
      </c>
      <c r="BT225" t="str">
        <f>HYPERLINK("https%3A%2F%2Fwww.webofscience.com%2Fwos%2Fwoscc%2Ffull-record%2FWOS:001138742200001","View Full Record in Web of Science")</f>
        <v>View Full Record in Web of Science</v>
      </c>
    </row>
    <row r="226" spans="1:72" x14ac:dyDescent="0.15">
      <c r="A226" t="s">
        <v>72</v>
      </c>
      <c r="B226" t="s">
        <v>4441</v>
      </c>
      <c r="C226" t="s">
        <v>74</v>
      </c>
      <c r="D226" t="s">
        <v>74</v>
      </c>
      <c r="E226" t="s">
        <v>74</v>
      </c>
      <c r="F226" t="s">
        <v>4442</v>
      </c>
      <c r="G226" t="s">
        <v>74</v>
      </c>
      <c r="H226" t="s">
        <v>74</v>
      </c>
      <c r="I226" t="s">
        <v>4443</v>
      </c>
      <c r="J226" t="s">
        <v>4444</v>
      </c>
      <c r="K226" t="s">
        <v>74</v>
      </c>
      <c r="L226" t="s">
        <v>74</v>
      </c>
      <c r="M226" t="s">
        <v>78</v>
      </c>
      <c r="N226" t="s">
        <v>1547</v>
      </c>
      <c r="O226" t="s">
        <v>74</v>
      </c>
      <c r="P226" t="s">
        <v>74</v>
      </c>
      <c r="Q226" t="s">
        <v>74</v>
      </c>
      <c r="R226" t="s">
        <v>74</v>
      </c>
      <c r="S226" t="s">
        <v>74</v>
      </c>
      <c r="T226" t="s">
        <v>4445</v>
      </c>
      <c r="U226" t="s">
        <v>4446</v>
      </c>
      <c r="V226" t="s">
        <v>4447</v>
      </c>
      <c r="W226" t="s">
        <v>4448</v>
      </c>
      <c r="X226" t="s">
        <v>4449</v>
      </c>
      <c r="Y226" t="s">
        <v>4450</v>
      </c>
      <c r="Z226" t="s">
        <v>4451</v>
      </c>
      <c r="AA226" t="s">
        <v>4452</v>
      </c>
      <c r="AB226" t="s">
        <v>4453</v>
      </c>
      <c r="AC226" t="s">
        <v>4454</v>
      </c>
      <c r="AD226" t="s">
        <v>4455</v>
      </c>
      <c r="AE226" t="s">
        <v>4456</v>
      </c>
      <c r="AF226" t="s">
        <v>74</v>
      </c>
      <c r="AG226">
        <v>33</v>
      </c>
      <c r="AH226">
        <v>0</v>
      </c>
      <c r="AI226">
        <v>0</v>
      </c>
      <c r="AJ226">
        <v>5</v>
      </c>
      <c r="AK226">
        <v>5</v>
      </c>
      <c r="AL226" t="s">
        <v>1560</v>
      </c>
      <c r="AM226" t="s">
        <v>976</v>
      </c>
      <c r="AN226" t="s">
        <v>1561</v>
      </c>
      <c r="AO226" t="s">
        <v>4457</v>
      </c>
      <c r="AP226" t="s">
        <v>4458</v>
      </c>
      <c r="AQ226" t="s">
        <v>74</v>
      </c>
      <c r="AR226" t="s">
        <v>4459</v>
      </c>
      <c r="AS226" t="s">
        <v>4460</v>
      </c>
      <c r="AT226" t="s">
        <v>4362</v>
      </c>
      <c r="AU226">
        <v>2023</v>
      </c>
      <c r="AV226" t="s">
        <v>74</v>
      </c>
      <c r="AW226" t="s">
        <v>74</v>
      </c>
      <c r="AX226" t="s">
        <v>74</v>
      </c>
      <c r="AY226" t="s">
        <v>74</v>
      </c>
      <c r="AZ226" t="s">
        <v>74</v>
      </c>
      <c r="BA226" t="s">
        <v>74</v>
      </c>
      <c r="BB226" t="s">
        <v>74</v>
      </c>
      <c r="BC226" t="s">
        <v>74</v>
      </c>
      <c r="BD226" t="s">
        <v>74</v>
      </c>
      <c r="BE226" t="s">
        <v>4461</v>
      </c>
      <c r="BF226" t="str">
        <f>HYPERLINK("http://dx.doi.org/10.1093/pcp/pcad153","http://dx.doi.org/10.1093/pcp/pcad153")</f>
        <v>http://dx.doi.org/10.1093/pcp/pcad153</v>
      </c>
      <c r="BG226" t="s">
        <v>74</v>
      </c>
      <c r="BH226" t="s">
        <v>98</v>
      </c>
      <c r="BI226">
        <v>11</v>
      </c>
      <c r="BJ226" t="s">
        <v>4462</v>
      </c>
      <c r="BK226" t="s">
        <v>100</v>
      </c>
      <c r="BL226" t="s">
        <v>4462</v>
      </c>
      <c r="BM226" t="s">
        <v>4463</v>
      </c>
      <c r="BN226">
        <v>38147500</v>
      </c>
      <c r="BO226" t="s">
        <v>74</v>
      </c>
      <c r="BP226" t="s">
        <v>74</v>
      </c>
      <c r="BQ226" t="s">
        <v>74</v>
      </c>
      <c r="BR226" t="s">
        <v>104</v>
      </c>
      <c r="BS226" t="s">
        <v>4464</v>
      </c>
      <c r="BT226" t="str">
        <f>HYPERLINK("https%3A%2F%2Fwww.webofscience.com%2Fwos%2Fwoscc%2Ffull-record%2FWOS:001135269300001","View Full Record in Web of Science")</f>
        <v>View Full Record in Web of Science</v>
      </c>
    </row>
    <row r="227" spans="1:72" x14ac:dyDescent="0.15">
      <c r="A227" t="s">
        <v>72</v>
      </c>
      <c r="B227" t="s">
        <v>4465</v>
      </c>
      <c r="C227" t="s">
        <v>74</v>
      </c>
      <c r="D227" t="s">
        <v>74</v>
      </c>
      <c r="E227" t="s">
        <v>74</v>
      </c>
      <c r="F227" t="s">
        <v>4466</v>
      </c>
      <c r="G227" t="s">
        <v>74</v>
      </c>
      <c r="H227" t="s">
        <v>74</v>
      </c>
      <c r="I227" t="s">
        <v>4467</v>
      </c>
      <c r="J227" t="s">
        <v>1746</v>
      </c>
      <c r="K227" t="s">
        <v>74</v>
      </c>
      <c r="L227" t="s">
        <v>74</v>
      </c>
      <c r="M227" t="s">
        <v>78</v>
      </c>
      <c r="N227" t="s">
        <v>79</v>
      </c>
      <c r="O227" t="s">
        <v>74</v>
      </c>
      <c r="P227" t="s">
        <v>74</v>
      </c>
      <c r="Q227" t="s">
        <v>74</v>
      </c>
      <c r="R227" t="s">
        <v>74</v>
      </c>
      <c r="S227" t="s">
        <v>74</v>
      </c>
      <c r="T227" t="s">
        <v>4468</v>
      </c>
      <c r="U227" t="s">
        <v>4469</v>
      </c>
      <c r="V227" t="s">
        <v>4470</v>
      </c>
      <c r="W227" t="s">
        <v>4471</v>
      </c>
      <c r="X227" t="s">
        <v>4472</v>
      </c>
      <c r="Y227" t="s">
        <v>4473</v>
      </c>
      <c r="Z227" t="s">
        <v>4474</v>
      </c>
      <c r="AA227" t="s">
        <v>74</v>
      </c>
      <c r="AB227" t="s">
        <v>74</v>
      </c>
      <c r="AC227" t="s">
        <v>4475</v>
      </c>
      <c r="AD227" t="s">
        <v>4476</v>
      </c>
      <c r="AE227" t="s">
        <v>4477</v>
      </c>
      <c r="AF227" t="s">
        <v>74</v>
      </c>
      <c r="AG227">
        <v>56</v>
      </c>
      <c r="AH227">
        <v>0</v>
      </c>
      <c r="AI227">
        <v>0</v>
      </c>
      <c r="AJ227">
        <v>9</v>
      </c>
      <c r="AK227">
        <v>9</v>
      </c>
      <c r="AL227" t="s">
        <v>1758</v>
      </c>
      <c r="AM227" t="s">
        <v>1759</v>
      </c>
      <c r="AN227" t="s">
        <v>1760</v>
      </c>
      <c r="AO227" t="s">
        <v>74</v>
      </c>
      <c r="AP227" t="s">
        <v>1761</v>
      </c>
      <c r="AQ227" t="s">
        <v>74</v>
      </c>
      <c r="AR227" t="s">
        <v>1762</v>
      </c>
      <c r="AS227" t="s">
        <v>1763</v>
      </c>
      <c r="AT227" t="s">
        <v>4382</v>
      </c>
      <c r="AU227">
        <v>2023</v>
      </c>
      <c r="AV227">
        <v>10</v>
      </c>
      <c r="AW227" t="s">
        <v>74</v>
      </c>
      <c r="AX227" t="s">
        <v>74</v>
      </c>
      <c r="AY227" t="s">
        <v>74</v>
      </c>
      <c r="AZ227" t="s">
        <v>74</v>
      </c>
      <c r="BA227" t="s">
        <v>74</v>
      </c>
      <c r="BB227" t="s">
        <v>74</v>
      </c>
      <c r="BC227" t="s">
        <v>74</v>
      </c>
      <c r="BD227">
        <v>1250150</v>
      </c>
      <c r="BE227" t="s">
        <v>4478</v>
      </c>
      <c r="BF227" t="str">
        <f>HYPERLINK("http://dx.doi.org/10.3389/fmars.2023.1250150","http://dx.doi.org/10.3389/fmars.2023.1250150")</f>
        <v>http://dx.doi.org/10.3389/fmars.2023.1250150</v>
      </c>
      <c r="BG227" t="s">
        <v>74</v>
      </c>
      <c r="BH227" t="s">
        <v>74</v>
      </c>
      <c r="BI227">
        <v>13</v>
      </c>
      <c r="BJ227" t="s">
        <v>1135</v>
      </c>
      <c r="BK227" t="s">
        <v>100</v>
      </c>
      <c r="BL227" t="s">
        <v>1136</v>
      </c>
      <c r="BM227" t="s">
        <v>4479</v>
      </c>
      <c r="BN227" t="s">
        <v>74</v>
      </c>
      <c r="BO227" t="s">
        <v>131</v>
      </c>
      <c r="BP227" t="s">
        <v>74</v>
      </c>
      <c r="BQ227" t="s">
        <v>74</v>
      </c>
      <c r="BR227" t="s">
        <v>104</v>
      </c>
      <c r="BS227" t="s">
        <v>4480</v>
      </c>
      <c r="BT227" t="str">
        <f>HYPERLINK("https%3A%2F%2Fwww.webofscience.com%2Fwos%2Fwoscc%2Ffull-record%2FWOS:001129118900001","View Full Record in Web of Science")</f>
        <v>View Full Record in Web of Science</v>
      </c>
    </row>
    <row r="228" spans="1:72" x14ac:dyDescent="0.15">
      <c r="A228" t="s">
        <v>72</v>
      </c>
      <c r="B228" t="s">
        <v>4481</v>
      </c>
      <c r="C228" t="s">
        <v>74</v>
      </c>
      <c r="D228" t="s">
        <v>74</v>
      </c>
      <c r="E228" t="s">
        <v>74</v>
      </c>
      <c r="F228" t="s">
        <v>4482</v>
      </c>
      <c r="G228" t="s">
        <v>74</v>
      </c>
      <c r="H228" t="s">
        <v>74</v>
      </c>
      <c r="I228" t="s">
        <v>4483</v>
      </c>
      <c r="J228" t="s">
        <v>4484</v>
      </c>
      <c r="K228" t="s">
        <v>74</v>
      </c>
      <c r="L228" t="s">
        <v>74</v>
      </c>
      <c r="M228" t="s">
        <v>78</v>
      </c>
      <c r="N228" t="s">
        <v>1547</v>
      </c>
      <c r="O228" t="s">
        <v>74</v>
      </c>
      <c r="P228" t="s">
        <v>74</v>
      </c>
      <c r="Q228" t="s">
        <v>74</v>
      </c>
      <c r="R228" t="s">
        <v>74</v>
      </c>
      <c r="S228" t="s">
        <v>74</v>
      </c>
      <c r="T228" t="s">
        <v>4485</v>
      </c>
      <c r="U228" t="s">
        <v>4486</v>
      </c>
      <c r="V228" t="s">
        <v>4487</v>
      </c>
      <c r="W228" t="s">
        <v>4488</v>
      </c>
      <c r="X228" t="s">
        <v>4489</v>
      </c>
      <c r="Y228" t="s">
        <v>4490</v>
      </c>
      <c r="Z228" t="s">
        <v>4491</v>
      </c>
      <c r="AA228" t="s">
        <v>4492</v>
      </c>
      <c r="AB228" t="s">
        <v>4493</v>
      </c>
      <c r="AC228" t="s">
        <v>4494</v>
      </c>
      <c r="AD228" t="s">
        <v>4495</v>
      </c>
      <c r="AE228" t="s">
        <v>4496</v>
      </c>
      <c r="AF228" t="s">
        <v>74</v>
      </c>
      <c r="AG228">
        <v>53</v>
      </c>
      <c r="AH228">
        <v>1</v>
      </c>
      <c r="AI228">
        <v>1</v>
      </c>
      <c r="AJ228">
        <v>3</v>
      </c>
      <c r="AK228">
        <v>3</v>
      </c>
      <c r="AL228" t="s">
        <v>1782</v>
      </c>
      <c r="AM228" t="s">
        <v>1783</v>
      </c>
      <c r="AN228" t="s">
        <v>1784</v>
      </c>
      <c r="AO228" t="s">
        <v>4497</v>
      </c>
      <c r="AP228" t="s">
        <v>4498</v>
      </c>
      <c r="AQ228" t="s">
        <v>74</v>
      </c>
      <c r="AR228" t="s">
        <v>4499</v>
      </c>
      <c r="AS228" t="s">
        <v>4500</v>
      </c>
      <c r="AT228" t="s">
        <v>4362</v>
      </c>
      <c r="AU228">
        <v>2023</v>
      </c>
      <c r="AV228" t="s">
        <v>74</v>
      </c>
      <c r="AW228" t="s">
        <v>74</v>
      </c>
      <c r="AX228" t="s">
        <v>74</v>
      </c>
      <c r="AY228" t="s">
        <v>74</v>
      </c>
      <c r="AZ228" t="s">
        <v>74</v>
      </c>
      <c r="BA228" t="s">
        <v>74</v>
      </c>
      <c r="BB228" t="s">
        <v>74</v>
      </c>
      <c r="BC228" t="s">
        <v>74</v>
      </c>
      <c r="BD228" t="s">
        <v>74</v>
      </c>
      <c r="BE228" t="s">
        <v>4501</v>
      </c>
      <c r="BF228" t="str">
        <f>HYPERLINK("http://dx.doi.org/10.1017/aog.2023.73","http://dx.doi.org/10.1017/aog.2023.73")</f>
        <v>http://dx.doi.org/10.1017/aog.2023.73</v>
      </c>
      <c r="BG228" t="s">
        <v>74</v>
      </c>
      <c r="BH228" t="s">
        <v>98</v>
      </c>
      <c r="BI228">
        <v>9</v>
      </c>
      <c r="BJ228" t="s">
        <v>984</v>
      </c>
      <c r="BK228" t="s">
        <v>100</v>
      </c>
      <c r="BL228" t="s">
        <v>985</v>
      </c>
      <c r="BM228" t="s">
        <v>4502</v>
      </c>
      <c r="BN228" t="s">
        <v>74</v>
      </c>
      <c r="BO228" t="s">
        <v>131</v>
      </c>
      <c r="BP228" t="s">
        <v>74</v>
      </c>
      <c r="BQ228" t="s">
        <v>74</v>
      </c>
      <c r="BR228" t="s">
        <v>104</v>
      </c>
      <c r="BS228" t="s">
        <v>4503</v>
      </c>
      <c r="BT228" t="str">
        <f>HYPERLINK("https%3A%2F%2Fwww.webofscience.com%2Fwos%2Fwoscc%2Ffull-record%2FWOS:001114356100001","View Full Record in Web of Science")</f>
        <v>View Full Record in Web of Science</v>
      </c>
    </row>
    <row r="229" spans="1:72" x14ac:dyDescent="0.15">
      <c r="A229" t="s">
        <v>72</v>
      </c>
      <c r="B229" t="s">
        <v>4504</v>
      </c>
      <c r="C229" t="s">
        <v>74</v>
      </c>
      <c r="D229" t="s">
        <v>74</v>
      </c>
      <c r="E229" t="s">
        <v>74</v>
      </c>
      <c r="F229" t="s">
        <v>4505</v>
      </c>
      <c r="G229" t="s">
        <v>74</v>
      </c>
      <c r="H229" t="s">
        <v>74</v>
      </c>
      <c r="I229" t="s">
        <v>4506</v>
      </c>
      <c r="J229" t="s">
        <v>4507</v>
      </c>
      <c r="K229" t="s">
        <v>74</v>
      </c>
      <c r="L229" t="s">
        <v>74</v>
      </c>
      <c r="M229" t="s">
        <v>78</v>
      </c>
      <c r="N229" t="s">
        <v>79</v>
      </c>
      <c r="O229" t="s">
        <v>74</v>
      </c>
      <c r="P229" t="s">
        <v>74</v>
      </c>
      <c r="Q229" t="s">
        <v>74</v>
      </c>
      <c r="R229" t="s">
        <v>74</v>
      </c>
      <c r="S229" t="s">
        <v>74</v>
      </c>
      <c r="T229" t="s">
        <v>4508</v>
      </c>
      <c r="U229" t="s">
        <v>4509</v>
      </c>
      <c r="V229" t="s">
        <v>4510</v>
      </c>
      <c r="W229" t="s">
        <v>4511</v>
      </c>
      <c r="X229" t="s">
        <v>4512</v>
      </c>
      <c r="Y229" t="s">
        <v>4513</v>
      </c>
      <c r="Z229" t="s">
        <v>4514</v>
      </c>
      <c r="AA229" t="s">
        <v>74</v>
      </c>
      <c r="AB229" t="s">
        <v>74</v>
      </c>
      <c r="AC229" t="s">
        <v>4515</v>
      </c>
      <c r="AD229" t="s">
        <v>4516</v>
      </c>
      <c r="AE229" t="s">
        <v>4517</v>
      </c>
      <c r="AF229" t="s">
        <v>74</v>
      </c>
      <c r="AG229">
        <v>105</v>
      </c>
      <c r="AH229">
        <v>0</v>
      </c>
      <c r="AI229">
        <v>0</v>
      </c>
      <c r="AJ229">
        <v>8</v>
      </c>
      <c r="AK229">
        <v>8</v>
      </c>
      <c r="AL229" t="s">
        <v>4518</v>
      </c>
      <c r="AM229" t="s">
        <v>4519</v>
      </c>
      <c r="AN229" t="s">
        <v>4520</v>
      </c>
      <c r="AO229" t="s">
        <v>4521</v>
      </c>
      <c r="AP229" t="s">
        <v>4522</v>
      </c>
      <c r="AQ229" t="s">
        <v>74</v>
      </c>
      <c r="AR229" t="s">
        <v>4523</v>
      </c>
      <c r="AS229" t="s">
        <v>4524</v>
      </c>
      <c r="AT229" t="s">
        <v>4525</v>
      </c>
      <c r="AU229">
        <v>2023</v>
      </c>
      <c r="AV229">
        <v>61</v>
      </c>
      <c r="AW229">
        <v>11</v>
      </c>
      <c r="AX229" t="s">
        <v>74</v>
      </c>
      <c r="AY229" t="s">
        <v>74</v>
      </c>
      <c r="AZ229" t="s">
        <v>74</v>
      </c>
      <c r="BA229" t="s">
        <v>74</v>
      </c>
      <c r="BB229">
        <v>967</v>
      </c>
      <c r="BC229">
        <v>980</v>
      </c>
      <c r="BD229" t="s">
        <v>74</v>
      </c>
      <c r="BE229" t="s">
        <v>4526</v>
      </c>
      <c r="BF229" t="str">
        <f>HYPERLINK("http://dx.doi.org/10.1007/s12275-023-00090-0","http://dx.doi.org/10.1007/s12275-023-00090-0")</f>
        <v>http://dx.doi.org/10.1007/s12275-023-00090-0</v>
      </c>
      <c r="BG229" t="s">
        <v>74</v>
      </c>
      <c r="BH229" t="s">
        <v>98</v>
      </c>
      <c r="BI229">
        <v>14</v>
      </c>
      <c r="BJ229" t="s">
        <v>1084</v>
      </c>
      <c r="BK229" t="s">
        <v>100</v>
      </c>
      <c r="BL229" t="s">
        <v>1084</v>
      </c>
      <c r="BM229" t="s">
        <v>4527</v>
      </c>
      <c r="BN229">
        <v>38062325</v>
      </c>
      <c r="BO229" t="s">
        <v>322</v>
      </c>
      <c r="BP229" t="s">
        <v>74</v>
      </c>
      <c r="BQ229" t="s">
        <v>74</v>
      </c>
      <c r="BR229" t="s">
        <v>104</v>
      </c>
      <c r="BS229" t="s">
        <v>4528</v>
      </c>
      <c r="BT229" t="str">
        <f>HYPERLINK("https%3A%2F%2Fwww.webofscience.com%2Fwos%2Fwoscc%2Ffull-record%2FWOS:001115571300001","View Full Record in Web of Science")</f>
        <v>View Full Record in Web of Science</v>
      </c>
    </row>
    <row r="230" spans="1:72" x14ac:dyDescent="0.15">
      <c r="A230" t="s">
        <v>72</v>
      </c>
      <c r="B230" t="s">
        <v>4529</v>
      </c>
      <c r="C230" t="s">
        <v>74</v>
      </c>
      <c r="D230" t="s">
        <v>74</v>
      </c>
      <c r="E230" t="s">
        <v>74</v>
      </c>
      <c r="F230" t="s">
        <v>4530</v>
      </c>
      <c r="G230" t="s">
        <v>74</v>
      </c>
      <c r="H230" t="s">
        <v>74</v>
      </c>
      <c r="I230" t="s">
        <v>4531</v>
      </c>
      <c r="J230" t="s">
        <v>4532</v>
      </c>
      <c r="K230" t="s">
        <v>74</v>
      </c>
      <c r="L230" t="s">
        <v>74</v>
      </c>
      <c r="M230" t="s">
        <v>78</v>
      </c>
      <c r="N230" t="s">
        <v>79</v>
      </c>
      <c r="O230" t="s">
        <v>74</v>
      </c>
      <c r="P230" t="s">
        <v>74</v>
      </c>
      <c r="Q230" t="s">
        <v>74</v>
      </c>
      <c r="R230" t="s">
        <v>74</v>
      </c>
      <c r="S230" t="s">
        <v>74</v>
      </c>
      <c r="T230" t="s">
        <v>4533</v>
      </c>
      <c r="U230" t="s">
        <v>4534</v>
      </c>
      <c r="V230" t="s">
        <v>4535</v>
      </c>
      <c r="W230" t="s">
        <v>4536</v>
      </c>
      <c r="X230" t="s">
        <v>4537</v>
      </c>
      <c r="Y230" t="s">
        <v>4538</v>
      </c>
      <c r="Z230" t="s">
        <v>4539</v>
      </c>
      <c r="AA230" t="s">
        <v>74</v>
      </c>
      <c r="AB230" t="s">
        <v>4540</v>
      </c>
      <c r="AC230" t="s">
        <v>4541</v>
      </c>
      <c r="AD230" t="s">
        <v>4542</v>
      </c>
      <c r="AE230" t="s">
        <v>4543</v>
      </c>
      <c r="AF230" t="s">
        <v>74</v>
      </c>
      <c r="AG230">
        <v>56</v>
      </c>
      <c r="AH230">
        <v>0</v>
      </c>
      <c r="AI230">
        <v>0</v>
      </c>
      <c r="AJ230">
        <v>1</v>
      </c>
      <c r="AK230">
        <v>1</v>
      </c>
      <c r="AL230" t="s">
        <v>2554</v>
      </c>
      <c r="AM230" t="s">
        <v>2294</v>
      </c>
      <c r="AN230" t="s">
        <v>2555</v>
      </c>
      <c r="AO230" t="s">
        <v>4544</v>
      </c>
      <c r="AP230" t="s">
        <v>74</v>
      </c>
      <c r="AQ230" t="s">
        <v>74</v>
      </c>
      <c r="AR230" t="s">
        <v>4545</v>
      </c>
      <c r="AS230" t="s">
        <v>4546</v>
      </c>
      <c r="AT230" t="s">
        <v>4547</v>
      </c>
      <c r="AU230">
        <v>2023</v>
      </c>
      <c r="AV230">
        <v>10</v>
      </c>
      <c r="AW230">
        <v>12</v>
      </c>
      <c r="AX230" t="s">
        <v>74</v>
      </c>
      <c r="AY230" t="s">
        <v>74</v>
      </c>
      <c r="AZ230" t="s">
        <v>74</v>
      </c>
      <c r="BA230" t="s">
        <v>74</v>
      </c>
      <c r="BB230" t="s">
        <v>74</v>
      </c>
      <c r="BC230" t="s">
        <v>74</v>
      </c>
      <c r="BD230">
        <v>231363</v>
      </c>
      <c r="BE230" t="s">
        <v>4548</v>
      </c>
      <c r="BF230" t="str">
        <f>HYPERLINK("http://dx.doi.org/10.1098/rsos.231363","http://dx.doi.org/10.1098/rsos.231363")</f>
        <v>http://dx.doi.org/10.1098/rsos.231363</v>
      </c>
      <c r="BG230" t="s">
        <v>74</v>
      </c>
      <c r="BH230" t="s">
        <v>74</v>
      </c>
      <c r="BI230">
        <v>17</v>
      </c>
      <c r="BJ230" t="s">
        <v>1035</v>
      </c>
      <c r="BK230" t="s">
        <v>100</v>
      </c>
      <c r="BL230" t="s">
        <v>1036</v>
      </c>
      <c r="BM230" t="s">
        <v>4549</v>
      </c>
      <c r="BN230">
        <v>38077216</v>
      </c>
      <c r="BO230" t="s">
        <v>131</v>
      </c>
      <c r="BP230" t="s">
        <v>74</v>
      </c>
      <c r="BQ230" t="s">
        <v>74</v>
      </c>
      <c r="BR230" t="s">
        <v>104</v>
      </c>
      <c r="BS230" t="s">
        <v>4550</v>
      </c>
      <c r="BT230" t="str">
        <f>HYPERLINK("https%3A%2F%2Fwww.webofscience.com%2Fwos%2Fwoscc%2Ffull-record%2FWOS:001184065900001","View Full Record in Web of Science")</f>
        <v>View Full Record in Web of Science</v>
      </c>
    </row>
    <row r="231" spans="1:72" x14ac:dyDescent="0.15">
      <c r="A231" t="s">
        <v>72</v>
      </c>
      <c r="B231" t="s">
        <v>4551</v>
      </c>
      <c r="C231" t="s">
        <v>74</v>
      </c>
      <c r="D231" t="s">
        <v>74</v>
      </c>
      <c r="E231" t="s">
        <v>74</v>
      </c>
      <c r="F231" t="s">
        <v>4552</v>
      </c>
      <c r="G231" t="s">
        <v>74</v>
      </c>
      <c r="H231" t="s">
        <v>74</v>
      </c>
      <c r="I231" t="s">
        <v>4553</v>
      </c>
      <c r="J231" t="s">
        <v>2809</v>
      </c>
      <c r="K231" t="s">
        <v>74</v>
      </c>
      <c r="L231" t="s">
        <v>74</v>
      </c>
      <c r="M231" t="s">
        <v>78</v>
      </c>
      <c r="N231" t="s">
        <v>79</v>
      </c>
      <c r="O231" t="s">
        <v>74</v>
      </c>
      <c r="P231" t="s">
        <v>74</v>
      </c>
      <c r="Q231" t="s">
        <v>74</v>
      </c>
      <c r="R231" t="s">
        <v>74</v>
      </c>
      <c r="S231" t="s">
        <v>74</v>
      </c>
      <c r="T231" t="s">
        <v>74</v>
      </c>
      <c r="U231" t="s">
        <v>4554</v>
      </c>
      <c r="V231" t="s">
        <v>4555</v>
      </c>
      <c r="W231" t="s">
        <v>4556</v>
      </c>
      <c r="X231" t="s">
        <v>4557</v>
      </c>
      <c r="Y231" t="s">
        <v>4558</v>
      </c>
      <c r="Z231" t="s">
        <v>4559</v>
      </c>
      <c r="AA231" t="s">
        <v>4560</v>
      </c>
      <c r="AB231" t="s">
        <v>4561</v>
      </c>
      <c r="AC231" t="s">
        <v>4562</v>
      </c>
      <c r="AD231" t="s">
        <v>4563</v>
      </c>
      <c r="AE231" t="s">
        <v>4564</v>
      </c>
      <c r="AF231" t="s">
        <v>74</v>
      </c>
      <c r="AG231">
        <v>81</v>
      </c>
      <c r="AH231">
        <v>0</v>
      </c>
      <c r="AI231">
        <v>0</v>
      </c>
      <c r="AJ231">
        <v>1</v>
      </c>
      <c r="AK231">
        <v>1</v>
      </c>
      <c r="AL231" t="s">
        <v>1838</v>
      </c>
      <c r="AM231" t="s">
        <v>1839</v>
      </c>
      <c r="AN231" t="s">
        <v>1840</v>
      </c>
      <c r="AO231" t="s">
        <v>2818</v>
      </c>
      <c r="AP231" t="s">
        <v>2819</v>
      </c>
      <c r="AQ231" t="s">
        <v>74</v>
      </c>
      <c r="AR231" t="s">
        <v>2809</v>
      </c>
      <c r="AS231" t="s">
        <v>2820</v>
      </c>
      <c r="AT231" t="s">
        <v>4547</v>
      </c>
      <c r="AU231">
        <v>2023</v>
      </c>
      <c r="AV231">
        <v>17</v>
      </c>
      <c r="AW231">
        <v>12</v>
      </c>
      <c r="AX231" t="s">
        <v>74</v>
      </c>
      <c r="AY231" t="s">
        <v>74</v>
      </c>
      <c r="AZ231" t="s">
        <v>74</v>
      </c>
      <c r="BA231" t="s">
        <v>74</v>
      </c>
      <c r="BB231">
        <v>5155</v>
      </c>
      <c r="BC231">
        <v>5173</v>
      </c>
      <c r="BD231" t="s">
        <v>74</v>
      </c>
      <c r="BE231" t="s">
        <v>4565</v>
      </c>
      <c r="BF231" t="str">
        <f>HYPERLINK("http://dx.doi.org/10.5194/tc-17-5155-2023","http://dx.doi.org/10.5194/tc-17-5155-2023")</f>
        <v>http://dx.doi.org/10.5194/tc-17-5155-2023</v>
      </c>
      <c r="BG231" t="s">
        <v>74</v>
      </c>
      <c r="BH231" t="s">
        <v>74</v>
      </c>
      <c r="BI231">
        <v>19</v>
      </c>
      <c r="BJ231" t="s">
        <v>984</v>
      </c>
      <c r="BK231" t="s">
        <v>100</v>
      </c>
      <c r="BL231" t="s">
        <v>985</v>
      </c>
      <c r="BM231" t="s">
        <v>4566</v>
      </c>
      <c r="BN231" t="s">
        <v>74</v>
      </c>
      <c r="BO231" t="s">
        <v>131</v>
      </c>
      <c r="BP231" t="s">
        <v>74</v>
      </c>
      <c r="BQ231" t="s">
        <v>74</v>
      </c>
      <c r="BR231" t="s">
        <v>104</v>
      </c>
      <c r="BS231" t="s">
        <v>4567</v>
      </c>
      <c r="BT231" t="str">
        <f>HYPERLINK("https%3A%2F%2Fwww.webofscience.com%2Fwos%2Fwoscc%2Ffull-record%2FWOS:001170986900001","View Full Record in Web of Science")</f>
        <v>View Full Record in Web of Science</v>
      </c>
    </row>
    <row r="232" spans="1:72" x14ac:dyDescent="0.15">
      <c r="A232" t="s">
        <v>72</v>
      </c>
      <c r="B232" t="s">
        <v>4568</v>
      </c>
      <c r="C232" t="s">
        <v>74</v>
      </c>
      <c r="D232" t="s">
        <v>74</v>
      </c>
      <c r="E232" t="s">
        <v>74</v>
      </c>
      <c r="F232" t="s">
        <v>4569</v>
      </c>
      <c r="G232" t="s">
        <v>74</v>
      </c>
      <c r="H232" t="s">
        <v>74</v>
      </c>
      <c r="I232" t="s">
        <v>4570</v>
      </c>
      <c r="J232" t="s">
        <v>2646</v>
      </c>
      <c r="K232" t="s">
        <v>74</v>
      </c>
      <c r="L232" t="s">
        <v>74</v>
      </c>
      <c r="M232" t="s">
        <v>78</v>
      </c>
      <c r="N232" t="s">
        <v>3749</v>
      </c>
      <c r="O232" t="s">
        <v>74</v>
      </c>
      <c r="P232" t="s">
        <v>74</v>
      </c>
      <c r="Q232" t="s">
        <v>74</v>
      </c>
      <c r="R232" t="s">
        <v>74</v>
      </c>
      <c r="S232" t="s">
        <v>74</v>
      </c>
      <c r="T232" t="s">
        <v>4571</v>
      </c>
      <c r="U232" t="s">
        <v>74</v>
      </c>
      <c r="V232" t="s">
        <v>4572</v>
      </c>
      <c r="W232" t="s">
        <v>4573</v>
      </c>
      <c r="X232" t="s">
        <v>4574</v>
      </c>
      <c r="Y232" t="s">
        <v>4575</v>
      </c>
      <c r="Z232" t="s">
        <v>4576</v>
      </c>
      <c r="AA232" t="s">
        <v>4577</v>
      </c>
      <c r="AB232" t="s">
        <v>4578</v>
      </c>
      <c r="AC232" t="s">
        <v>4579</v>
      </c>
      <c r="AD232" t="s">
        <v>4574</v>
      </c>
      <c r="AE232" t="s">
        <v>4580</v>
      </c>
      <c r="AF232" t="s">
        <v>74</v>
      </c>
      <c r="AG232">
        <v>13</v>
      </c>
      <c r="AH232">
        <v>0</v>
      </c>
      <c r="AI232">
        <v>0</v>
      </c>
      <c r="AJ232">
        <v>0</v>
      </c>
      <c r="AK232">
        <v>0</v>
      </c>
      <c r="AL232" t="s">
        <v>947</v>
      </c>
      <c r="AM232" t="s">
        <v>948</v>
      </c>
      <c r="AN232" t="s">
        <v>949</v>
      </c>
      <c r="AO232" t="s">
        <v>2659</v>
      </c>
      <c r="AP232" t="s">
        <v>74</v>
      </c>
      <c r="AQ232" t="s">
        <v>74</v>
      </c>
      <c r="AR232" t="s">
        <v>2660</v>
      </c>
      <c r="AS232" t="s">
        <v>2661</v>
      </c>
      <c r="AT232" t="s">
        <v>1133</v>
      </c>
      <c r="AU232">
        <v>2024</v>
      </c>
      <c r="AV232">
        <v>52</v>
      </c>
      <c r="AW232" t="s">
        <v>74</v>
      </c>
      <c r="AX232" t="s">
        <v>74</v>
      </c>
      <c r="AY232" t="s">
        <v>74</v>
      </c>
      <c r="AZ232" t="s">
        <v>74</v>
      </c>
      <c r="BA232" t="s">
        <v>74</v>
      </c>
      <c r="BB232" t="s">
        <v>74</v>
      </c>
      <c r="BC232" t="s">
        <v>74</v>
      </c>
      <c r="BD232">
        <v>109841</v>
      </c>
      <c r="BE232" t="s">
        <v>4581</v>
      </c>
      <c r="BF232" t="str">
        <f>HYPERLINK("http://dx.doi.org/10.1016/j.dib.2023.109841","http://dx.doi.org/10.1016/j.dib.2023.109841")</f>
        <v>http://dx.doi.org/10.1016/j.dib.2023.109841</v>
      </c>
      <c r="BG232" t="s">
        <v>74</v>
      </c>
      <c r="BH232" t="s">
        <v>98</v>
      </c>
      <c r="BI232">
        <v>7</v>
      </c>
      <c r="BJ232" t="s">
        <v>1035</v>
      </c>
      <c r="BK232" t="s">
        <v>912</v>
      </c>
      <c r="BL232" t="s">
        <v>1036</v>
      </c>
      <c r="BM232" t="s">
        <v>4582</v>
      </c>
      <c r="BN232">
        <v>38146304</v>
      </c>
      <c r="BO232" t="s">
        <v>265</v>
      </c>
      <c r="BP232" t="s">
        <v>74</v>
      </c>
      <c r="BQ232" t="s">
        <v>74</v>
      </c>
      <c r="BR232" t="s">
        <v>104</v>
      </c>
      <c r="BS232" t="s">
        <v>4583</v>
      </c>
      <c r="BT232" t="str">
        <f>HYPERLINK("https%3A%2F%2Fwww.webofscience.com%2Fwos%2Fwoscc%2Ffull-record%2FWOS:001134907600001","View Full Record in Web of Science")</f>
        <v>View Full Record in Web of Science</v>
      </c>
    </row>
    <row r="233" spans="1:72" x14ac:dyDescent="0.15">
      <c r="A233" t="s">
        <v>72</v>
      </c>
      <c r="B233" t="s">
        <v>4584</v>
      </c>
      <c r="C233" t="s">
        <v>74</v>
      </c>
      <c r="D233" t="s">
        <v>74</v>
      </c>
      <c r="E233" t="s">
        <v>74</v>
      </c>
      <c r="F233" t="s">
        <v>4585</v>
      </c>
      <c r="G233" t="s">
        <v>74</v>
      </c>
      <c r="H233" t="s">
        <v>74</v>
      </c>
      <c r="I233" t="s">
        <v>4586</v>
      </c>
      <c r="J233" t="s">
        <v>3000</v>
      </c>
      <c r="K233" t="s">
        <v>74</v>
      </c>
      <c r="L233" t="s">
        <v>74</v>
      </c>
      <c r="M233" t="s">
        <v>78</v>
      </c>
      <c r="N233" t="s">
        <v>79</v>
      </c>
      <c r="O233" t="s">
        <v>74</v>
      </c>
      <c r="P233" t="s">
        <v>74</v>
      </c>
      <c r="Q233" t="s">
        <v>74</v>
      </c>
      <c r="R233" t="s">
        <v>74</v>
      </c>
      <c r="S233" t="s">
        <v>74</v>
      </c>
      <c r="T233" t="s">
        <v>4587</v>
      </c>
      <c r="U233" t="s">
        <v>4588</v>
      </c>
      <c r="V233" t="s">
        <v>4589</v>
      </c>
      <c r="W233" t="s">
        <v>4590</v>
      </c>
      <c r="X233" t="s">
        <v>4591</v>
      </c>
      <c r="Y233" t="s">
        <v>4592</v>
      </c>
      <c r="Z233" t="s">
        <v>4593</v>
      </c>
      <c r="AA233" t="s">
        <v>74</v>
      </c>
      <c r="AB233" t="s">
        <v>4594</v>
      </c>
      <c r="AC233" t="s">
        <v>4595</v>
      </c>
      <c r="AD233" t="s">
        <v>4596</v>
      </c>
      <c r="AE233" t="s">
        <v>4597</v>
      </c>
      <c r="AF233" t="s">
        <v>74</v>
      </c>
      <c r="AG233">
        <v>72</v>
      </c>
      <c r="AH233">
        <v>0</v>
      </c>
      <c r="AI233">
        <v>0</v>
      </c>
      <c r="AJ233">
        <v>4</v>
      </c>
      <c r="AK233">
        <v>4</v>
      </c>
      <c r="AL233" t="s">
        <v>3013</v>
      </c>
      <c r="AM233" t="s">
        <v>3014</v>
      </c>
      <c r="AN233" t="s">
        <v>3015</v>
      </c>
      <c r="AO233" t="s">
        <v>3016</v>
      </c>
      <c r="AP233" t="s">
        <v>3017</v>
      </c>
      <c r="AQ233" t="s">
        <v>74</v>
      </c>
      <c r="AR233" t="s">
        <v>3018</v>
      </c>
      <c r="AS233" t="s">
        <v>3019</v>
      </c>
      <c r="AT233" t="s">
        <v>982</v>
      </c>
      <c r="AU233">
        <v>2024</v>
      </c>
      <c r="AV233">
        <v>242</v>
      </c>
      <c r="AW233" t="s">
        <v>74</v>
      </c>
      <c r="AX233" t="s">
        <v>74</v>
      </c>
      <c r="AY233" t="s">
        <v>74</v>
      </c>
      <c r="AZ233" t="s">
        <v>74</v>
      </c>
      <c r="BA233" t="s">
        <v>74</v>
      </c>
      <c r="BB233" t="s">
        <v>74</v>
      </c>
      <c r="BC233" t="s">
        <v>74</v>
      </c>
      <c r="BD233">
        <v>117636</v>
      </c>
      <c r="BE233" t="s">
        <v>4598</v>
      </c>
      <c r="BF233" t="str">
        <f>HYPERLINK("http://dx.doi.org/10.1016/j.envres.2023.117636","http://dx.doi.org/10.1016/j.envres.2023.117636")</f>
        <v>http://dx.doi.org/10.1016/j.envres.2023.117636</v>
      </c>
      <c r="BG233" t="s">
        <v>74</v>
      </c>
      <c r="BH233" t="s">
        <v>98</v>
      </c>
      <c r="BI233">
        <v>9</v>
      </c>
      <c r="BJ233" t="s">
        <v>3021</v>
      </c>
      <c r="BK233" t="s">
        <v>100</v>
      </c>
      <c r="BL233" t="s">
        <v>3022</v>
      </c>
      <c r="BM233" t="s">
        <v>4599</v>
      </c>
      <c r="BN233">
        <v>37952853</v>
      </c>
      <c r="BO233" t="s">
        <v>103</v>
      </c>
      <c r="BP233" t="s">
        <v>74</v>
      </c>
      <c r="BQ233" t="s">
        <v>74</v>
      </c>
      <c r="BR233" t="s">
        <v>104</v>
      </c>
      <c r="BS233" t="s">
        <v>4600</v>
      </c>
      <c r="BT233" t="str">
        <f>HYPERLINK("https%3A%2F%2Fwww.webofscience.com%2Fwos%2Fwoscc%2Ffull-record%2FWOS:001134981800001","View Full Record in Web of Science")</f>
        <v>View Full Record in Web of Science</v>
      </c>
    </row>
    <row r="234" spans="1:72" x14ac:dyDescent="0.15">
      <c r="A234" t="s">
        <v>72</v>
      </c>
      <c r="B234" t="s">
        <v>4601</v>
      </c>
      <c r="C234" t="s">
        <v>74</v>
      </c>
      <c r="D234" t="s">
        <v>74</v>
      </c>
      <c r="E234" t="s">
        <v>74</v>
      </c>
      <c r="F234" t="s">
        <v>4602</v>
      </c>
      <c r="G234" t="s">
        <v>74</v>
      </c>
      <c r="H234" t="s">
        <v>74</v>
      </c>
      <c r="I234" t="s">
        <v>4603</v>
      </c>
      <c r="J234" t="s">
        <v>991</v>
      </c>
      <c r="K234" t="s">
        <v>74</v>
      </c>
      <c r="L234" t="s">
        <v>74</v>
      </c>
      <c r="M234" t="s">
        <v>78</v>
      </c>
      <c r="N234" t="s">
        <v>79</v>
      </c>
      <c r="O234" t="s">
        <v>74</v>
      </c>
      <c r="P234" t="s">
        <v>74</v>
      </c>
      <c r="Q234" t="s">
        <v>74</v>
      </c>
      <c r="R234" t="s">
        <v>74</v>
      </c>
      <c r="S234" t="s">
        <v>74</v>
      </c>
      <c r="T234" t="s">
        <v>4604</v>
      </c>
      <c r="U234" t="s">
        <v>4605</v>
      </c>
      <c r="V234" t="s">
        <v>4606</v>
      </c>
      <c r="W234" t="s">
        <v>4607</v>
      </c>
      <c r="X234" t="s">
        <v>4608</v>
      </c>
      <c r="Y234" t="s">
        <v>4609</v>
      </c>
      <c r="Z234" t="s">
        <v>4610</v>
      </c>
      <c r="AA234" t="s">
        <v>4611</v>
      </c>
      <c r="AB234" t="s">
        <v>4612</v>
      </c>
      <c r="AC234" t="s">
        <v>4613</v>
      </c>
      <c r="AD234" t="s">
        <v>4614</v>
      </c>
      <c r="AE234" t="s">
        <v>4615</v>
      </c>
      <c r="AF234" t="s">
        <v>74</v>
      </c>
      <c r="AG234">
        <v>52</v>
      </c>
      <c r="AH234">
        <v>0</v>
      </c>
      <c r="AI234">
        <v>0</v>
      </c>
      <c r="AJ234">
        <v>10</v>
      </c>
      <c r="AK234">
        <v>10</v>
      </c>
      <c r="AL234" t="s">
        <v>947</v>
      </c>
      <c r="AM234" t="s">
        <v>948</v>
      </c>
      <c r="AN234" t="s">
        <v>949</v>
      </c>
      <c r="AO234" t="s">
        <v>1004</v>
      </c>
      <c r="AP234" t="s">
        <v>1005</v>
      </c>
      <c r="AQ234" t="s">
        <v>74</v>
      </c>
      <c r="AR234" t="s">
        <v>1006</v>
      </c>
      <c r="AS234" t="s">
        <v>1007</v>
      </c>
      <c r="AT234" t="s">
        <v>1008</v>
      </c>
      <c r="AU234">
        <v>2024</v>
      </c>
      <c r="AV234">
        <v>912</v>
      </c>
      <c r="AW234" t="s">
        <v>74</v>
      </c>
      <c r="AX234" t="s">
        <v>74</v>
      </c>
      <c r="AY234" t="s">
        <v>74</v>
      </c>
      <c r="AZ234" t="s">
        <v>74</v>
      </c>
      <c r="BA234" t="s">
        <v>74</v>
      </c>
      <c r="BB234" t="s">
        <v>74</v>
      </c>
      <c r="BC234" t="s">
        <v>74</v>
      </c>
      <c r="BD234">
        <v>168562</v>
      </c>
      <c r="BE234" t="s">
        <v>4616</v>
      </c>
      <c r="BF234" t="str">
        <f>HYPERLINK("http://dx.doi.org/10.1016/j.scitotenv.2023.168562","http://dx.doi.org/10.1016/j.scitotenv.2023.168562")</f>
        <v>http://dx.doi.org/10.1016/j.scitotenv.2023.168562</v>
      </c>
      <c r="BG234" t="s">
        <v>74</v>
      </c>
      <c r="BH234" t="s">
        <v>98</v>
      </c>
      <c r="BI234">
        <v>17</v>
      </c>
      <c r="BJ234" t="s">
        <v>1010</v>
      </c>
      <c r="BK234" t="s">
        <v>100</v>
      </c>
      <c r="BL234" t="s">
        <v>1011</v>
      </c>
      <c r="BM234" t="s">
        <v>4617</v>
      </c>
      <c r="BN234">
        <v>37981135</v>
      </c>
      <c r="BO234" t="s">
        <v>74</v>
      </c>
      <c r="BP234" t="s">
        <v>74</v>
      </c>
      <c r="BQ234" t="s">
        <v>74</v>
      </c>
      <c r="BR234" t="s">
        <v>104</v>
      </c>
      <c r="BS234" t="s">
        <v>4618</v>
      </c>
      <c r="BT234" t="str">
        <f>HYPERLINK("https%3A%2F%2Fwww.webofscience.com%2Fwos%2Fwoscc%2Ffull-record%2FWOS:001134692200001","View Full Record in Web of Science")</f>
        <v>View Full Record in Web of Science</v>
      </c>
    </row>
    <row r="235" spans="1:72" x14ac:dyDescent="0.15">
      <c r="A235" t="s">
        <v>72</v>
      </c>
      <c r="B235" t="s">
        <v>4619</v>
      </c>
      <c r="C235" t="s">
        <v>74</v>
      </c>
      <c r="D235" t="s">
        <v>74</v>
      </c>
      <c r="E235" t="s">
        <v>74</v>
      </c>
      <c r="F235" t="s">
        <v>4620</v>
      </c>
      <c r="G235" t="s">
        <v>74</v>
      </c>
      <c r="H235" t="s">
        <v>74</v>
      </c>
      <c r="I235" t="s">
        <v>4621</v>
      </c>
      <c r="J235" t="s">
        <v>4622</v>
      </c>
      <c r="K235" t="s">
        <v>74</v>
      </c>
      <c r="L235" t="s">
        <v>74</v>
      </c>
      <c r="M235" t="s">
        <v>78</v>
      </c>
      <c r="N235" t="s">
        <v>79</v>
      </c>
      <c r="O235" t="s">
        <v>74</v>
      </c>
      <c r="P235" t="s">
        <v>74</v>
      </c>
      <c r="Q235" t="s">
        <v>74</v>
      </c>
      <c r="R235" t="s">
        <v>74</v>
      </c>
      <c r="S235" t="s">
        <v>74</v>
      </c>
      <c r="T235" t="s">
        <v>4623</v>
      </c>
      <c r="U235" t="s">
        <v>4624</v>
      </c>
      <c r="V235" t="s">
        <v>4625</v>
      </c>
      <c r="W235" t="s">
        <v>4626</v>
      </c>
      <c r="X235" t="s">
        <v>4627</v>
      </c>
      <c r="Y235" t="s">
        <v>4628</v>
      </c>
      <c r="Z235" t="s">
        <v>4629</v>
      </c>
      <c r="AA235" t="s">
        <v>4630</v>
      </c>
      <c r="AB235" t="s">
        <v>4631</v>
      </c>
      <c r="AC235" t="s">
        <v>4632</v>
      </c>
      <c r="AD235" t="s">
        <v>4633</v>
      </c>
      <c r="AE235" t="s">
        <v>4634</v>
      </c>
      <c r="AF235" t="s">
        <v>74</v>
      </c>
      <c r="AG235">
        <v>33</v>
      </c>
      <c r="AH235">
        <v>0</v>
      </c>
      <c r="AI235">
        <v>0</v>
      </c>
      <c r="AJ235">
        <v>0</v>
      </c>
      <c r="AK235">
        <v>0</v>
      </c>
      <c r="AL235" t="s">
        <v>2554</v>
      </c>
      <c r="AM235" t="s">
        <v>2294</v>
      </c>
      <c r="AN235" t="s">
        <v>2555</v>
      </c>
      <c r="AO235" t="s">
        <v>4635</v>
      </c>
      <c r="AP235" t="s">
        <v>4636</v>
      </c>
      <c r="AQ235" t="s">
        <v>74</v>
      </c>
      <c r="AR235" t="s">
        <v>4637</v>
      </c>
      <c r="AS235" t="s">
        <v>4638</v>
      </c>
      <c r="AT235" t="s">
        <v>4547</v>
      </c>
      <c r="AU235">
        <v>2023</v>
      </c>
      <c r="AV235">
        <v>19</v>
      </c>
      <c r="AW235">
        <v>12</v>
      </c>
      <c r="AX235" t="s">
        <v>74</v>
      </c>
      <c r="AY235" t="s">
        <v>74</v>
      </c>
      <c r="AZ235" t="s">
        <v>74</v>
      </c>
      <c r="BA235" t="s">
        <v>74</v>
      </c>
      <c r="BB235" t="s">
        <v>74</v>
      </c>
      <c r="BC235" t="s">
        <v>74</v>
      </c>
      <c r="BD235">
        <v>20230274</v>
      </c>
      <c r="BE235" t="s">
        <v>4639</v>
      </c>
      <c r="BF235" t="str">
        <f>HYPERLINK("http://dx.doi.org/10.1098/rsbl.2023.0274","http://dx.doi.org/10.1098/rsbl.2023.0274")</f>
        <v>http://dx.doi.org/10.1098/rsbl.2023.0274</v>
      </c>
      <c r="BG235" t="s">
        <v>74</v>
      </c>
      <c r="BH235" t="s">
        <v>74</v>
      </c>
      <c r="BI235">
        <v>6</v>
      </c>
      <c r="BJ235" t="s">
        <v>4640</v>
      </c>
      <c r="BK235" t="s">
        <v>100</v>
      </c>
      <c r="BL235" t="s">
        <v>4641</v>
      </c>
      <c r="BM235" t="s">
        <v>4642</v>
      </c>
      <c r="BN235">
        <v>38053363</v>
      </c>
      <c r="BO235" t="s">
        <v>3883</v>
      </c>
      <c r="BP235" t="s">
        <v>74</v>
      </c>
      <c r="BQ235" t="s">
        <v>74</v>
      </c>
      <c r="BR235" t="s">
        <v>104</v>
      </c>
      <c r="BS235" t="s">
        <v>4643</v>
      </c>
      <c r="BT235" t="str">
        <f>HYPERLINK("https%3A%2F%2Fwww.webofscience.com%2Fwos%2Fwoscc%2Ffull-record%2FWOS:001114491400001","View Full Record in Web of Science")</f>
        <v>View Full Record in Web of Science</v>
      </c>
    </row>
    <row r="236" spans="1:72" x14ac:dyDescent="0.15">
      <c r="A236" t="s">
        <v>72</v>
      </c>
      <c r="B236" t="s">
        <v>4644</v>
      </c>
      <c r="C236" t="s">
        <v>74</v>
      </c>
      <c r="D236" t="s">
        <v>74</v>
      </c>
      <c r="E236" t="s">
        <v>74</v>
      </c>
      <c r="F236" t="s">
        <v>4645</v>
      </c>
      <c r="G236" t="s">
        <v>74</v>
      </c>
      <c r="H236" t="s">
        <v>74</v>
      </c>
      <c r="I236" t="s">
        <v>4646</v>
      </c>
      <c r="J236" t="s">
        <v>1746</v>
      </c>
      <c r="K236" t="s">
        <v>74</v>
      </c>
      <c r="L236" t="s">
        <v>74</v>
      </c>
      <c r="M236" t="s">
        <v>78</v>
      </c>
      <c r="N236" t="s">
        <v>79</v>
      </c>
      <c r="O236" t="s">
        <v>74</v>
      </c>
      <c r="P236" t="s">
        <v>74</v>
      </c>
      <c r="Q236" t="s">
        <v>74</v>
      </c>
      <c r="R236" t="s">
        <v>74</v>
      </c>
      <c r="S236" t="s">
        <v>74</v>
      </c>
      <c r="T236" t="s">
        <v>4647</v>
      </c>
      <c r="U236" t="s">
        <v>4648</v>
      </c>
      <c r="V236" t="s">
        <v>4649</v>
      </c>
      <c r="W236" t="s">
        <v>4650</v>
      </c>
      <c r="X236" t="s">
        <v>4651</v>
      </c>
      <c r="Y236" t="s">
        <v>4652</v>
      </c>
      <c r="Z236" t="s">
        <v>4653</v>
      </c>
      <c r="AA236" t="s">
        <v>74</v>
      </c>
      <c r="AB236" t="s">
        <v>74</v>
      </c>
      <c r="AC236" t="s">
        <v>4654</v>
      </c>
      <c r="AD236" t="s">
        <v>4655</v>
      </c>
      <c r="AE236" t="s">
        <v>4656</v>
      </c>
      <c r="AF236" t="s">
        <v>74</v>
      </c>
      <c r="AG236">
        <v>59</v>
      </c>
      <c r="AH236">
        <v>0</v>
      </c>
      <c r="AI236">
        <v>0</v>
      </c>
      <c r="AJ236">
        <v>5</v>
      </c>
      <c r="AK236">
        <v>5</v>
      </c>
      <c r="AL236" t="s">
        <v>1758</v>
      </c>
      <c r="AM236" t="s">
        <v>1759</v>
      </c>
      <c r="AN236" t="s">
        <v>1760</v>
      </c>
      <c r="AO236" t="s">
        <v>74</v>
      </c>
      <c r="AP236" t="s">
        <v>1761</v>
      </c>
      <c r="AQ236" t="s">
        <v>74</v>
      </c>
      <c r="AR236" t="s">
        <v>1762</v>
      </c>
      <c r="AS236" t="s">
        <v>1763</v>
      </c>
      <c r="AT236" t="s">
        <v>4547</v>
      </c>
      <c r="AU236">
        <v>2023</v>
      </c>
      <c r="AV236">
        <v>10</v>
      </c>
      <c r="AW236" t="s">
        <v>74</v>
      </c>
      <c r="AX236" t="s">
        <v>74</v>
      </c>
      <c r="AY236" t="s">
        <v>74</v>
      </c>
      <c r="AZ236" t="s">
        <v>74</v>
      </c>
      <c r="BA236" t="s">
        <v>74</v>
      </c>
      <c r="BB236" t="s">
        <v>74</v>
      </c>
      <c r="BC236" t="s">
        <v>74</v>
      </c>
      <c r="BD236">
        <v>1255915</v>
      </c>
      <c r="BE236" t="s">
        <v>4657</v>
      </c>
      <c r="BF236" t="str">
        <f>HYPERLINK("http://dx.doi.org/10.3389/fmars.2023.1255915","http://dx.doi.org/10.3389/fmars.2023.1255915")</f>
        <v>http://dx.doi.org/10.3389/fmars.2023.1255915</v>
      </c>
      <c r="BG236" t="s">
        <v>74</v>
      </c>
      <c r="BH236" t="s">
        <v>74</v>
      </c>
      <c r="BI236">
        <v>14</v>
      </c>
      <c r="BJ236" t="s">
        <v>1135</v>
      </c>
      <c r="BK236" t="s">
        <v>100</v>
      </c>
      <c r="BL236" t="s">
        <v>1136</v>
      </c>
      <c r="BM236" t="s">
        <v>4658</v>
      </c>
      <c r="BN236" t="s">
        <v>74</v>
      </c>
      <c r="BO236" t="s">
        <v>131</v>
      </c>
      <c r="BP236" t="s">
        <v>74</v>
      </c>
      <c r="BQ236" t="s">
        <v>74</v>
      </c>
      <c r="BR236" t="s">
        <v>104</v>
      </c>
      <c r="BS236" t="s">
        <v>4659</v>
      </c>
      <c r="BT236" t="str">
        <f>HYPERLINK("https%3A%2F%2Fwww.webofscience.com%2Fwos%2Fwoscc%2Ffull-record%2FWOS:001127810800001","View Full Record in Web of Science")</f>
        <v>View Full Record in Web of Science</v>
      </c>
    </row>
    <row r="237" spans="1:72" x14ac:dyDescent="0.15">
      <c r="A237" t="s">
        <v>72</v>
      </c>
      <c r="B237" t="s">
        <v>4660</v>
      </c>
      <c r="C237" t="s">
        <v>74</v>
      </c>
      <c r="D237" t="s">
        <v>74</v>
      </c>
      <c r="E237" t="s">
        <v>74</v>
      </c>
      <c r="F237" t="s">
        <v>4661</v>
      </c>
      <c r="G237" t="s">
        <v>74</v>
      </c>
      <c r="H237" t="s">
        <v>74</v>
      </c>
      <c r="I237" t="s">
        <v>4662</v>
      </c>
      <c r="J237" t="s">
        <v>4663</v>
      </c>
      <c r="K237" t="s">
        <v>74</v>
      </c>
      <c r="L237" t="s">
        <v>74</v>
      </c>
      <c r="M237" t="s">
        <v>78</v>
      </c>
      <c r="N237" t="s">
        <v>79</v>
      </c>
      <c r="O237" t="s">
        <v>74</v>
      </c>
      <c r="P237" t="s">
        <v>74</v>
      </c>
      <c r="Q237" t="s">
        <v>74</v>
      </c>
      <c r="R237" t="s">
        <v>74</v>
      </c>
      <c r="S237" t="s">
        <v>74</v>
      </c>
      <c r="T237" t="s">
        <v>4664</v>
      </c>
      <c r="U237" t="s">
        <v>4665</v>
      </c>
      <c r="V237" t="s">
        <v>4666</v>
      </c>
      <c r="W237" t="s">
        <v>4667</v>
      </c>
      <c r="X237" t="s">
        <v>4668</v>
      </c>
      <c r="Y237" t="s">
        <v>4669</v>
      </c>
      <c r="Z237" t="s">
        <v>4670</v>
      </c>
      <c r="AA237" t="s">
        <v>4671</v>
      </c>
      <c r="AB237" t="s">
        <v>4672</v>
      </c>
      <c r="AC237" t="s">
        <v>74</v>
      </c>
      <c r="AD237" t="s">
        <v>74</v>
      </c>
      <c r="AE237" t="s">
        <v>74</v>
      </c>
      <c r="AF237" t="s">
        <v>74</v>
      </c>
      <c r="AG237">
        <v>213</v>
      </c>
      <c r="AH237">
        <v>1</v>
      </c>
      <c r="AI237">
        <v>1</v>
      </c>
      <c r="AJ237">
        <v>0</v>
      </c>
      <c r="AK237">
        <v>0</v>
      </c>
      <c r="AL237" t="s">
        <v>4673</v>
      </c>
      <c r="AM237" t="s">
        <v>4674</v>
      </c>
      <c r="AN237" t="s">
        <v>4675</v>
      </c>
      <c r="AO237" t="s">
        <v>4676</v>
      </c>
      <c r="AP237" t="s">
        <v>74</v>
      </c>
      <c r="AQ237" t="s">
        <v>74</v>
      </c>
      <c r="AR237" t="s">
        <v>4677</v>
      </c>
      <c r="AS237" t="s">
        <v>4678</v>
      </c>
      <c r="AT237" t="s">
        <v>4547</v>
      </c>
      <c r="AU237">
        <v>2023</v>
      </c>
      <c r="AV237">
        <v>75</v>
      </c>
      <c r="AW237">
        <v>4</v>
      </c>
      <c r="AX237" t="s">
        <v>74</v>
      </c>
      <c r="AY237" t="s">
        <v>74</v>
      </c>
      <c r="AZ237" t="s">
        <v>74</v>
      </c>
      <c r="BA237" t="s">
        <v>74</v>
      </c>
      <c r="BB237" t="s">
        <v>74</v>
      </c>
      <c r="BC237" t="s">
        <v>74</v>
      </c>
      <c r="BD237" t="s">
        <v>74</v>
      </c>
      <c r="BE237" t="s">
        <v>4679</v>
      </c>
      <c r="BF237" t="str">
        <f>HYPERLINK("http://dx.doi.org/10.3853/j.2201-4349.75.2023.1874","http://dx.doi.org/10.3853/j.2201-4349.75.2023.1874")</f>
        <v>http://dx.doi.org/10.3853/j.2201-4349.75.2023.1874</v>
      </c>
      <c r="BG237" t="s">
        <v>74</v>
      </c>
      <c r="BH237" t="s">
        <v>74</v>
      </c>
      <c r="BI237">
        <v>17</v>
      </c>
      <c r="BJ237" t="s">
        <v>1568</v>
      </c>
      <c r="BK237" t="s">
        <v>100</v>
      </c>
      <c r="BL237" t="s">
        <v>1568</v>
      </c>
      <c r="BM237" t="s">
        <v>4680</v>
      </c>
      <c r="BN237" t="s">
        <v>74</v>
      </c>
      <c r="BO237" t="s">
        <v>131</v>
      </c>
      <c r="BP237" t="s">
        <v>74</v>
      </c>
      <c r="BQ237" t="s">
        <v>74</v>
      </c>
      <c r="BR237" t="s">
        <v>104</v>
      </c>
      <c r="BS237" t="s">
        <v>4681</v>
      </c>
      <c r="BT237" t="str">
        <f>HYPERLINK("https%3A%2F%2Fwww.webofscience.com%2Fwos%2Fwoscc%2Ffull-record%2FWOS:001118921300001","View Full Record in Web of Science")</f>
        <v>View Full Record in Web of Science</v>
      </c>
    </row>
    <row r="238" spans="1:72" x14ac:dyDescent="0.15">
      <c r="A238" t="s">
        <v>72</v>
      </c>
      <c r="B238" t="s">
        <v>4682</v>
      </c>
      <c r="C238" t="s">
        <v>74</v>
      </c>
      <c r="D238" t="s">
        <v>74</v>
      </c>
      <c r="E238" t="s">
        <v>74</v>
      </c>
      <c r="F238" t="s">
        <v>4683</v>
      </c>
      <c r="G238" t="s">
        <v>74</v>
      </c>
      <c r="H238" t="s">
        <v>74</v>
      </c>
      <c r="I238" t="s">
        <v>4684</v>
      </c>
      <c r="J238" t="s">
        <v>4685</v>
      </c>
      <c r="K238" t="s">
        <v>74</v>
      </c>
      <c r="L238" t="s">
        <v>74</v>
      </c>
      <c r="M238" t="s">
        <v>78</v>
      </c>
      <c r="N238" t="s">
        <v>79</v>
      </c>
      <c r="O238" t="s">
        <v>74</v>
      </c>
      <c r="P238" t="s">
        <v>74</v>
      </c>
      <c r="Q238" t="s">
        <v>74</v>
      </c>
      <c r="R238" t="s">
        <v>74</v>
      </c>
      <c r="S238" t="s">
        <v>74</v>
      </c>
      <c r="T238" t="s">
        <v>4686</v>
      </c>
      <c r="U238" t="s">
        <v>4687</v>
      </c>
      <c r="V238" t="s">
        <v>4688</v>
      </c>
      <c r="W238" t="s">
        <v>4689</v>
      </c>
      <c r="X238" t="s">
        <v>4690</v>
      </c>
      <c r="Y238" t="s">
        <v>4691</v>
      </c>
      <c r="Z238" t="s">
        <v>4692</v>
      </c>
      <c r="AA238" t="s">
        <v>74</v>
      </c>
      <c r="AB238" t="s">
        <v>4693</v>
      </c>
      <c r="AC238" t="s">
        <v>4694</v>
      </c>
      <c r="AD238" t="s">
        <v>4695</v>
      </c>
      <c r="AE238" t="s">
        <v>4696</v>
      </c>
      <c r="AF238" t="s">
        <v>74</v>
      </c>
      <c r="AG238">
        <v>158</v>
      </c>
      <c r="AH238">
        <v>1</v>
      </c>
      <c r="AI238">
        <v>1</v>
      </c>
      <c r="AJ238">
        <v>2</v>
      </c>
      <c r="AK238">
        <v>2</v>
      </c>
      <c r="AL238" t="s">
        <v>4697</v>
      </c>
      <c r="AM238" t="s">
        <v>4698</v>
      </c>
      <c r="AN238" t="s">
        <v>4699</v>
      </c>
      <c r="AO238" t="s">
        <v>4700</v>
      </c>
      <c r="AP238" t="s">
        <v>4701</v>
      </c>
      <c r="AQ238" t="s">
        <v>74</v>
      </c>
      <c r="AR238" t="s">
        <v>4702</v>
      </c>
      <c r="AS238" t="s">
        <v>4703</v>
      </c>
      <c r="AT238" t="s">
        <v>4547</v>
      </c>
      <c r="AU238">
        <v>2023</v>
      </c>
      <c r="AV238">
        <v>680</v>
      </c>
      <c r="AW238" t="s">
        <v>74</v>
      </c>
      <c r="AX238" t="s">
        <v>74</v>
      </c>
      <c r="AY238" t="s">
        <v>74</v>
      </c>
      <c r="AZ238" t="s">
        <v>74</v>
      </c>
      <c r="BA238" t="s">
        <v>74</v>
      </c>
      <c r="BB238" t="s">
        <v>74</v>
      </c>
      <c r="BC238" t="s">
        <v>74</v>
      </c>
      <c r="BD238" t="s">
        <v>4704</v>
      </c>
      <c r="BE238" t="s">
        <v>4705</v>
      </c>
      <c r="BF238" t="str">
        <f>HYPERLINK("http://dx.doi.org/10.1051/0004-6361/202347532","http://dx.doi.org/10.1051/0004-6361/202347532")</f>
        <v>http://dx.doi.org/10.1051/0004-6361/202347532</v>
      </c>
      <c r="BG238" t="s">
        <v>74</v>
      </c>
      <c r="BH238" t="s">
        <v>74</v>
      </c>
      <c r="BI238">
        <v>30</v>
      </c>
      <c r="BJ238" t="s">
        <v>4706</v>
      </c>
      <c r="BK238" t="s">
        <v>100</v>
      </c>
      <c r="BL238" t="s">
        <v>4706</v>
      </c>
      <c r="BM238" t="s">
        <v>4707</v>
      </c>
      <c r="BN238" t="s">
        <v>74</v>
      </c>
      <c r="BO238" t="s">
        <v>3040</v>
      </c>
      <c r="BP238" t="s">
        <v>74</v>
      </c>
      <c r="BQ238" t="s">
        <v>74</v>
      </c>
      <c r="BR238" t="s">
        <v>104</v>
      </c>
      <c r="BS238" t="s">
        <v>4708</v>
      </c>
      <c r="BT238" t="str">
        <f>HYPERLINK("https%3A%2F%2Fwww.webofscience.com%2Fwos%2Fwoscc%2Ffull-record%2FWOS:001114946800002","View Full Record in Web of Science")</f>
        <v>View Full Record in Web of Science</v>
      </c>
    </row>
    <row r="239" spans="1:72" x14ac:dyDescent="0.15">
      <c r="A239" t="s">
        <v>72</v>
      </c>
      <c r="B239" t="s">
        <v>4709</v>
      </c>
      <c r="C239" t="s">
        <v>74</v>
      </c>
      <c r="D239" t="s">
        <v>74</v>
      </c>
      <c r="E239" t="s">
        <v>74</v>
      </c>
      <c r="F239" t="s">
        <v>4710</v>
      </c>
      <c r="G239" t="s">
        <v>74</v>
      </c>
      <c r="H239" t="s">
        <v>74</v>
      </c>
      <c r="I239" t="s">
        <v>4711</v>
      </c>
      <c r="J239" t="s">
        <v>1064</v>
      </c>
      <c r="K239" t="s">
        <v>74</v>
      </c>
      <c r="L239" t="s">
        <v>74</v>
      </c>
      <c r="M239" t="s">
        <v>78</v>
      </c>
      <c r="N239" t="s">
        <v>79</v>
      </c>
      <c r="O239" t="s">
        <v>74</v>
      </c>
      <c r="P239" t="s">
        <v>74</v>
      </c>
      <c r="Q239" t="s">
        <v>74</v>
      </c>
      <c r="R239" t="s">
        <v>74</v>
      </c>
      <c r="S239" t="s">
        <v>74</v>
      </c>
      <c r="T239" t="s">
        <v>4712</v>
      </c>
      <c r="U239" t="s">
        <v>4713</v>
      </c>
      <c r="V239" t="s">
        <v>4714</v>
      </c>
      <c r="W239" t="s">
        <v>4715</v>
      </c>
      <c r="X239" t="s">
        <v>4716</v>
      </c>
      <c r="Y239" t="s">
        <v>4717</v>
      </c>
      <c r="Z239" t="s">
        <v>4718</v>
      </c>
      <c r="AA239" t="s">
        <v>4719</v>
      </c>
      <c r="AB239" t="s">
        <v>4720</v>
      </c>
      <c r="AC239" t="s">
        <v>4721</v>
      </c>
      <c r="AD239" t="s">
        <v>4722</v>
      </c>
      <c r="AE239" t="s">
        <v>4723</v>
      </c>
      <c r="AF239" t="s">
        <v>74</v>
      </c>
      <c r="AG239">
        <v>73</v>
      </c>
      <c r="AH239">
        <v>0</v>
      </c>
      <c r="AI239">
        <v>0</v>
      </c>
      <c r="AJ239">
        <v>2</v>
      </c>
      <c r="AK239">
        <v>2</v>
      </c>
      <c r="AL239" t="s">
        <v>1075</v>
      </c>
      <c r="AM239" t="s">
        <v>1076</v>
      </c>
      <c r="AN239" t="s">
        <v>1077</v>
      </c>
      <c r="AO239" t="s">
        <v>1078</v>
      </c>
      <c r="AP239" t="s">
        <v>1079</v>
      </c>
      <c r="AQ239" t="s">
        <v>74</v>
      </c>
      <c r="AR239" t="s">
        <v>1080</v>
      </c>
      <c r="AS239" t="s">
        <v>1081</v>
      </c>
      <c r="AT239" t="s">
        <v>1082</v>
      </c>
      <c r="AU239">
        <v>2024</v>
      </c>
      <c r="AV239">
        <v>55</v>
      </c>
      <c r="AW239">
        <v>1</v>
      </c>
      <c r="AX239" t="s">
        <v>74</v>
      </c>
      <c r="AY239" t="s">
        <v>74</v>
      </c>
      <c r="AZ239" t="s">
        <v>74</v>
      </c>
      <c r="BA239" t="s">
        <v>74</v>
      </c>
      <c r="BB239">
        <v>471</v>
      </c>
      <c r="BC239">
        <v>485</v>
      </c>
      <c r="BD239" t="s">
        <v>74</v>
      </c>
      <c r="BE239" t="s">
        <v>4724</v>
      </c>
      <c r="BF239" t="str">
        <f>HYPERLINK("http://dx.doi.org/10.1007/s42770-023-01199-5","http://dx.doi.org/10.1007/s42770-023-01199-5")</f>
        <v>http://dx.doi.org/10.1007/s42770-023-01199-5</v>
      </c>
      <c r="BG239" t="s">
        <v>74</v>
      </c>
      <c r="BH239" t="s">
        <v>98</v>
      </c>
      <c r="BI239">
        <v>15</v>
      </c>
      <c r="BJ239" t="s">
        <v>1084</v>
      </c>
      <c r="BK239" t="s">
        <v>100</v>
      </c>
      <c r="BL239" t="s">
        <v>1084</v>
      </c>
      <c r="BM239" t="s">
        <v>1085</v>
      </c>
      <c r="BN239">
        <v>38052770</v>
      </c>
      <c r="BO239" t="s">
        <v>74</v>
      </c>
      <c r="BP239" t="s">
        <v>74</v>
      </c>
      <c r="BQ239" t="s">
        <v>74</v>
      </c>
      <c r="BR239" t="s">
        <v>104</v>
      </c>
      <c r="BS239" t="s">
        <v>4725</v>
      </c>
      <c r="BT239" t="str">
        <f>HYPERLINK("https%3A%2F%2Fwww.webofscience.com%2Fwos%2Fwoscc%2Ffull-record%2FWOS:001113211500001","View Full Record in Web of Science")</f>
        <v>View Full Record in Web of Science</v>
      </c>
    </row>
    <row r="240" spans="1:72" x14ac:dyDescent="0.15">
      <c r="A240" t="s">
        <v>72</v>
      </c>
      <c r="B240" t="s">
        <v>4726</v>
      </c>
      <c r="C240" t="s">
        <v>74</v>
      </c>
      <c r="D240" t="s">
        <v>74</v>
      </c>
      <c r="E240" t="s">
        <v>74</v>
      </c>
      <c r="F240" t="s">
        <v>4727</v>
      </c>
      <c r="G240" t="s">
        <v>74</v>
      </c>
      <c r="H240" t="s">
        <v>74</v>
      </c>
      <c r="I240" t="s">
        <v>4728</v>
      </c>
      <c r="J240" t="s">
        <v>4729</v>
      </c>
      <c r="K240" t="s">
        <v>74</v>
      </c>
      <c r="L240" t="s">
        <v>74</v>
      </c>
      <c r="M240" t="s">
        <v>78</v>
      </c>
      <c r="N240" t="s">
        <v>79</v>
      </c>
      <c r="O240" t="s">
        <v>74</v>
      </c>
      <c r="P240" t="s">
        <v>74</v>
      </c>
      <c r="Q240" t="s">
        <v>74</v>
      </c>
      <c r="R240" t="s">
        <v>74</v>
      </c>
      <c r="S240" t="s">
        <v>74</v>
      </c>
      <c r="T240" t="s">
        <v>4730</v>
      </c>
      <c r="U240" t="s">
        <v>4731</v>
      </c>
      <c r="V240" t="s">
        <v>4732</v>
      </c>
      <c r="W240" t="s">
        <v>4733</v>
      </c>
      <c r="X240" t="s">
        <v>4734</v>
      </c>
      <c r="Y240" t="s">
        <v>4735</v>
      </c>
      <c r="Z240" t="s">
        <v>4736</v>
      </c>
      <c r="AA240" t="s">
        <v>74</v>
      </c>
      <c r="AB240" t="s">
        <v>4737</v>
      </c>
      <c r="AC240" t="s">
        <v>4738</v>
      </c>
      <c r="AD240" t="s">
        <v>4739</v>
      </c>
      <c r="AE240" t="s">
        <v>4740</v>
      </c>
      <c r="AF240" t="s">
        <v>74</v>
      </c>
      <c r="AG240">
        <v>22</v>
      </c>
      <c r="AH240">
        <v>0</v>
      </c>
      <c r="AI240">
        <v>0</v>
      </c>
      <c r="AJ240">
        <v>0</v>
      </c>
      <c r="AK240">
        <v>0</v>
      </c>
      <c r="AL240" t="s">
        <v>3719</v>
      </c>
      <c r="AM240" t="s">
        <v>1209</v>
      </c>
      <c r="AN240" t="s">
        <v>3720</v>
      </c>
      <c r="AO240" t="s">
        <v>4741</v>
      </c>
      <c r="AP240" t="s">
        <v>74</v>
      </c>
      <c r="AQ240" t="s">
        <v>74</v>
      </c>
      <c r="AR240" t="s">
        <v>4742</v>
      </c>
      <c r="AS240" t="s">
        <v>4743</v>
      </c>
      <c r="AT240" t="s">
        <v>4744</v>
      </c>
      <c r="AU240">
        <v>2024</v>
      </c>
      <c r="AV240">
        <v>13</v>
      </c>
      <c r="AW240">
        <v>1</v>
      </c>
      <c r="AX240" t="s">
        <v>74</v>
      </c>
      <c r="AY240" t="s">
        <v>74</v>
      </c>
      <c r="AZ240" t="s">
        <v>74</v>
      </c>
      <c r="BA240" t="s">
        <v>74</v>
      </c>
      <c r="BB240" t="s">
        <v>74</v>
      </c>
      <c r="BC240" t="s">
        <v>74</v>
      </c>
      <c r="BD240" t="s">
        <v>74</v>
      </c>
      <c r="BE240" t="s">
        <v>4745</v>
      </c>
      <c r="BF240" t="str">
        <f>HYPERLINK("http://dx.doi.org/10.1128/mra.00744-23","http://dx.doi.org/10.1128/mra.00744-23")</f>
        <v>http://dx.doi.org/10.1128/mra.00744-23</v>
      </c>
      <c r="BG240" t="s">
        <v>74</v>
      </c>
      <c r="BH240" t="s">
        <v>98</v>
      </c>
      <c r="BI240">
        <v>3</v>
      </c>
      <c r="BJ240" t="s">
        <v>1084</v>
      </c>
      <c r="BK240" t="s">
        <v>912</v>
      </c>
      <c r="BL240" t="s">
        <v>1084</v>
      </c>
      <c r="BM240" t="s">
        <v>4746</v>
      </c>
      <c r="BN240">
        <v>38054711</v>
      </c>
      <c r="BO240" t="s">
        <v>200</v>
      </c>
      <c r="BP240" t="s">
        <v>74</v>
      </c>
      <c r="BQ240" t="s">
        <v>74</v>
      </c>
      <c r="BR240" t="s">
        <v>104</v>
      </c>
      <c r="BS240" t="s">
        <v>4747</v>
      </c>
      <c r="BT240" t="str">
        <f>HYPERLINK("https%3A%2F%2Fwww.webofscience.com%2Fwos%2Fwoscc%2Ffull-record%2FWOS:001114827700002","View Full Record in Web of Science")</f>
        <v>View Full Record in Web of Science</v>
      </c>
    </row>
    <row r="241" spans="1:72" x14ac:dyDescent="0.15">
      <c r="A241" t="s">
        <v>72</v>
      </c>
      <c r="B241" t="s">
        <v>4748</v>
      </c>
      <c r="C241" t="s">
        <v>74</v>
      </c>
      <c r="D241" t="s">
        <v>74</v>
      </c>
      <c r="E241" t="s">
        <v>74</v>
      </c>
      <c r="F241" t="s">
        <v>4749</v>
      </c>
      <c r="G241" t="s">
        <v>74</v>
      </c>
      <c r="H241" t="s">
        <v>74</v>
      </c>
      <c r="I241" t="s">
        <v>4750</v>
      </c>
      <c r="J241" t="s">
        <v>2389</v>
      </c>
      <c r="K241" t="s">
        <v>74</v>
      </c>
      <c r="L241" t="s">
        <v>74</v>
      </c>
      <c r="M241" t="s">
        <v>78</v>
      </c>
      <c r="N241" t="s">
        <v>3749</v>
      </c>
      <c r="O241" t="s">
        <v>74</v>
      </c>
      <c r="P241" t="s">
        <v>74</v>
      </c>
      <c r="Q241" t="s">
        <v>74</v>
      </c>
      <c r="R241" t="s">
        <v>74</v>
      </c>
      <c r="S241" t="s">
        <v>74</v>
      </c>
      <c r="T241" t="s">
        <v>74</v>
      </c>
      <c r="U241" t="s">
        <v>4751</v>
      </c>
      <c r="V241" t="s">
        <v>4752</v>
      </c>
      <c r="W241" t="s">
        <v>4753</v>
      </c>
      <c r="X241" t="s">
        <v>4754</v>
      </c>
      <c r="Y241" t="s">
        <v>4755</v>
      </c>
      <c r="Z241" t="s">
        <v>4756</v>
      </c>
      <c r="AA241" t="s">
        <v>4757</v>
      </c>
      <c r="AB241" t="s">
        <v>4758</v>
      </c>
      <c r="AC241" t="s">
        <v>4759</v>
      </c>
      <c r="AD241" t="s">
        <v>4760</v>
      </c>
      <c r="AE241" t="s">
        <v>4761</v>
      </c>
      <c r="AF241" t="s">
        <v>74</v>
      </c>
      <c r="AG241">
        <v>317</v>
      </c>
      <c r="AH241">
        <v>31</v>
      </c>
      <c r="AI241">
        <v>31</v>
      </c>
      <c r="AJ241">
        <v>38</v>
      </c>
      <c r="AK241">
        <v>38</v>
      </c>
      <c r="AL241" t="s">
        <v>1838</v>
      </c>
      <c r="AM241" t="s">
        <v>1839</v>
      </c>
      <c r="AN241" t="s">
        <v>1840</v>
      </c>
      <c r="AO241" t="s">
        <v>2400</v>
      </c>
      <c r="AP241" t="s">
        <v>2401</v>
      </c>
      <c r="AQ241" t="s">
        <v>74</v>
      </c>
      <c r="AR241" t="s">
        <v>2402</v>
      </c>
      <c r="AS241" t="s">
        <v>2403</v>
      </c>
      <c r="AT241" t="s">
        <v>4762</v>
      </c>
      <c r="AU241">
        <v>2023</v>
      </c>
      <c r="AV241">
        <v>15</v>
      </c>
      <c r="AW241">
        <v>12</v>
      </c>
      <c r="AX241" t="s">
        <v>74</v>
      </c>
      <c r="AY241" t="s">
        <v>74</v>
      </c>
      <c r="AZ241" t="s">
        <v>74</v>
      </c>
      <c r="BA241" t="s">
        <v>74</v>
      </c>
      <c r="BB241">
        <v>5301</v>
      </c>
      <c r="BC241">
        <v>5369</v>
      </c>
      <c r="BD241" t="s">
        <v>74</v>
      </c>
      <c r="BE241" t="s">
        <v>4763</v>
      </c>
      <c r="BF241" t="str">
        <f>HYPERLINK("http://dx.doi.org/10.5194/essd-15-5301-2023","http://dx.doi.org/10.5194/essd-15-5301-2023")</f>
        <v>http://dx.doi.org/10.5194/essd-15-5301-2023</v>
      </c>
      <c r="BG241" t="s">
        <v>74</v>
      </c>
      <c r="BH241" t="s">
        <v>74</v>
      </c>
      <c r="BI241">
        <v>69</v>
      </c>
      <c r="BJ241" t="s">
        <v>2405</v>
      </c>
      <c r="BK241" t="s">
        <v>100</v>
      </c>
      <c r="BL241" t="s">
        <v>2406</v>
      </c>
      <c r="BM241" t="s">
        <v>4764</v>
      </c>
      <c r="BN241" t="s">
        <v>74</v>
      </c>
      <c r="BO241" t="s">
        <v>183</v>
      </c>
      <c r="BP241" t="s">
        <v>74</v>
      </c>
      <c r="BQ241" t="s">
        <v>74</v>
      </c>
      <c r="BR241" t="s">
        <v>104</v>
      </c>
      <c r="BS241" t="s">
        <v>4765</v>
      </c>
      <c r="BT241" t="str">
        <f>HYPERLINK("https%3A%2F%2Fwww.webofscience.com%2Fwos%2Fwoscc%2Ffull-record%2FWOS:001174421100001","View Full Record in Web of Science")</f>
        <v>View Full Record in Web of Science</v>
      </c>
    </row>
    <row r="242" spans="1:72" x14ac:dyDescent="0.15">
      <c r="A242" t="s">
        <v>72</v>
      </c>
      <c r="B242" t="s">
        <v>4766</v>
      </c>
      <c r="C242" t="s">
        <v>74</v>
      </c>
      <c r="D242" t="s">
        <v>74</v>
      </c>
      <c r="E242" t="s">
        <v>74</v>
      </c>
      <c r="F242" t="s">
        <v>4767</v>
      </c>
      <c r="G242" t="s">
        <v>74</v>
      </c>
      <c r="H242" t="s">
        <v>74</v>
      </c>
      <c r="I242" t="s">
        <v>4768</v>
      </c>
      <c r="J242" t="s">
        <v>2389</v>
      </c>
      <c r="K242" t="s">
        <v>74</v>
      </c>
      <c r="L242" t="s">
        <v>74</v>
      </c>
      <c r="M242" t="s">
        <v>78</v>
      </c>
      <c r="N242" t="s">
        <v>79</v>
      </c>
      <c r="O242" t="s">
        <v>74</v>
      </c>
      <c r="P242" t="s">
        <v>74</v>
      </c>
      <c r="Q242" t="s">
        <v>74</v>
      </c>
      <c r="R242" t="s">
        <v>74</v>
      </c>
      <c r="S242" t="s">
        <v>74</v>
      </c>
      <c r="T242" t="s">
        <v>74</v>
      </c>
      <c r="U242" t="s">
        <v>4769</v>
      </c>
      <c r="V242" t="s">
        <v>4770</v>
      </c>
      <c r="W242" t="s">
        <v>4771</v>
      </c>
      <c r="X242" t="s">
        <v>4772</v>
      </c>
      <c r="Y242" t="s">
        <v>4773</v>
      </c>
      <c r="Z242" t="s">
        <v>4774</v>
      </c>
      <c r="AA242" t="s">
        <v>4775</v>
      </c>
      <c r="AB242" t="s">
        <v>4776</v>
      </c>
      <c r="AC242" t="s">
        <v>4777</v>
      </c>
      <c r="AD242" t="s">
        <v>3278</v>
      </c>
      <c r="AE242" t="s">
        <v>4778</v>
      </c>
      <c r="AF242" t="s">
        <v>74</v>
      </c>
      <c r="AG242">
        <v>106</v>
      </c>
      <c r="AH242">
        <v>1</v>
      </c>
      <c r="AI242">
        <v>1</v>
      </c>
      <c r="AJ242">
        <v>5</v>
      </c>
      <c r="AK242">
        <v>5</v>
      </c>
      <c r="AL242" t="s">
        <v>1838</v>
      </c>
      <c r="AM242" t="s">
        <v>1839</v>
      </c>
      <c r="AN242" t="s">
        <v>1840</v>
      </c>
      <c r="AO242" t="s">
        <v>2400</v>
      </c>
      <c r="AP242" t="s">
        <v>2401</v>
      </c>
      <c r="AQ242" t="s">
        <v>74</v>
      </c>
      <c r="AR242" t="s">
        <v>2402</v>
      </c>
      <c r="AS242" t="s">
        <v>2403</v>
      </c>
      <c r="AT242" t="s">
        <v>4762</v>
      </c>
      <c r="AU242">
        <v>2023</v>
      </c>
      <c r="AV242">
        <v>15</v>
      </c>
      <c r="AW242">
        <v>12</v>
      </c>
      <c r="AX242" t="s">
        <v>74</v>
      </c>
      <c r="AY242" t="s">
        <v>74</v>
      </c>
      <c r="AZ242" t="s">
        <v>74</v>
      </c>
      <c r="BA242" t="s">
        <v>74</v>
      </c>
      <c r="BB242">
        <v>5467</v>
      </c>
      <c r="BC242">
        <v>5489</v>
      </c>
      <c r="BD242" t="s">
        <v>74</v>
      </c>
      <c r="BE242" t="s">
        <v>4779</v>
      </c>
      <c r="BF242" t="str">
        <f>HYPERLINK("http://dx.doi.org/10.5194/essd-15-5467-2023","http://dx.doi.org/10.5194/essd-15-5467-2023")</f>
        <v>http://dx.doi.org/10.5194/essd-15-5467-2023</v>
      </c>
      <c r="BG242" t="s">
        <v>74</v>
      </c>
      <c r="BH242" t="s">
        <v>74</v>
      </c>
      <c r="BI242">
        <v>23</v>
      </c>
      <c r="BJ242" t="s">
        <v>2405</v>
      </c>
      <c r="BK242" t="s">
        <v>100</v>
      </c>
      <c r="BL242" t="s">
        <v>2406</v>
      </c>
      <c r="BM242" t="s">
        <v>4780</v>
      </c>
      <c r="BN242" t="s">
        <v>74</v>
      </c>
      <c r="BO242" t="s">
        <v>4781</v>
      </c>
      <c r="BP242" t="s">
        <v>74</v>
      </c>
      <c r="BQ242" t="s">
        <v>74</v>
      </c>
      <c r="BR242" t="s">
        <v>104</v>
      </c>
      <c r="BS242" t="s">
        <v>4782</v>
      </c>
      <c r="BT242" t="str">
        <f>HYPERLINK("https%3A%2F%2Fwww.webofscience.com%2Fwos%2Fwoscc%2Ffull-record%2FWOS:001170239900001","View Full Record in Web of Science")</f>
        <v>View Full Record in Web of Science</v>
      </c>
    </row>
    <row r="243" spans="1:72" x14ac:dyDescent="0.15">
      <c r="A243" t="s">
        <v>72</v>
      </c>
      <c r="B243" t="s">
        <v>4783</v>
      </c>
      <c r="C243" t="s">
        <v>74</v>
      </c>
      <c r="D243" t="s">
        <v>74</v>
      </c>
      <c r="E243" t="s">
        <v>74</v>
      </c>
      <c r="F243" t="s">
        <v>4784</v>
      </c>
      <c r="G243" t="s">
        <v>74</v>
      </c>
      <c r="H243" t="s">
        <v>74</v>
      </c>
      <c r="I243" t="s">
        <v>4785</v>
      </c>
      <c r="J243" t="s">
        <v>991</v>
      </c>
      <c r="K243" t="s">
        <v>74</v>
      </c>
      <c r="L243" t="s">
        <v>74</v>
      </c>
      <c r="M243" t="s">
        <v>78</v>
      </c>
      <c r="N243" t="s">
        <v>79</v>
      </c>
      <c r="O243" t="s">
        <v>74</v>
      </c>
      <c r="P243" t="s">
        <v>74</v>
      </c>
      <c r="Q243" t="s">
        <v>74</v>
      </c>
      <c r="R243" t="s">
        <v>74</v>
      </c>
      <c r="S243" t="s">
        <v>74</v>
      </c>
      <c r="T243" t="s">
        <v>4786</v>
      </c>
      <c r="U243" t="s">
        <v>4787</v>
      </c>
      <c r="V243" t="s">
        <v>4788</v>
      </c>
      <c r="W243" t="s">
        <v>4789</v>
      </c>
      <c r="X243" t="s">
        <v>4790</v>
      </c>
      <c r="Y243" t="s">
        <v>4791</v>
      </c>
      <c r="Z243" t="s">
        <v>4792</v>
      </c>
      <c r="AA243" t="s">
        <v>4793</v>
      </c>
      <c r="AB243" t="s">
        <v>4794</v>
      </c>
      <c r="AC243" t="s">
        <v>4795</v>
      </c>
      <c r="AD243" t="s">
        <v>4796</v>
      </c>
      <c r="AE243" t="s">
        <v>4797</v>
      </c>
      <c r="AF243" t="s">
        <v>74</v>
      </c>
      <c r="AG243">
        <v>149</v>
      </c>
      <c r="AH243">
        <v>0</v>
      </c>
      <c r="AI243">
        <v>0</v>
      </c>
      <c r="AJ243">
        <v>3</v>
      </c>
      <c r="AK243">
        <v>3</v>
      </c>
      <c r="AL243" t="s">
        <v>947</v>
      </c>
      <c r="AM243" t="s">
        <v>948</v>
      </c>
      <c r="AN243" t="s">
        <v>949</v>
      </c>
      <c r="AO243" t="s">
        <v>1004</v>
      </c>
      <c r="AP243" t="s">
        <v>1005</v>
      </c>
      <c r="AQ243" t="s">
        <v>74</v>
      </c>
      <c r="AR243" t="s">
        <v>1006</v>
      </c>
      <c r="AS243" t="s">
        <v>1007</v>
      </c>
      <c r="AT243" t="s">
        <v>1008</v>
      </c>
      <c r="AU243">
        <v>2024</v>
      </c>
      <c r="AV243">
        <v>912</v>
      </c>
      <c r="AW243" t="s">
        <v>74</v>
      </c>
      <c r="AX243" t="s">
        <v>74</v>
      </c>
      <c r="AY243" t="s">
        <v>74</v>
      </c>
      <c r="AZ243" t="s">
        <v>74</v>
      </c>
      <c r="BA243" t="s">
        <v>74</v>
      </c>
      <c r="BB243" t="s">
        <v>74</v>
      </c>
      <c r="BC243" t="s">
        <v>74</v>
      </c>
      <c r="BD243">
        <v>168473</v>
      </c>
      <c r="BE243" t="s">
        <v>4798</v>
      </c>
      <c r="BF243" t="str">
        <f>HYPERLINK("http://dx.doi.org/10.1016/j.scitotenv.2023.168473","http://dx.doi.org/10.1016/j.scitotenv.2023.168473")</f>
        <v>http://dx.doi.org/10.1016/j.scitotenv.2023.168473</v>
      </c>
      <c r="BG243" t="s">
        <v>74</v>
      </c>
      <c r="BH243" t="s">
        <v>98</v>
      </c>
      <c r="BI243">
        <v>17</v>
      </c>
      <c r="BJ243" t="s">
        <v>1010</v>
      </c>
      <c r="BK243" t="s">
        <v>100</v>
      </c>
      <c r="BL243" t="s">
        <v>1011</v>
      </c>
      <c r="BM243" t="s">
        <v>4799</v>
      </c>
      <c r="BN243">
        <v>38007123</v>
      </c>
      <c r="BO243" t="s">
        <v>4800</v>
      </c>
      <c r="BP243" t="s">
        <v>74</v>
      </c>
      <c r="BQ243" t="s">
        <v>74</v>
      </c>
      <c r="BR243" t="s">
        <v>104</v>
      </c>
      <c r="BS243" t="s">
        <v>4801</v>
      </c>
      <c r="BT243" t="str">
        <f>HYPERLINK("https%3A%2F%2Fwww.webofscience.com%2Fwos%2Fwoscc%2Ffull-record%2FWOS:001138917300001","View Full Record in Web of Science")</f>
        <v>View Full Record in Web of Science</v>
      </c>
    </row>
    <row r="244" spans="1:72" x14ac:dyDescent="0.15">
      <c r="A244" t="s">
        <v>72</v>
      </c>
      <c r="B244" t="s">
        <v>4802</v>
      </c>
      <c r="C244" t="s">
        <v>74</v>
      </c>
      <c r="D244" t="s">
        <v>74</v>
      </c>
      <c r="E244" t="s">
        <v>74</v>
      </c>
      <c r="F244" t="s">
        <v>4803</v>
      </c>
      <c r="G244" t="s">
        <v>74</v>
      </c>
      <c r="H244" t="s">
        <v>74</v>
      </c>
      <c r="I244" t="s">
        <v>4804</v>
      </c>
      <c r="J244" t="s">
        <v>4805</v>
      </c>
      <c r="K244" t="s">
        <v>74</v>
      </c>
      <c r="L244" t="s">
        <v>74</v>
      </c>
      <c r="M244" t="s">
        <v>78</v>
      </c>
      <c r="N244" t="s">
        <v>79</v>
      </c>
      <c r="O244" t="s">
        <v>74</v>
      </c>
      <c r="P244" t="s">
        <v>74</v>
      </c>
      <c r="Q244" t="s">
        <v>74</v>
      </c>
      <c r="R244" t="s">
        <v>74</v>
      </c>
      <c r="S244" t="s">
        <v>74</v>
      </c>
      <c r="T244" t="s">
        <v>4806</v>
      </c>
      <c r="U244" t="s">
        <v>4807</v>
      </c>
      <c r="V244" t="s">
        <v>4808</v>
      </c>
      <c r="W244" t="s">
        <v>4809</v>
      </c>
      <c r="X244" t="s">
        <v>4810</v>
      </c>
      <c r="Y244" t="s">
        <v>4811</v>
      </c>
      <c r="Z244" t="s">
        <v>4812</v>
      </c>
      <c r="AA244" t="s">
        <v>4813</v>
      </c>
      <c r="AB244" t="s">
        <v>4814</v>
      </c>
      <c r="AC244" t="s">
        <v>4815</v>
      </c>
      <c r="AD244" t="s">
        <v>4816</v>
      </c>
      <c r="AE244" t="s">
        <v>4817</v>
      </c>
      <c r="AF244" t="s">
        <v>74</v>
      </c>
      <c r="AG244">
        <v>66</v>
      </c>
      <c r="AH244">
        <v>0</v>
      </c>
      <c r="AI244">
        <v>0</v>
      </c>
      <c r="AJ244">
        <v>10</v>
      </c>
      <c r="AK244">
        <v>10</v>
      </c>
      <c r="AL244" t="s">
        <v>1560</v>
      </c>
      <c r="AM244" t="s">
        <v>976</v>
      </c>
      <c r="AN244" t="s">
        <v>1561</v>
      </c>
      <c r="AO244" t="s">
        <v>4818</v>
      </c>
      <c r="AP244" t="s">
        <v>4819</v>
      </c>
      <c r="AQ244" t="s">
        <v>74</v>
      </c>
      <c r="AR244" t="s">
        <v>4820</v>
      </c>
      <c r="AS244" t="s">
        <v>4821</v>
      </c>
      <c r="AT244" t="s">
        <v>4762</v>
      </c>
      <c r="AU244">
        <v>2023</v>
      </c>
      <c r="AV244">
        <v>236</v>
      </c>
      <c r="AW244">
        <v>2</v>
      </c>
      <c r="AX244" t="s">
        <v>74</v>
      </c>
      <c r="AY244" t="s">
        <v>74</v>
      </c>
      <c r="AZ244" t="s">
        <v>74</v>
      </c>
      <c r="BA244" t="s">
        <v>74</v>
      </c>
      <c r="BB244">
        <v>1026</v>
      </c>
      <c r="BC244">
        <v>1041</v>
      </c>
      <c r="BD244" t="s">
        <v>74</v>
      </c>
      <c r="BE244" t="s">
        <v>4822</v>
      </c>
      <c r="BF244" t="str">
        <f>HYPERLINK("http://dx.doi.org/10.1093/gji/ggad460","http://dx.doi.org/10.1093/gji/ggad460")</f>
        <v>http://dx.doi.org/10.1093/gji/ggad460</v>
      </c>
      <c r="BG244" t="s">
        <v>74</v>
      </c>
      <c r="BH244" t="s">
        <v>74</v>
      </c>
      <c r="BI244">
        <v>16</v>
      </c>
      <c r="BJ244" t="s">
        <v>4252</v>
      </c>
      <c r="BK244" t="s">
        <v>100</v>
      </c>
      <c r="BL244" t="s">
        <v>4252</v>
      </c>
      <c r="BM244" t="s">
        <v>4823</v>
      </c>
      <c r="BN244" t="s">
        <v>74</v>
      </c>
      <c r="BO244" t="s">
        <v>2452</v>
      </c>
      <c r="BP244" t="s">
        <v>74</v>
      </c>
      <c r="BQ244" t="s">
        <v>74</v>
      </c>
      <c r="BR244" t="s">
        <v>104</v>
      </c>
      <c r="BS244" t="s">
        <v>4824</v>
      </c>
      <c r="BT244" t="str">
        <f>HYPERLINK("https%3A%2F%2Fwww.webofscience.com%2Fwos%2Fwoscc%2Ffull-record%2FWOS:001142425700002","View Full Record in Web of Science")</f>
        <v>View Full Record in Web of Science</v>
      </c>
    </row>
    <row r="245" spans="1:72" x14ac:dyDescent="0.15">
      <c r="A245" t="s">
        <v>72</v>
      </c>
      <c r="B245" t="s">
        <v>4825</v>
      </c>
      <c r="C245" t="s">
        <v>74</v>
      </c>
      <c r="D245" t="s">
        <v>74</v>
      </c>
      <c r="E245" t="s">
        <v>74</v>
      </c>
      <c r="F245" t="s">
        <v>4826</v>
      </c>
      <c r="G245" t="s">
        <v>74</v>
      </c>
      <c r="H245" t="s">
        <v>74</v>
      </c>
      <c r="I245" t="s">
        <v>4827</v>
      </c>
      <c r="J245" t="s">
        <v>2915</v>
      </c>
      <c r="K245" t="s">
        <v>74</v>
      </c>
      <c r="L245" t="s">
        <v>74</v>
      </c>
      <c r="M245" t="s">
        <v>78</v>
      </c>
      <c r="N245" t="s">
        <v>1547</v>
      </c>
      <c r="O245" t="s">
        <v>74</v>
      </c>
      <c r="P245" t="s">
        <v>74</v>
      </c>
      <c r="Q245" t="s">
        <v>74</v>
      </c>
      <c r="R245" t="s">
        <v>74</v>
      </c>
      <c r="S245" t="s">
        <v>74</v>
      </c>
      <c r="T245" t="s">
        <v>4828</v>
      </c>
      <c r="U245" t="s">
        <v>4829</v>
      </c>
      <c r="V245" t="s">
        <v>4830</v>
      </c>
      <c r="W245" t="s">
        <v>4831</v>
      </c>
      <c r="X245" t="s">
        <v>4832</v>
      </c>
      <c r="Y245" t="s">
        <v>4833</v>
      </c>
      <c r="Z245" t="s">
        <v>4834</v>
      </c>
      <c r="AA245" t="s">
        <v>4835</v>
      </c>
      <c r="AB245" t="s">
        <v>4836</v>
      </c>
      <c r="AC245" t="s">
        <v>4837</v>
      </c>
      <c r="AD245" t="s">
        <v>4838</v>
      </c>
      <c r="AE245" t="s">
        <v>4839</v>
      </c>
      <c r="AF245" t="s">
        <v>74</v>
      </c>
      <c r="AG245">
        <v>47</v>
      </c>
      <c r="AH245">
        <v>0</v>
      </c>
      <c r="AI245">
        <v>0</v>
      </c>
      <c r="AJ245">
        <v>2</v>
      </c>
      <c r="AK245">
        <v>2</v>
      </c>
      <c r="AL245" t="s">
        <v>1782</v>
      </c>
      <c r="AM245" t="s">
        <v>1783</v>
      </c>
      <c r="AN245" t="s">
        <v>1784</v>
      </c>
      <c r="AO245" t="s">
        <v>2928</v>
      </c>
      <c r="AP245" t="s">
        <v>2929</v>
      </c>
      <c r="AQ245" t="s">
        <v>74</v>
      </c>
      <c r="AR245" t="s">
        <v>2930</v>
      </c>
      <c r="AS245" t="s">
        <v>2931</v>
      </c>
      <c r="AT245" t="s">
        <v>4840</v>
      </c>
      <c r="AU245">
        <v>2023</v>
      </c>
      <c r="AV245" t="s">
        <v>74</v>
      </c>
      <c r="AW245" t="s">
        <v>74</v>
      </c>
      <c r="AX245" t="s">
        <v>74</v>
      </c>
      <c r="AY245" t="s">
        <v>74</v>
      </c>
      <c r="AZ245" t="s">
        <v>74</v>
      </c>
      <c r="BA245" t="s">
        <v>74</v>
      </c>
      <c r="BB245" t="s">
        <v>74</v>
      </c>
      <c r="BC245" t="s">
        <v>74</v>
      </c>
      <c r="BD245" t="s">
        <v>74</v>
      </c>
      <c r="BE245" t="s">
        <v>4841</v>
      </c>
      <c r="BF245" t="str">
        <f>HYPERLINK("http://dx.doi.org/10.1017/jog.2023.81","http://dx.doi.org/10.1017/jog.2023.81")</f>
        <v>http://dx.doi.org/10.1017/jog.2023.81</v>
      </c>
      <c r="BG245" t="s">
        <v>74</v>
      </c>
      <c r="BH245" t="s">
        <v>98</v>
      </c>
      <c r="BI245">
        <v>16</v>
      </c>
      <c r="BJ245" t="s">
        <v>984</v>
      </c>
      <c r="BK245" t="s">
        <v>100</v>
      </c>
      <c r="BL245" t="s">
        <v>985</v>
      </c>
      <c r="BM245" t="s">
        <v>4842</v>
      </c>
      <c r="BN245" t="s">
        <v>74</v>
      </c>
      <c r="BO245" t="s">
        <v>200</v>
      </c>
      <c r="BP245" t="s">
        <v>74</v>
      </c>
      <c r="BQ245" t="s">
        <v>74</v>
      </c>
      <c r="BR245" t="s">
        <v>104</v>
      </c>
      <c r="BS245" t="s">
        <v>4843</v>
      </c>
      <c r="BT245" t="str">
        <f>HYPERLINK("https%3A%2F%2Fwww.webofscience.com%2Fwos%2Fwoscc%2Ffull-record%2FWOS:001113111600001","View Full Record in Web of Science")</f>
        <v>View Full Record in Web of Science</v>
      </c>
    </row>
    <row r="246" spans="1:72" x14ac:dyDescent="0.15">
      <c r="A246" t="s">
        <v>72</v>
      </c>
      <c r="B246" t="s">
        <v>4844</v>
      </c>
      <c r="C246" t="s">
        <v>74</v>
      </c>
      <c r="D246" t="s">
        <v>74</v>
      </c>
      <c r="E246" t="s">
        <v>74</v>
      </c>
      <c r="F246" t="s">
        <v>4845</v>
      </c>
      <c r="G246" t="s">
        <v>74</v>
      </c>
      <c r="H246" t="s">
        <v>74</v>
      </c>
      <c r="I246" t="s">
        <v>4846</v>
      </c>
      <c r="J246" t="s">
        <v>4847</v>
      </c>
      <c r="K246" t="s">
        <v>74</v>
      </c>
      <c r="L246" t="s">
        <v>74</v>
      </c>
      <c r="M246" t="s">
        <v>78</v>
      </c>
      <c r="N246" t="s">
        <v>79</v>
      </c>
      <c r="O246" t="s">
        <v>74</v>
      </c>
      <c r="P246" t="s">
        <v>74</v>
      </c>
      <c r="Q246" t="s">
        <v>74</v>
      </c>
      <c r="R246" t="s">
        <v>74</v>
      </c>
      <c r="S246" t="s">
        <v>74</v>
      </c>
      <c r="T246" t="s">
        <v>74</v>
      </c>
      <c r="U246" t="s">
        <v>4848</v>
      </c>
      <c r="V246" t="s">
        <v>4849</v>
      </c>
      <c r="W246" t="s">
        <v>4850</v>
      </c>
      <c r="X246" t="s">
        <v>4851</v>
      </c>
      <c r="Y246" t="s">
        <v>4852</v>
      </c>
      <c r="Z246" t="s">
        <v>4853</v>
      </c>
      <c r="AA246" t="s">
        <v>4854</v>
      </c>
      <c r="AB246" t="s">
        <v>4855</v>
      </c>
      <c r="AC246" t="s">
        <v>4856</v>
      </c>
      <c r="AD246" t="s">
        <v>4857</v>
      </c>
      <c r="AE246" t="s">
        <v>4858</v>
      </c>
      <c r="AF246" t="s">
        <v>74</v>
      </c>
      <c r="AG246">
        <v>82</v>
      </c>
      <c r="AH246">
        <v>0</v>
      </c>
      <c r="AI246">
        <v>0</v>
      </c>
      <c r="AJ246">
        <v>1</v>
      </c>
      <c r="AK246">
        <v>1</v>
      </c>
      <c r="AL246" t="s">
        <v>1838</v>
      </c>
      <c r="AM246" t="s">
        <v>1839</v>
      </c>
      <c r="AN246" t="s">
        <v>1840</v>
      </c>
      <c r="AO246" t="s">
        <v>4859</v>
      </c>
      <c r="AP246" t="s">
        <v>4860</v>
      </c>
      <c r="AQ246" t="s">
        <v>74</v>
      </c>
      <c r="AR246" t="s">
        <v>4861</v>
      </c>
      <c r="AS246" t="s">
        <v>4862</v>
      </c>
      <c r="AT246" t="s">
        <v>4863</v>
      </c>
      <c r="AU246">
        <v>2023</v>
      </c>
      <c r="AV246">
        <v>19</v>
      </c>
      <c r="AW246">
        <v>6</v>
      </c>
      <c r="AX246" t="s">
        <v>74</v>
      </c>
      <c r="AY246" t="s">
        <v>74</v>
      </c>
      <c r="AZ246" t="s">
        <v>74</v>
      </c>
      <c r="BA246" t="s">
        <v>74</v>
      </c>
      <c r="BB246">
        <v>1687</v>
      </c>
      <c r="BC246">
        <v>1703</v>
      </c>
      <c r="BD246" t="s">
        <v>74</v>
      </c>
      <c r="BE246" t="s">
        <v>4864</v>
      </c>
      <c r="BF246" t="str">
        <f>HYPERLINK("http://dx.doi.org/10.5194/os-19-1687-2023","http://dx.doi.org/10.5194/os-19-1687-2023")</f>
        <v>http://dx.doi.org/10.5194/os-19-1687-2023</v>
      </c>
      <c r="BG246" t="s">
        <v>74</v>
      </c>
      <c r="BH246" t="s">
        <v>74</v>
      </c>
      <c r="BI246">
        <v>17</v>
      </c>
      <c r="BJ246" t="s">
        <v>1417</v>
      </c>
      <c r="BK246" t="s">
        <v>100</v>
      </c>
      <c r="BL246" t="s">
        <v>1417</v>
      </c>
      <c r="BM246" t="s">
        <v>4865</v>
      </c>
      <c r="BN246" t="s">
        <v>74</v>
      </c>
      <c r="BO246" t="s">
        <v>349</v>
      </c>
      <c r="BP246" t="s">
        <v>74</v>
      </c>
      <c r="BQ246" t="s">
        <v>74</v>
      </c>
      <c r="BR246" t="s">
        <v>104</v>
      </c>
      <c r="BS246" t="s">
        <v>4866</v>
      </c>
      <c r="BT246" t="str">
        <f>HYPERLINK("https%3A%2F%2Fwww.webofscience.com%2Fwos%2Fwoscc%2Ffull-record%2FWOS:001166607600001","View Full Record in Web of Science")</f>
        <v>View Full Record in Web of Science</v>
      </c>
    </row>
    <row r="247" spans="1:72" x14ac:dyDescent="0.15">
      <c r="A247" t="s">
        <v>72</v>
      </c>
      <c r="B247" t="s">
        <v>4867</v>
      </c>
      <c r="C247" t="s">
        <v>74</v>
      </c>
      <c r="D247" t="s">
        <v>74</v>
      </c>
      <c r="E247" t="s">
        <v>74</v>
      </c>
      <c r="F247" t="s">
        <v>4868</v>
      </c>
      <c r="G247" t="s">
        <v>74</v>
      </c>
      <c r="H247" t="s">
        <v>74</v>
      </c>
      <c r="I247" t="s">
        <v>4869</v>
      </c>
      <c r="J247" t="s">
        <v>4870</v>
      </c>
      <c r="K247" t="s">
        <v>74</v>
      </c>
      <c r="L247" t="s">
        <v>74</v>
      </c>
      <c r="M247" t="s">
        <v>78</v>
      </c>
      <c r="N247" t="s">
        <v>79</v>
      </c>
      <c r="O247" t="s">
        <v>74</v>
      </c>
      <c r="P247" t="s">
        <v>74</v>
      </c>
      <c r="Q247" t="s">
        <v>74</v>
      </c>
      <c r="R247" t="s">
        <v>74</v>
      </c>
      <c r="S247" t="s">
        <v>74</v>
      </c>
      <c r="T247" t="s">
        <v>74</v>
      </c>
      <c r="U247" t="s">
        <v>4871</v>
      </c>
      <c r="V247" t="s">
        <v>4872</v>
      </c>
      <c r="W247" t="s">
        <v>4873</v>
      </c>
      <c r="X247" t="s">
        <v>4874</v>
      </c>
      <c r="Y247" t="s">
        <v>4875</v>
      </c>
      <c r="Z247" t="s">
        <v>4876</v>
      </c>
      <c r="AA247" t="s">
        <v>74</v>
      </c>
      <c r="AB247" t="s">
        <v>4877</v>
      </c>
      <c r="AC247" t="s">
        <v>4878</v>
      </c>
      <c r="AD247" t="s">
        <v>4879</v>
      </c>
      <c r="AE247" t="s">
        <v>4880</v>
      </c>
      <c r="AF247" t="s">
        <v>74</v>
      </c>
      <c r="AG247">
        <v>41</v>
      </c>
      <c r="AH247">
        <v>0</v>
      </c>
      <c r="AI247">
        <v>0</v>
      </c>
      <c r="AJ247">
        <v>7</v>
      </c>
      <c r="AK247">
        <v>7</v>
      </c>
      <c r="AL247" t="s">
        <v>3057</v>
      </c>
      <c r="AM247" t="s">
        <v>3058</v>
      </c>
      <c r="AN247" t="s">
        <v>3059</v>
      </c>
      <c r="AO247" t="s">
        <v>4881</v>
      </c>
      <c r="AP247" t="s">
        <v>4882</v>
      </c>
      <c r="AQ247" t="s">
        <v>74</v>
      </c>
      <c r="AR247" t="s">
        <v>4883</v>
      </c>
      <c r="AS247" t="s">
        <v>4884</v>
      </c>
      <c r="AT247" t="s">
        <v>954</v>
      </c>
      <c r="AU247">
        <v>2024</v>
      </c>
      <c r="AV247">
        <v>17</v>
      </c>
      <c r="AW247">
        <v>1</v>
      </c>
      <c r="AX247" t="s">
        <v>74</v>
      </c>
      <c r="AY247" t="s">
        <v>74</v>
      </c>
      <c r="AZ247" t="s">
        <v>74</v>
      </c>
      <c r="BA247" t="s">
        <v>74</v>
      </c>
      <c r="BB247" t="s">
        <v>74</v>
      </c>
      <c r="BC247" t="s">
        <v>74</v>
      </c>
      <c r="BD247" t="s">
        <v>74</v>
      </c>
      <c r="BE247" t="s">
        <v>4885</v>
      </c>
      <c r="BF247" t="str">
        <f>HYPERLINK("http://dx.doi.org/10.1038/s41561-023-01336-7","http://dx.doi.org/10.1038/s41561-023-01336-7")</f>
        <v>http://dx.doi.org/10.1038/s41561-023-01336-7</v>
      </c>
      <c r="BG247" t="s">
        <v>74</v>
      </c>
      <c r="BH247" t="s">
        <v>98</v>
      </c>
      <c r="BI247">
        <v>7</v>
      </c>
      <c r="BJ247" t="s">
        <v>535</v>
      </c>
      <c r="BK247" t="s">
        <v>100</v>
      </c>
      <c r="BL247" t="s">
        <v>536</v>
      </c>
      <c r="BM247" t="s">
        <v>4886</v>
      </c>
      <c r="BN247" t="s">
        <v>74</v>
      </c>
      <c r="BO247" t="s">
        <v>3456</v>
      </c>
      <c r="BP247" t="s">
        <v>74</v>
      </c>
      <c r="BQ247" t="s">
        <v>74</v>
      </c>
      <c r="BR247" t="s">
        <v>104</v>
      </c>
      <c r="BS247" t="s">
        <v>4887</v>
      </c>
      <c r="BT247" t="str">
        <f>HYPERLINK("https%3A%2F%2Fwww.webofscience.com%2Fwos%2Fwoscc%2Ffull-record%2FWOS:001112839700002","View Full Record in Web of Science")</f>
        <v>View Full Record in Web of Science</v>
      </c>
    </row>
    <row r="248" spans="1:72" x14ac:dyDescent="0.15">
      <c r="A248" t="s">
        <v>72</v>
      </c>
      <c r="B248" t="s">
        <v>4888</v>
      </c>
      <c r="C248" t="s">
        <v>74</v>
      </c>
      <c r="D248" t="s">
        <v>74</v>
      </c>
      <c r="E248" t="s">
        <v>74</v>
      </c>
      <c r="F248" t="s">
        <v>4889</v>
      </c>
      <c r="G248" t="s">
        <v>74</v>
      </c>
      <c r="H248" t="s">
        <v>74</v>
      </c>
      <c r="I248" t="s">
        <v>4890</v>
      </c>
      <c r="J248" t="s">
        <v>4891</v>
      </c>
      <c r="K248" t="s">
        <v>74</v>
      </c>
      <c r="L248" t="s">
        <v>74</v>
      </c>
      <c r="M248" t="s">
        <v>78</v>
      </c>
      <c r="N248" t="s">
        <v>79</v>
      </c>
      <c r="O248" t="s">
        <v>74</v>
      </c>
      <c r="P248" t="s">
        <v>74</v>
      </c>
      <c r="Q248" t="s">
        <v>74</v>
      </c>
      <c r="R248" t="s">
        <v>74</v>
      </c>
      <c r="S248" t="s">
        <v>74</v>
      </c>
      <c r="T248" t="s">
        <v>4892</v>
      </c>
      <c r="U248" t="s">
        <v>74</v>
      </c>
      <c r="V248" t="s">
        <v>4893</v>
      </c>
      <c r="W248" t="s">
        <v>4894</v>
      </c>
      <c r="X248" t="s">
        <v>74</v>
      </c>
      <c r="Y248" t="s">
        <v>4895</v>
      </c>
      <c r="Z248" t="s">
        <v>4896</v>
      </c>
      <c r="AA248" t="s">
        <v>74</v>
      </c>
      <c r="AB248" t="s">
        <v>74</v>
      </c>
      <c r="AC248" t="s">
        <v>4897</v>
      </c>
      <c r="AD248" t="s">
        <v>4898</v>
      </c>
      <c r="AE248" t="s">
        <v>4899</v>
      </c>
      <c r="AF248" t="s">
        <v>74</v>
      </c>
      <c r="AG248">
        <v>64</v>
      </c>
      <c r="AH248">
        <v>0</v>
      </c>
      <c r="AI248">
        <v>0</v>
      </c>
      <c r="AJ248">
        <v>1</v>
      </c>
      <c r="AK248">
        <v>1</v>
      </c>
      <c r="AL248" t="s">
        <v>1782</v>
      </c>
      <c r="AM248" t="s">
        <v>1783</v>
      </c>
      <c r="AN248" t="s">
        <v>1784</v>
      </c>
      <c r="AO248" t="s">
        <v>4900</v>
      </c>
      <c r="AP248" t="s">
        <v>4901</v>
      </c>
      <c r="AQ248" t="s">
        <v>74</v>
      </c>
      <c r="AR248" t="s">
        <v>4902</v>
      </c>
      <c r="AS248" t="s">
        <v>4903</v>
      </c>
      <c r="AT248" t="s">
        <v>4863</v>
      </c>
      <c r="AU248">
        <v>2023</v>
      </c>
      <c r="AV248">
        <v>59</v>
      </c>
      <c r="AW248" t="s">
        <v>74</v>
      </c>
      <c r="AX248" t="s">
        <v>74</v>
      </c>
      <c r="AY248" t="s">
        <v>74</v>
      </c>
      <c r="AZ248" t="s">
        <v>74</v>
      </c>
      <c r="BA248" t="s">
        <v>74</v>
      </c>
      <c r="BB248" t="s">
        <v>74</v>
      </c>
      <c r="BC248" t="s">
        <v>74</v>
      </c>
      <c r="BD248" t="s">
        <v>4904</v>
      </c>
      <c r="BE248" t="s">
        <v>4905</v>
      </c>
      <c r="BF248" t="str">
        <f>HYPERLINK("http://dx.doi.org/10.1017/S0032247423000293","http://dx.doi.org/10.1017/S0032247423000293")</f>
        <v>http://dx.doi.org/10.1017/S0032247423000293</v>
      </c>
      <c r="BG248" t="s">
        <v>74</v>
      </c>
      <c r="BH248" t="s">
        <v>74</v>
      </c>
      <c r="BI248">
        <v>18</v>
      </c>
      <c r="BJ248" t="s">
        <v>4906</v>
      </c>
      <c r="BK248" t="s">
        <v>100</v>
      </c>
      <c r="BL248" t="s">
        <v>1011</v>
      </c>
      <c r="BM248" t="s">
        <v>4907</v>
      </c>
      <c r="BN248" t="s">
        <v>74</v>
      </c>
      <c r="BO248" t="s">
        <v>103</v>
      </c>
      <c r="BP248" t="s">
        <v>74</v>
      </c>
      <c r="BQ248" t="s">
        <v>74</v>
      </c>
      <c r="BR248" t="s">
        <v>104</v>
      </c>
      <c r="BS248" t="s">
        <v>4908</v>
      </c>
      <c r="BT248" t="str">
        <f>HYPERLINK("https%3A%2F%2Fwww.webofscience.com%2Fwos%2Fwoscc%2Ffull-record%2FWOS:001112591000001","View Full Record in Web of Science")</f>
        <v>View Full Record in Web of Science</v>
      </c>
    </row>
    <row r="249" spans="1:72" x14ac:dyDescent="0.15">
      <c r="A249" t="s">
        <v>72</v>
      </c>
      <c r="B249" t="s">
        <v>4909</v>
      </c>
      <c r="C249" t="s">
        <v>74</v>
      </c>
      <c r="D249" t="s">
        <v>74</v>
      </c>
      <c r="E249" t="s">
        <v>74</v>
      </c>
      <c r="F249" t="s">
        <v>4910</v>
      </c>
      <c r="G249" t="s">
        <v>74</v>
      </c>
      <c r="H249" t="s">
        <v>74</v>
      </c>
      <c r="I249" t="s">
        <v>4911</v>
      </c>
      <c r="J249" t="s">
        <v>4912</v>
      </c>
      <c r="K249" t="s">
        <v>74</v>
      </c>
      <c r="L249" t="s">
        <v>74</v>
      </c>
      <c r="M249" t="s">
        <v>78</v>
      </c>
      <c r="N249" t="s">
        <v>79</v>
      </c>
      <c r="O249" t="s">
        <v>74</v>
      </c>
      <c r="P249" t="s">
        <v>74</v>
      </c>
      <c r="Q249" t="s">
        <v>74</v>
      </c>
      <c r="R249" t="s">
        <v>74</v>
      </c>
      <c r="S249" t="s">
        <v>74</v>
      </c>
      <c r="T249" t="s">
        <v>74</v>
      </c>
      <c r="U249" t="s">
        <v>4913</v>
      </c>
      <c r="V249" t="s">
        <v>4914</v>
      </c>
      <c r="W249" t="s">
        <v>4915</v>
      </c>
      <c r="X249" t="s">
        <v>4916</v>
      </c>
      <c r="Y249" t="s">
        <v>4917</v>
      </c>
      <c r="Z249" t="s">
        <v>4918</v>
      </c>
      <c r="AA249" t="s">
        <v>4919</v>
      </c>
      <c r="AB249" t="s">
        <v>4920</v>
      </c>
      <c r="AC249" t="s">
        <v>4921</v>
      </c>
      <c r="AD249" t="s">
        <v>4922</v>
      </c>
      <c r="AE249" t="s">
        <v>4923</v>
      </c>
      <c r="AF249" t="s">
        <v>74</v>
      </c>
      <c r="AG249">
        <v>85</v>
      </c>
      <c r="AH249">
        <v>4</v>
      </c>
      <c r="AI249">
        <v>4</v>
      </c>
      <c r="AJ249">
        <v>21</v>
      </c>
      <c r="AK249">
        <v>21</v>
      </c>
      <c r="AL249" t="s">
        <v>3057</v>
      </c>
      <c r="AM249" t="s">
        <v>3058</v>
      </c>
      <c r="AN249" t="s">
        <v>3059</v>
      </c>
      <c r="AO249" t="s">
        <v>4924</v>
      </c>
      <c r="AP249" t="s">
        <v>74</v>
      </c>
      <c r="AQ249" t="s">
        <v>74</v>
      </c>
      <c r="AR249" t="s">
        <v>4925</v>
      </c>
      <c r="AS249" t="s">
        <v>4926</v>
      </c>
      <c r="AT249" t="s">
        <v>4863</v>
      </c>
      <c r="AU249">
        <v>2023</v>
      </c>
      <c r="AV249">
        <v>6</v>
      </c>
      <c r="AW249">
        <v>1</v>
      </c>
      <c r="AX249" t="s">
        <v>74</v>
      </c>
      <c r="AY249" t="s">
        <v>74</v>
      </c>
      <c r="AZ249" t="s">
        <v>74</v>
      </c>
      <c r="BA249" t="s">
        <v>74</v>
      </c>
      <c r="BB249" t="s">
        <v>74</v>
      </c>
      <c r="BC249" t="s">
        <v>74</v>
      </c>
      <c r="BD249">
        <v>202</v>
      </c>
      <c r="BE249" t="s">
        <v>4927</v>
      </c>
      <c r="BF249" t="str">
        <f>HYPERLINK("http://dx.doi.org/10.1038/s41612-023-00529-6","http://dx.doi.org/10.1038/s41612-023-00529-6")</f>
        <v>http://dx.doi.org/10.1038/s41612-023-00529-6</v>
      </c>
      <c r="BG249" t="s">
        <v>74</v>
      </c>
      <c r="BH249" t="s">
        <v>74</v>
      </c>
      <c r="BI249">
        <v>18</v>
      </c>
      <c r="BJ249" t="s">
        <v>1522</v>
      </c>
      <c r="BK249" t="s">
        <v>100</v>
      </c>
      <c r="BL249" t="s">
        <v>1522</v>
      </c>
      <c r="BM249" t="s">
        <v>4928</v>
      </c>
      <c r="BN249" t="s">
        <v>74</v>
      </c>
      <c r="BO249" t="s">
        <v>265</v>
      </c>
      <c r="BP249" t="s">
        <v>74</v>
      </c>
      <c r="BQ249" t="s">
        <v>74</v>
      </c>
      <c r="BR249" t="s">
        <v>104</v>
      </c>
      <c r="BS249" t="s">
        <v>4929</v>
      </c>
      <c r="BT249" t="str">
        <f>HYPERLINK("https%3A%2F%2Fwww.webofscience.com%2Fwos%2Fwoscc%2Ffull-record%2FWOS:001112455800001","View Full Record in Web of Science")</f>
        <v>View Full Record in Web of Science</v>
      </c>
    </row>
    <row r="250" spans="1:72" x14ac:dyDescent="0.15">
      <c r="A250" t="s">
        <v>72</v>
      </c>
      <c r="B250" t="s">
        <v>4930</v>
      </c>
      <c r="C250" t="s">
        <v>74</v>
      </c>
      <c r="D250" t="s">
        <v>74</v>
      </c>
      <c r="E250" t="s">
        <v>74</v>
      </c>
      <c r="F250" t="s">
        <v>4931</v>
      </c>
      <c r="G250" t="s">
        <v>74</v>
      </c>
      <c r="H250" t="s">
        <v>74</v>
      </c>
      <c r="I250" t="s">
        <v>4932</v>
      </c>
      <c r="J250" t="s">
        <v>4933</v>
      </c>
      <c r="K250" t="s">
        <v>74</v>
      </c>
      <c r="L250" t="s">
        <v>74</v>
      </c>
      <c r="M250" t="s">
        <v>78</v>
      </c>
      <c r="N250" t="s">
        <v>1547</v>
      </c>
      <c r="O250" t="s">
        <v>74</v>
      </c>
      <c r="P250" t="s">
        <v>74</v>
      </c>
      <c r="Q250" t="s">
        <v>74</v>
      </c>
      <c r="R250" t="s">
        <v>74</v>
      </c>
      <c r="S250" t="s">
        <v>74</v>
      </c>
      <c r="T250" t="s">
        <v>74</v>
      </c>
      <c r="U250" t="s">
        <v>4934</v>
      </c>
      <c r="V250" t="s">
        <v>4935</v>
      </c>
      <c r="W250" t="s">
        <v>4936</v>
      </c>
      <c r="X250" t="s">
        <v>4937</v>
      </c>
      <c r="Y250" t="s">
        <v>4938</v>
      </c>
      <c r="Z250" t="s">
        <v>4939</v>
      </c>
      <c r="AA250" t="s">
        <v>4940</v>
      </c>
      <c r="AB250" t="s">
        <v>4941</v>
      </c>
      <c r="AC250" t="s">
        <v>4942</v>
      </c>
      <c r="AD250" t="s">
        <v>4943</v>
      </c>
      <c r="AE250" t="s">
        <v>4944</v>
      </c>
      <c r="AF250" t="s">
        <v>74</v>
      </c>
      <c r="AG250">
        <v>74</v>
      </c>
      <c r="AH250">
        <v>0</v>
      </c>
      <c r="AI250">
        <v>0</v>
      </c>
      <c r="AJ250">
        <v>3</v>
      </c>
      <c r="AK250">
        <v>3</v>
      </c>
      <c r="AL250" t="s">
        <v>3057</v>
      </c>
      <c r="AM250" t="s">
        <v>3058</v>
      </c>
      <c r="AN250" t="s">
        <v>3059</v>
      </c>
      <c r="AO250" t="s">
        <v>4945</v>
      </c>
      <c r="AP250" t="s">
        <v>4946</v>
      </c>
      <c r="AQ250" t="s">
        <v>74</v>
      </c>
      <c r="AR250" t="s">
        <v>4947</v>
      </c>
      <c r="AS250" t="s">
        <v>4948</v>
      </c>
      <c r="AT250" t="s">
        <v>4949</v>
      </c>
      <c r="AU250">
        <v>2023</v>
      </c>
      <c r="AV250" t="s">
        <v>74</v>
      </c>
      <c r="AW250" t="s">
        <v>74</v>
      </c>
      <c r="AX250" t="s">
        <v>74</v>
      </c>
      <c r="AY250" t="s">
        <v>74</v>
      </c>
      <c r="AZ250" t="s">
        <v>74</v>
      </c>
      <c r="BA250" t="s">
        <v>74</v>
      </c>
      <c r="BB250" t="s">
        <v>74</v>
      </c>
      <c r="BC250" t="s">
        <v>74</v>
      </c>
      <c r="BD250" t="s">
        <v>74</v>
      </c>
      <c r="BE250" t="s">
        <v>4950</v>
      </c>
      <c r="BF250" t="str">
        <f>HYPERLINK("http://dx.doi.org/10.1038/s41558-023-01887-y","http://dx.doi.org/10.1038/s41558-023-01887-y")</f>
        <v>http://dx.doi.org/10.1038/s41558-023-01887-y</v>
      </c>
      <c r="BG250" t="s">
        <v>74</v>
      </c>
      <c r="BH250" t="s">
        <v>98</v>
      </c>
      <c r="BI250">
        <v>9</v>
      </c>
      <c r="BJ250" t="s">
        <v>4951</v>
      </c>
      <c r="BK250" t="s">
        <v>456</v>
      </c>
      <c r="BL250" t="s">
        <v>2383</v>
      </c>
      <c r="BM250" t="s">
        <v>4952</v>
      </c>
      <c r="BN250" t="s">
        <v>74</v>
      </c>
      <c r="BO250" t="s">
        <v>4953</v>
      </c>
      <c r="BP250" t="s">
        <v>74</v>
      </c>
      <c r="BQ250" t="s">
        <v>74</v>
      </c>
      <c r="BR250" t="s">
        <v>104</v>
      </c>
      <c r="BS250" t="s">
        <v>4954</v>
      </c>
      <c r="BT250" t="str">
        <f>HYPERLINK("https%3A%2F%2Fwww.webofscience.com%2Fwos%2Fwoscc%2Ffull-record%2FWOS:001112824400001","View Full Record in Web of Science")</f>
        <v>View Full Record in Web of Science</v>
      </c>
    </row>
    <row r="251" spans="1:72" x14ac:dyDescent="0.15">
      <c r="A251" t="s">
        <v>72</v>
      </c>
      <c r="B251" t="s">
        <v>4955</v>
      </c>
      <c r="C251" t="s">
        <v>74</v>
      </c>
      <c r="D251" t="s">
        <v>74</v>
      </c>
      <c r="E251" t="s">
        <v>74</v>
      </c>
      <c r="F251" t="s">
        <v>4956</v>
      </c>
      <c r="G251" t="s">
        <v>74</v>
      </c>
      <c r="H251" t="s">
        <v>74</v>
      </c>
      <c r="I251" t="s">
        <v>4957</v>
      </c>
      <c r="J251" t="s">
        <v>4958</v>
      </c>
      <c r="K251" t="s">
        <v>74</v>
      </c>
      <c r="L251" t="s">
        <v>74</v>
      </c>
      <c r="M251" t="s">
        <v>78</v>
      </c>
      <c r="N251" t="s">
        <v>1547</v>
      </c>
      <c r="O251" t="s">
        <v>74</v>
      </c>
      <c r="P251" t="s">
        <v>74</v>
      </c>
      <c r="Q251" t="s">
        <v>74</v>
      </c>
      <c r="R251" t="s">
        <v>74</v>
      </c>
      <c r="S251" t="s">
        <v>74</v>
      </c>
      <c r="T251" t="s">
        <v>4959</v>
      </c>
      <c r="U251" t="s">
        <v>4960</v>
      </c>
      <c r="V251" t="s">
        <v>4961</v>
      </c>
      <c r="W251" t="s">
        <v>4962</v>
      </c>
      <c r="X251" t="s">
        <v>4963</v>
      </c>
      <c r="Y251" t="s">
        <v>4964</v>
      </c>
      <c r="Z251" t="s">
        <v>4965</v>
      </c>
      <c r="AA251" t="s">
        <v>4966</v>
      </c>
      <c r="AB251" t="s">
        <v>74</v>
      </c>
      <c r="AC251" t="s">
        <v>4967</v>
      </c>
      <c r="AD251" t="s">
        <v>4968</v>
      </c>
      <c r="AE251" t="s">
        <v>4969</v>
      </c>
      <c r="AF251" t="s">
        <v>74</v>
      </c>
      <c r="AG251">
        <v>30</v>
      </c>
      <c r="AH251">
        <v>1</v>
      </c>
      <c r="AI251">
        <v>1</v>
      </c>
      <c r="AJ251">
        <v>2</v>
      </c>
      <c r="AK251">
        <v>2</v>
      </c>
      <c r="AL251" t="s">
        <v>119</v>
      </c>
      <c r="AM251" t="s">
        <v>120</v>
      </c>
      <c r="AN251" t="s">
        <v>121</v>
      </c>
      <c r="AO251" t="s">
        <v>4970</v>
      </c>
      <c r="AP251" t="s">
        <v>4971</v>
      </c>
      <c r="AQ251" t="s">
        <v>74</v>
      </c>
      <c r="AR251" t="s">
        <v>4972</v>
      </c>
      <c r="AS251" t="s">
        <v>4973</v>
      </c>
      <c r="AT251" t="s">
        <v>4974</v>
      </c>
      <c r="AU251">
        <v>2023</v>
      </c>
      <c r="AV251" t="s">
        <v>74</v>
      </c>
      <c r="AW251" t="s">
        <v>74</v>
      </c>
      <c r="AX251" t="s">
        <v>74</v>
      </c>
      <c r="AY251" t="s">
        <v>74</v>
      </c>
      <c r="AZ251" t="s">
        <v>74</v>
      </c>
      <c r="BA251" t="s">
        <v>74</v>
      </c>
      <c r="BB251" t="s">
        <v>74</v>
      </c>
      <c r="BC251" t="s">
        <v>74</v>
      </c>
      <c r="BD251" t="s">
        <v>74</v>
      </c>
      <c r="BE251" t="s">
        <v>4975</v>
      </c>
      <c r="BF251" t="str">
        <f>HYPERLINK("http://dx.doi.org/10.1080/21664250.2023.2283243","http://dx.doi.org/10.1080/21664250.2023.2283243")</f>
        <v>http://dx.doi.org/10.1080/21664250.2023.2283243</v>
      </c>
      <c r="BG251" t="s">
        <v>74</v>
      </c>
      <c r="BH251" t="s">
        <v>98</v>
      </c>
      <c r="BI251">
        <v>17</v>
      </c>
      <c r="BJ251" t="s">
        <v>4976</v>
      </c>
      <c r="BK251" t="s">
        <v>100</v>
      </c>
      <c r="BL251" t="s">
        <v>4031</v>
      </c>
      <c r="BM251" t="s">
        <v>4977</v>
      </c>
      <c r="BN251" t="s">
        <v>74</v>
      </c>
      <c r="BO251" t="s">
        <v>322</v>
      </c>
      <c r="BP251" t="s">
        <v>74</v>
      </c>
      <c r="BQ251" t="s">
        <v>74</v>
      </c>
      <c r="BR251" t="s">
        <v>104</v>
      </c>
      <c r="BS251" t="s">
        <v>4978</v>
      </c>
      <c r="BT251" t="str">
        <f>HYPERLINK("https%3A%2F%2Fwww.webofscience.com%2Fwos%2Fwoscc%2Ffull-record%2FWOS:001112482400001","View Full Record in Web of Science")</f>
        <v>View Full Record in Web of Science</v>
      </c>
    </row>
    <row r="252" spans="1:72" x14ac:dyDescent="0.15">
      <c r="A252" t="s">
        <v>72</v>
      </c>
      <c r="B252" t="s">
        <v>4979</v>
      </c>
      <c r="C252" t="s">
        <v>74</v>
      </c>
      <c r="D252" t="s">
        <v>74</v>
      </c>
      <c r="E252" t="s">
        <v>74</v>
      </c>
      <c r="F252" t="s">
        <v>4980</v>
      </c>
      <c r="G252" t="s">
        <v>74</v>
      </c>
      <c r="H252" t="s">
        <v>74</v>
      </c>
      <c r="I252" t="s">
        <v>4981</v>
      </c>
      <c r="J252" t="s">
        <v>4982</v>
      </c>
      <c r="K252" t="s">
        <v>74</v>
      </c>
      <c r="L252" t="s">
        <v>74</v>
      </c>
      <c r="M252" t="s">
        <v>78</v>
      </c>
      <c r="N252" t="s">
        <v>1547</v>
      </c>
      <c r="O252" t="s">
        <v>74</v>
      </c>
      <c r="P252" t="s">
        <v>74</v>
      </c>
      <c r="Q252" t="s">
        <v>74</v>
      </c>
      <c r="R252" t="s">
        <v>74</v>
      </c>
      <c r="S252" t="s">
        <v>74</v>
      </c>
      <c r="T252" t="s">
        <v>4983</v>
      </c>
      <c r="U252" t="s">
        <v>4984</v>
      </c>
      <c r="V252" t="s">
        <v>4985</v>
      </c>
      <c r="W252" t="s">
        <v>4986</v>
      </c>
      <c r="X252" t="s">
        <v>4987</v>
      </c>
      <c r="Y252" t="s">
        <v>4988</v>
      </c>
      <c r="Z252" t="s">
        <v>4989</v>
      </c>
      <c r="AA252" t="s">
        <v>74</v>
      </c>
      <c r="AB252" t="s">
        <v>74</v>
      </c>
      <c r="AC252" t="s">
        <v>74</v>
      </c>
      <c r="AD252" t="s">
        <v>74</v>
      </c>
      <c r="AE252" t="s">
        <v>74</v>
      </c>
      <c r="AF252" t="s">
        <v>74</v>
      </c>
      <c r="AG252">
        <v>24</v>
      </c>
      <c r="AH252">
        <v>0</v>
      </c>
      <c r="AI252">
        <v>0</v>
      </c>
      <c r="AJ252">
        <v>2</v>
      </c>
      <c r="AK252">
        <v>2</v>
      </c>
      <c r="AL252" t="s">
        <v>4990</v>
      </c>
      <c r="AM252" t="s">
        <v>4991</v>
      </c>
      <c r="AN252" t="s">
        <v>4992</v>
      </c>
      <c r="AO252" t="s">
        <v>4993</v>
      </c>
      <c r="AP252" t="s">
        <v>4994</v>
      </c>
      <c r="AQ252" t="s">
        <v>74</v>
      </c>
      <c r="AR252" t="s">
        <v>4995</v>
      </c>
      <c r="AS252" t="s">
        <v>4996</v>
      </c>
      <c r="AT252" t="s">
        <v>4974</v>
      </c>
      <c r="AU252">
        <v>2023</v>
      </c>
      <c r="AV252" t="s">
        <v>74</v>
      </c>
      <c r="AW252" t="s">
        <v>74</v>
      </c>
      <c r="AX252" t="s">
        <v>74</v>
      </c>
      <c r="AY252" t="s">
        <v>74</v>
      </c>
      <c r="AZ252" t="s">
        <v>74</v>
      </c>
      <c r="BA252" t="s">
        <v>74</v>
      </c>
      <c r="BB252" t="s">
        <v>74</v>
      </c>
      <c r="BC252" t="s">
        <v>74</v>
      </c>
      <c r="BD252" t="s">
        <v>74</v>
      </c>
      <c r="BE252" t="s">
        <v>4997</v>
      </c>
      <c r="BF252" t="str">
        <f>HYPERLINK("http://dx.doi.org/10.1007/s11600-023-01209-y","http://dx.doi.org/10.1007/s11600-023-01209-y")</f>
        <v>http://dx.doi.org/10.1007/s11600-023-01209-y</v>
      </c>
      <c r="BG252" t="s">
        <v>74</v>
      </c>
      <c r="BH252" t="s">
        <v>98</v>
      </c>
      <c r="BI252">
        <v>10</v>
      </c>
      <c r="BJ252" t="s">
        <v>4252</v>
      </c>
      <c r="BK252" t="s">
        <v>100</v>
      </c>
      <c r="BL252" t="s">
        <v>4252</v>
      </c>
      <c r="BM252" t="s">
        <v>4998</v>
      </c>
      <c r="BN252" t="s">
        <v>74</v>
      </c>
      <c r="BO252" t="s">
        <v>74</v>
      </c>
      <c r="BP252" t="s">
        <v>74</v>
      </c>
      <c r="BQ252" t="s">
        <v>74</v>
      </c>
      <c r="BR252" t="s">
        <v>104</v>
      </c>
      <c r="BS252" t="s">
        <v>4999</v>
      </c>
      <c r="BT252" t="str">
        <f>HYPERLINK("https%3A%2F%2Fwww.webofscience.com%2Fwos%2Fwoscc%2Ffull-record%2FWOS:001112469300001","View Full Record in Web of Science")</f>
        <v>View Full Record in Web of Science</v>
      </c>
    </row>
    <row r="253" spans="1:72" x14ac:dyDescent="0.15">
      <c r="A253" t="s">
        <v>72</v>
      </c>
      <c r="B253" t="s">
        <v>5000</v>
      </c>
      <c r="C253" t="s">
        <v>74</v>
      </c>
      <c r="D253" t="s">
        <v>74</v>
      </c>
      <c r="E253" t="s">
        <v>74</v>
      </c>
      <c r="F253" t="s">
        <v>5001</v>
      </c>
      <c r="G253" t="s">
        <v>74</v>
      </c>
      <c r="H253" t="s">
        <v>74</v>
      </c>
      <c r="I253" t="s">
        <v>5002</v>
      </c>
      <c r="J253" t="s">
        <v>5003</v>
      </c>
      <c r="K253" t="s">
        <v>74</v>
      </c>
      <c r="L253" t="s">
        <v>74</v>
      </c>
      <c r="M253" t="s">
        <v>78</v>
      </c>
      <c r="N253" t="s">
        <v>79</v>
      </c>
      <c r="O253" t="s">
        <v>74</v>
      </c>
      <c r="P253" t="s">
        <v>74</v>
      </c>
      <c r="Q253" t="s">
        <v>74</v>
      </c>
      <c r="R253" t="s">
        <v>74</v>
      </c>
      <c r="S253" t="s">
        <v>74</v>
      </c>
      <c r="T253" t="s">
        <v>5004</v>
      </c>
      <c r="U253" t="s">
        <v>5005</v>
      </c>
      <c r="V253" t="s">
        <v>5006</v>
      </c>
      <c r="W253" t="s">
        <v>5007</v>
      </c>
      <c r="X253" t="s">
        <v>5008</v>
      </c>
      <c r="Y253" t="s">
        <v>5009</v>
      </c>
      <c r="Z253" t="s">
        <v>5010</v>
      </c>
      <c r="AA253" t="s">
        <v>74</v>
      </c>
      <c r="AB253" t="s">
        <v>74</v>
      </c>
      <c r="AC253" t="s">
        <v>5011</v>
      </c>
      <c r="AD253" t="s">
        <v>5012</v>
      </c>
      <c r="AE253" t="s">
        <v>5013</v>
      </c>
      <c r="AF253" t="s">
        <v>74</v>
      </c>
      <c r="AG253">
        <v>29</v>
      </c>
      <c r="AH253">
        <v>0</v>
      </c>
      <c r="AI253">
        <v>0</v>
      </c>
      <c r="AJ253">
        <v>4</v>
      </c>
      <c r="AK253">
        <v>4</v>
      </c>
      <c r="AL253" t="s">
        <v>4271</v>
      </c>
      <c r="AM253" t="s">
        <v>1076</v>
      </c>
      <c r="AN253" t="s">
        <v>4272</v>
      </c>
      <c r="AO253" t="s">
        <v>5014</v>
      </c>
      <c r="AP253" t="s">
        <v>5015</v>
      </c>
      <c r="AQ253" t="s">
        <v>74</v>
      </c>
      <c r="AR253" t="s">
        <v>5016</v>
      </c>
      <c r="AS253" t="s">
        <v>5017</v>
      </c>
      <c r="AT253" t="s">
        <v>1133</v>
      </c>
      <c r="AU253">
        <v>2024</v>
      </c>
      <c r="AV253">
        <v>173</v>
      </c>
      <c r="AW253" t="s">
        <v>74</v>
      </c>
      <c r="AX253" t="s">
        <v>74</v>
      </c>
      <c r="AY253" t="s">
        <v>74</v>
      </c>
      <c r="AZ253" t="s">
        <v>74</v>
      </c>
      <c r="BA253" t="s">
        <v>74</v>
      </c>
      <c r="BB253" t="s">
        <v>74</v>
      </c>
      <c r="BC253" t="s">
        <v>74</v>
      </c>
      <c r="BD253">
        <v>110370</v>
      </c>
      <c r="BE253" t="s">
        <v>5018</v>
      </c>
      <c r="BF253" t="str">
        <f>HYPERLINK("http://dx.doi.org/10.1016/j.enzmictec.2023.110370","http://dx.doi.org/10.1016/j.enzmictec.2023.110370")</f>
        <v>http://dx.doi.org/10.1016/j.enzmictec.2023.110370</v>
      </c>
      <c r="BG253" t="s">
        <v>74</v>
      </c>
      <c r="BH253" t="s">
        <v>98</v>
      </c>
      <c r="BI253">
        <v>9</v>
      </c>
      <c r="BJ253" t="s">
        <v>5019</v>
      </c>
      <c r="BK253" t="s">
        <v>100</v>
      </c>
      <c r="BL253" t="s">
        <v>5019</v>
      </c>
      <c r="BM253" t="s">
        <v>5020</v>
      </c>
      <c r="BN253">
        <v>38043250</v>
      </c>
      <c r="BO253" t="s">
        <v>74</v>
      </c>
      <c r="BP253" t="s">
        <v>74</v>
      </c>
      <c r="BQ253" t="s">
        <v>74</v>
      </c>
      <c r="BR253" t="s">
        <v>104</v>
      </c>
      <c r="BS253" t="s">
        <v>5021</v>
      </c>
      <c r="BT253" t="str">
        <f>HYPERLINK("https%3A%2F%2Fwww.webofscience.com%2Fwos%2Fwoscc%2Ffull-record%2FWOS:001129975700001","View Full Record in Web of Science")</f>
        <v>View Full Record in Web of Science</v>
      </c>
    </row>
    <row r="254" spans="1:72" x14ac:dyDescent="0.15">
      <c r="A254" t="s">
        <v>72</v>
      </c>
      <c r="B254" t="s">
        <v>5022</v>
      </c>
      <c r="C254" t="s">
        <v>74</v>
      </c>
      <c r="D254" t="s">
        <v>74</v>
      </c>
      <c r="E254" t="s">
        <v>74</v>
      </c>
      <c r="F254" t="s">
        <v>5023</v>
      </c>
      <c r="G254" t="s">
        <v>74</v>
      </c>
      <c r="H254" t="s">
        <v>74</v>
      </c>
      <c r="I254" t="s">
        <v>5024</v>
      </c>
      <c r="J254" t="s">
        <v>4870</v>
      </c>
      <c r="K254" t="s">
        <v>74</v>
      </c>
      <c r="L254" t="s">
        <v>74</v>
      </c>
      <c r="M254" t="s">
        <v>78</v>
      </c>
      <c r="N254" t="s">
        <v>79</v>
      </c>
      <c r="O254" t="s">
        <v>74</v>
      </c>
      <c r="P254" t="s">
        <v>74</v>
      </c>
      <c r="Q254" t="s">
        <v>74</v>
      </c>
      <c r="R254" t="s">
        <v>74</v>
      </c>
      <c r="S254" t="s">
        <v>74</v>
      </c>
      <c r="T254" t="s">
        <v>74</v>
      </c>
      <c r="U254" t="s">
        <v>74</v>
      </c>
      <c r="V254" t="s">
        <v>5025</v>
      </c>
      <c r="W254" t="s">
        <v>5026</v>
      </c>
      <c r="X254" t="s">
        <v>5027</v>
      </c>
      <c r="Y254" t="s">
        <v>5028</v>
      </c>
      <c r="Z254" t="s">
        <v>5029</v>
      </c>
      <c r="AA254" t="s">
        <v>5030</v>
      </c>
      <c r="AB254" t="s">
        <v>5031</v>
      </c>
      <c r="AC254" t="s">
        <v>5032</v>
      </c>
      <c r="AD254" t="s">
        <v>5033</v>
      </c>
      <c r="AE254" t="s">
        <v>5034</v>
      </c>
      <c r="AF254" t="s">
        <v>74</v>
      </c>
      <c r="AG254">
        <v>0</v>
      </c>
      <c r="AH254">
        <v>1</v>
      </c>
      <c r="AI254">
        <v>1</v>
      </c>
      <c r="AJ254">
        <v>5</v>
      </c>
      <c r="AK254">
        <v>5</v>
      </c>
      <c r="AL254" t="s">
        <v>3057</v>
      </c>
      <c r="AM254" t="s">
        <v>3058</v>
      </c>
      <c r="AN254" t="s">
        <v>3059</v>
      </c>
      <c r="AO254" t="s">
        <v>4881</v>
      </c>
      <c r="AP254" t="s">
        <v>4882</v>
      </c>
      <c r="AQ254" t="s">
        <v>74</v>
      </c>
      <c r="AR254" t="s">
        <v>4883</v>
      </c>
      <c r="AS254" t="s">
        <v>4884</v>
      </c>
      <c r="AT254" t="s">
        <v>1947</v>
      </c>
      <c r="AU254">
        <v>2023</v>
      </c>
      <c r="AV254">
        <v>16</v>
      </c>
      <c r="AW254">
        <v>12</v>
      </c>
      <c r="AX254" t="s">
        <v>74</v>
      </c>
      <c r="AY254" t="s">
        <v>74</v>
      </c>
      <c r="AZ254" t="s">
        <v>74</v>
      </c>
      <c r="BA254" t="s">
        <v>74</v>
      </c>
      <c r="BB254" t="s">
        <v>74</v>
      </c>
      <c r="BC254" t="s">
        <v>74</v>
      </c>
      <c r="BD254" t="s">
        <v>74</v>
      </c>
      <c r="BE254" t="s">
        <v>5035</v>
      </c>
      <c r="BF254" t="str">
        <f>HYPERLINK("http://dx.doi.org/10.1038/s41561-023-01317-w","http://dx.doi.org/10.1038/s41561-023-01317-w")</f>
        <v>http://dx.doi.org/10.1038/s41561-023-01317-w</v>
      </c>
      <c r="BG254" t="s">
        <v>74</v>
      </c>
      <c r="BH254" t="s">
        <v>74</v>
      </c>
      <c r="BI254">
        <v>12</v>
      </c>
      <c r="BJ254" t="s">
        <v>535</v>
      </c>
      <c r="BK254" t="s">
        <v>100</v>
      </c>
      <c r="BL254" t="s">
        <v>536</v>
      </c>
      <c r="BM254" t="s">
        <v>5036</v>
      </c>
      <c r="BN254" t="s">
        <v>74</v>
      </c>
      <c r="BO254" t="s">
        <v>322</v>
      </c>
      <c r="BP254" t="s">
        <v>74</v>
      </c>
      <c r="BQ254" t="s">
        <v>74</v>
      </c>
      <c r="BR254" t="s">
        <v>104</v>
      </c>
      <c r="BS254" t="s">
        <v>5037</v>
      </c>
      <c r="BT254" t="str">
        <f>HYPERLINK("https%3A%2F%2Fwww.webofscience.com%2Fwos%2Fwoscc%2Ffull-record%2FWOS:001171725400016","View Full Record in Web of Science")</f>
        <v>View Full Record in Web of Science</v>
      </c>
    </row>
    <row r="255" spans="1:72" x14ac:dyDescent="0.15">
      <c r="A255" t="s">
        <v>72</v>
      </c>
      <c r="B255" t="s">
        <v>5038</v>
      </c>
      <c r="C255" t="s">
        <v>74</v>
      </c>
      <c r="D255" t="s">
        <v>74</v>
      </c>
      <c r="E255" t="s">
        <v>74</v>
      </c>
      <c r="F255" t="s">
        <v>5039</v>
      </c>
      <c r="G255" t="s">
        <v>74</v>
      </c>
      <c r="H255" t="s">
        <v>74</v>
      </c>
      <c r="I255" t="s">
        <v>5040</v>
      </c>
      <c r="J255" t="s">
        <v>5041</v>
      </c>
      <c r="K255" t="s">
        <v>74</v>
      </c>
      <c r="L255" t="s">
        <v>74</v>
      </c>
      <c r="M255" t="s">
        <v>78</v>
      </c>
      <c r="N255" t="s">
        <v>79</v>
      </c>
      <c r="O255" t="s">
        <v>74</v>
      </c>
      <c r="P255" t="s">
        <v>74</v>
      </c>
      <c r="Q255" t="s">
        <v>74</v>
      </c>
      <c r="R255" t="s">
        <v>74</v>
      </c>
      <c r="S255" t="s">
        <v>74</v>
      </c>
      <c r="T255" t="s">
        <v>5042</v>
      </c>
      <c r="U255" t="s">
        <v>74</v>
      </c>
      <c r="V255" t="s">
        <v>5043</v>
      </c>
      <c r="W255" t="s">
        <v>5044</v>
      </c>
      <c r="X255" t="s">
        <v>5045</v>
      </c>
      <c r="Y255" t="s">
        <v>5046</v>
      </c>
      <c r="Z255" t="s">
        <v>5047</v>
      </c>
      <c r="AA255" t="s">
        <v>74</v>
      </c>
      <c r="AB255" t="s">
        <v>74</v>
      </c>
      <c r="AC255" t="s">
        <v>5048</v>
      </c>
      <c r="AD255" t="s">
        <v>1450</v>
      </c>
      <c r="AE255" t="s">
        <v>5049</v>
      </c>
      <c r="AF255" t="s">
        <v>74</v>
      </c>
      <c r="AG255">
        <v>22</v>
      </c>
      <c r="AH255">
        <v>0</v>
      </c>
      <c r="AI255">
        <v>0</v>
      </c>
      <c r="AJ255">
        <v>0</v>
      </c>
      <c r="AK255">
        <v>0</v>
      </c>
      <c r="AL255" t="s">
        <v>5050</v>
      </c>
      <c r="AM255" t="s">
        <v>1076</v>
      </c>
      <c r="AN255" t="s">
        <v>5051</v>
      </c>
      <c r="AO255" t="s">
        <v>5052</v>
      </c>
      <c r="AP255" t="s">
        <v>5053</v>
      </c>
      <c r="AQ255" t="s">
        <v>74</v>
      </c>
      <c r="AR255" t="s">
        <v>5054</v>
      </c>
      <c r="AS255" t="s">
        <v>5055</v>
      </c>
      <c r="AT255" t="s">
        <v>1947</v>
      </c>
      <c r="AU255">
        <v>2023</v>
      </c>
      <c r="AV255">
        <v>63</v>
      </c>
      <c r="AW255" t="s">
        <v>5056</v>
      </c>
      <c r="AX255" t="s">
        <v>74</v>
      </c>
      <c r="AY255">
        <v>1</v>
      </c>
      <c r="AZ255" t="s">
        <v>74</v>
      </c>
      <c r="BA255" t="s">
        <v>74</v>
      </c>
      <c r="BB255" t="s">
        <v>5057</v>
      </c>
      <c r="BC255" t="s">
        <v>5058</v>
      </c>
      <c r="BD255" t="s">
        <v>74</v>
      </c>
      <c r="BE255" t="s">
        <v>5059</v>
      </c>
      <c r="BF255" t="str">
        <f>HYPERLINK("http://dx.doi.org/10.1134/S0001437023070196","http://dx.doi.org/10.1134/S0001437023070196")</f>
        <v>http://dx.doi.org/10.1134/S0001437023070196</v>
      </c>
      <c r="BG255" t="s">
        <v>74</v>
      </c>
      <c r="BH255" t="s">
        <v>74</v>
      </c>
      <c r="BI255">
        <v>7</v>
      </c>
      <c r="BJ255" t="s">
        <v>5060</v>
      </c>
      <c r="BK255" t="s">
        <v>100</v>
      </c>
      <c r="BL255" t="s">
        <v>5060</v>
      </c>
      <c r="BM255" t="s">
        <v>5061</v>
      </c>
      <c r="BN255" t="s">
        <v>74</v>
      </c>
      <c r="BO255" t="s">
        <v>74</v>
      </c>
      <c r="BP255" t="s">
        <v>74</v>
      </c>
      <c r="BQ255" t="s">
        <v>74</v>
      </c>
      <c r="BR255" t="s">
        <v>104</v>
      </c>
      <c r="BS255" t="s">
        <v>5062</v>
      </c>
      <c r="BT255" t="str">
        <f>HYPERLINK("https%3A%2F%2Fwww.webofscience.com%2Fwos%2Fwoscc%2Ffull-record%2FWOS:001171643500012","View Full Record in Web of Science")</f>
        <v>View Full Record in Web of Science</v>
      </c>
    </row>
    <row r="256" spans="1:72" x14ac:dyDescent="0.15">
      <c r="A256" t="s">
        <v>72</v>
      </c>
      <c r="B256" t="s">
        <v>5063</v>
      </c>
      <c r="C256" t="s">
        <v>74</v>
      </c>
      <c r="D256" t="s">
        <v>74</v>
      </c>
      <c r="E256" t="s">
        <v>74</v>
      </c>
      <c r="F256" t="s">
        <v>5064</v>
      </c>
      <c r="G256" t="s">
        <v>74</v>
      </c>
      <c r="H256" t="s">
        <v>74</v>
      </c>
      <c r="I256" t="s">
        <v>5065</v>
      </c>
      <c r="J256" t="s">
        <v>5041</v>
      </c>
      <c r="K256" t="s">
        <v>74</v>
      </c>
      <c r="L256" t="s">
        <v>74</v>
      </c>
      <c r="M256" t="s">
        <v>78</v>
      </c>
      <c r="N256" t="s">
        <v>79</v>
      </c>
      <c r="O256" t="s">
        <v>74</v>
      </c>
      <c r="P256" t="s">
        <v>74</v>
      </c>
      <c r="Q256" t="s">
        <v>74</v>
      </c>
      <c r="R256" t="s">
        <v>74</v>
      </c>
      <c r="S256" t="s">
        <v>74</v>
      </c>
      <c r="T256" t="s">
        <v>5066</v>
      </c>
      <c r="U256" t="s">
        <v>5067</v>
      </c>
      <c r="V256" t="s">
        <v>5068</v>
      </c>
      <c r="W256" t="s">
        <v>5069</v>
      </c>
      <c r="X256" t="s">
        <v>5070</v>
      </c>
      <c r="Y256" t="s">
        <v>5071</v>
      </c>
      <c r="Z256" t="s">
        <v>5072</v>
      </c>
      <c r="AA256" t="s">
        <v>74</v>
      </c>
      <c r="AB256" t="s">
        <v>74</v>
      </c>
      <c r="AC256" t="s">
        <v>5073</v>
      </c>
      <c r="AD256" t="s">
        <v>5074</v>
      </c>
      <c r="AE256" t="s">
        <v>5075</v>
      </c>
      <c r="AF256" t="s">
        <v>74</v>
      </c>
      <c r="AG256">
        <v>20</v>
      </c>
      <c r="AH256">
        <v>0</v>
      </c>
      <c r="AI256">
        <v>0</v>
      </c>
      <c r="AJ256">
        <v>0</v>
      </c>
      <c r="AK256">
        <v>0</v>
      </c>
      <c r="AL256" t="s">
        <v>5050</v>
      </c>
      <c r="AM256" t="s">
        <v>1076</v>
      </c>
      <c r="AN256" t="s">
        <v>5051</v>
      </c>
      <c r="AO256" t="s">
        <v>5052</v>
      </c>
      <c r="AP256" t="s">
        <v>5053</v>
      </c>
      <c r="AQ256" t="s">
        <v>74</v>
      </c>
      <c r="AR256" t="s">
        <v>5054</v>
      </c>
      <c r="AS256" t="s">
        <v>5055</v>
      </c>
      <c r="AT256" t="s">
        <v>1947</v>
      </c>
      <c r="AU256">
        <v>2023</v>
      </c>
      <c r="AV256">
        <v>63</v>
      </c>
      <c r="AW256" t="s">
        <v>5056</v>
      </c>
      <c r="AX256" t="s">
        <v>74</v>
      </c>
      <c r="AY256">
        <v>1</v>
      </c>
      <c r="AZ256" t="s">
        <v>74</v>
      </c>
      <c r="BA256" t="s">
        <v>74</v>
      </c>
      <c r="BB256" t="s">
        <v>5076</v>
      </c>
      <c r="BC256" t="s">
        <v>5077</v>
      </c>
      <c r="BD256" t="s">
        <v>74</v>
      </c>
      <c r="BE256" t="s">
        <v>5078</v>
      </c>
      <c r="BF256" t="str">
        <f>HYPERLINK("http://dx.doi.org/10.1134/S0001437023070202","http://dx.doi.org/10.1134/S0001437023070202")</f>
        <v>http://dx.doi.org/10.1134/S0001437023070202</v>
      </c>
      <c r="BG256" t="s">
        <v>74</v>
      </c>
      <c r="BH256" t="s">
        <v>74</v>
      </c>
      <c r="BI256">
        <v>19</v>
      </c>
      <c r="BJ256" t="s">
        <v>5060</v>
      </c>
      <c r="BK256" t="s">
        <v>100</v>
      </c>
      <c r="BL256" t="s">
        <v>5060</v>
      </c>
      <c r="BM256" t="s">
        <v>5061</v>
      </c>
      <c r="BN256" t="s">
        <v>74</v>
      </c>
      <c r="BO256" t="s">
        <v>103</v>
      </c>
      <c r="BP256" t="s">
        <v>74</v>
      </c>
      <c r="BQ256" t="s">
        <v>74</v>
      </c>
      <c r="BR256" t="s">
        <v>104</v>
      </c>
      <c r="BS256" t="s">
        <v>5079</v>
      </c>
      <c r="BT256" t="str">
        <f>HYPERLINK("https%3A%2F%2Fwww.webofscience.com%2Fwos%2Fwoscc%2Ffull-record%2FWOS:001171643500004","View Full Record in Web of Science")</f>
        <v>View Full Record in Web of Science</v>
      </c>
    </row>
    <row r="257" spans="1:72" x14ac:dyDescent="0.15">
      <c r="A257" t="s">
        <v>72</v>
      </c>
      <c r="B257" t="s">
        <v>5080</v>
      </c>
      <c r="C257" t="s">
        <v>74</v>
      </c>
      <c r="D257" t="s">
        <v>74</v>
      </c>
      <c r="E257" t="s">
        <v>74</v>
      </c>
      <c r="F257" t="s">
        <v>5081</v>
      </c>
      <c r="G257" t="s">
        <v>74</v>
      </c>
      <c r="H257" t="s">
        <v>74</v>
      </c>
      <c r="I257" t="s">
        <v>5082</v>
      </c>
      <c r="J257" t="s">
        <v>5083</v>
      </c>
      <c r="K257" t="s">
        <v>74</v>
      </c>
      <c r="L257" t="s">
        <v>74</v>
      </c>
      <c r="M257" t="s">
        <v>78</v>
      </c>
      <c r="N257" t="s">
        <v>79</v>
      </c>
      <c r="O257" t="s">
        <v>74</v>
      </c>
      <c r="P257" t="s">
        <v>74</v>
      </c>
      <c r="Q257" t="s">
        <v>74</v>
      </c>
      <c r="R257" t="s">
        <v>74</v>
      </c>
      <c r="S257" t="s">
        <v>74</v>
      </c>
      <c r="T257" t="s">
        <v>5084</v>
      </c>
      <c r="U257" t="s">
        <v>5085</v>
      </c>
      <c r="V257" t="s">
        <v>5086</v>
      </c>
      <c r="W257" t="s">
        <v>5087</v>
      </c>
      <c r="X257" t="s">
        <v>5088</v>
      </c>
      <c r="Y257" t="s">
        <v>5089</v>
      </c>
      <c r="Z257" t="s">
        <v>4593</v>
      </c>
      <c r="AA257" t="s">
        <v>74</v>
      </c>
      <c r="AB257" t="s">
        <v>74</v>
      </c>
      <c r="AC257" t="s">
        <v>5090</v>
      </c>
      <c r="AD257" t="s">
        <v>5091</v>
      </c>
      <c r="AE257" t="s">
        <v>5092</v>
      </c>
      <c r="AF257" t="s">
        <v>74</v>
      </c>
      <c r="AG257">
        <v>43</v>
      </c>
      <c r="AH257">
        <v>0</v>
      </c>
      <c r="AI257">
        <v>0</v>
      </c>
      <c r="AJ257">
        <v>1</v>
      </c>
      <c r="AK257">
        <v>1</v>
      </c>
      <c r="AL257" t="s">
        <v>5093</v>
      </c>
      <c r="AM257" t="s">
        <v>5094</v>
      </c>
      <c r="AN257" t="s">
        <v>5095</v>
      </c>
      <c r="AO257" t="s">
        <v>5096</v>
      </c>
      <c r="AP257" t="s">
        <v>5097</v>
      </c>
      <c r="AQ257" t="s">
        <v>74</v>
      </c>
      <c r="AR257" t="s">
        <v>5098</v>
      </c>
      <c r="AS257" t="s">
        <v>5099</v>
      </c>
      <c r="AT257" t="s">
        <v>1947</v>
      </c>
      <c r="AU257">
        <v>2023</v>
      </c>
      <c r="AV257">
        <v>38</v>
      </c>
      <c r="AW257">
        <v>4</v>
      </c>
      <c r="AX257" t="s">
        <v>74</v>
      </c>
      <c r="AY257" t="s">
        <v>74</v>
      </c>
      <c r="AZ257" t="s">
        <v>74</v>
      </c>
      <c r="BA257" t="s">
        <v>74</v>
      </c>
      <c r="BB257">
        <v>241</v>
      </c>
      <c r="BC257">
        <v>252</v>
      </c>
      <c r="BD257" t="s">
        <v>74</v>
      </c>
      <c r="BE257" t="s">
        <v>5100</v>
      </c>
      <c r="BF257" t="str">
        <f>HYPERLINK("http://dx.doi.org/10.4490/algae.2023.38.11.30","http://dx.doi.org/10.4490/algae.2023.38.11.30")</f>
        <v>http://dx.doi.org/10.4490/algae.2023.38.11.30</v>
      </c>
      <c r="BG257" t="s">
        <v>74</v>
      </c>
      <c r="BH257" t="s">
        <v>74</v>
      </c>
      <c r="BI257">
        <v>12</v>
      </c>
      <c r="BJ257" t="s">
        <v>1058</v>
      </c>
      <c r="BK257" t="s">
        <v>100</v>
      </c>
      <c r="BL257" t="s">
        <v>1058</v>
      </c>
      <c r="BM257" t="s">
        <v>5101</v>
      </c>
      <c r="BN257" t="s">
        <v>74</v>
      </c>
      <c r="BO257" t="s">
        <v>131</v>
      </c>
      <c r="BP257" t="s">
        <v>74</v>
      </c>
      <c r="BQ257" t="s">
        <v>74</v>
      </c>
      <c r="BR257" t="s">
        <v>104</v>
      </c>
      <c r="BS257" t="s">
        <v>5102</v>
      </c>
      <c r="BT257" t="str">
        <f>HYPERLINK("https%3A%2F%2Fwww.webofscience.com%2Fwos%2Fwoscc%2Ffull-record%2FWOS:001175789400003","View Full Record in Web of Science")</f>
        <v>View Full Record in Web of Science</v>
      </c>
    </row>
    <row r="258" spans="1:72" x14ac:dyDescent="0.15">
      <c r="A258" t="s">
        <v>72</v>
      </c>
      <c r="B258" t="s">
        <v>5103</v>
      </c>
      <c r="C258" t="s">
        <v>74</v>
      </c>
      <c r="D258" t="s">
        <v>74</v>
      </c>
      <c r="E258" t="s">
        <v>74</v>
      </c>
      <c r="F258" t="s">
        <v>5104</v>
      </c>
      <c r="G258" t="s">
        <v>74</v>
      </c>
      <c r="H258" t="s">
        <v>74</v>
      </c>
      <c r="I258" t="s">
        <v>5105</v>
      </c>
      <c r="J258" t="s">
        <v>5106</v>
      </c>
      <c r="K258" t="s">
        <v>74</v>
      </c>
      <c r="L258" t="s">
        <v>74</v>
      </c>
      <c r="M258" t="s">
        <v>78</v>
      </c>
      <c r="N258" t="s">
        <v>79</v>
      </c>
      <c r="O258" t="s">
        <v>74</v>
      </c>
      <c r="P258" t="s">
        <v>74</v>
      </c>
      <c r="Q258" t="s">
        <v>74</v>
      </c>
      <c r="R258" t="s">
        <v>74</v>
      </c>
      <c r="S258" t="s">
        <v>74</v>
      </c>
      <c r="T258" t="s">
        <v>5107</v>
      </c>
      <c r="U258" t="s">
        <v>5108</v>
      </c>
      <c r="V258" t="s">
        <v>5109</v>
      </c>
      <c r="W258" t="s">
        <v>5110</v>
      </c>
      <c r="X258" t="s">
        <v>5111</v>
      </c>
      <c r="Y258" t="s">
        <v>5112</v>
      </c>
      <c r="Z258" t="s">
        <v>5113</v>
      </c>
      <c r="AA258" t="s">
        <v>74</v>
      </c>
      <c r="AB258" t="s">
        <v>74</v>
      </c>
      <c r="AC258" t="s">
        <v>5114</v>
      </c>
      <c r="AD258" t="s">
        <v>5115</v>
      </c>
      <c r="AE258" t="s">
        <v>5116</v>
      </c>
      <c r="AF258" t="s">
        <v>74</v>
      </c>
      <c r="AG258">
        <v>82</v>
      </c>
      <c r="AH258">
        <v>0</v>
      </c>
      <c r="AI258">
        <v>0</v>
      </c>
      <c r="AJ258">
        <v>1</v>
      </c>
      <c r="AK258">
        <v>1</v>
      </c>
      <c r="AL258" t="s">
        <v>5117</v>
      </c>
      <c r="AM258" t="s">
        <v>5118</v>
      </c>
      <c r="AN258" t="s">
        <v>5119</v>
      </c>
      <c r="AO258" t="s">
        <v>5120</v>
      </c>
      <c r="AP258" t="s">
        <v>5121</v>
      </c>
      <c r="AQ258" t="s">
        <v>74</v>
      </c>
      <c r="AR258" t="s">
        <v>5122</v>
      </c>
      <c r="AS258" t="s">
        <v>5123</v>
      </c>
      <c r="AT258" t="s">
        <v>1947</v>
      </c>
      <c r="AU258">
        <v>2023</v>
      </c>
      <c r="AV258">
        <v>36</v>
      </c>
      <c r="AW258">
        <v>24</v>
      </c>
      <c r="AX258" t="s">
        <v>74</v>
      </c>
      <c r="AY258" t="s">
        <v>74</v>
      </c>
      <c r="AZ258" t="s">
        <v>74</v>
      </c>
      <c r="BA258" t="s">
        <v>74</v>
      </c>
      <c r="BB258">
        <v>8761</v>
      </c>
      <c r="BC258">
        <v>8781</v>
      </c>
      <c r="BD258" t="s">
        <v>74</v>
      </c>
      <c r="BE258" t="s">
        <v>5124</v>
      </c>
      <c r="BF258" t="str">
        <f>HYPERLINK("http://dx.doi.org/10.1175/JCLI-D-23-0198.s1","http://dx.doi.org/10.1175/JCLI-D-23-0198.s1")</f>
        <v>http://dx.doi.org/10.1175/JCLI-D-23-0198.s1</v>
      </c>
      <c r="BG258" t="s">
        <v>74</v>
      </c>
      <c r="BH258" t="s">
        <v>74</v>
      </c>
      <c r="BI258">
        <v>21</v>
      </c>
      <c r="BJ258" t="s">
        <v>1522</v>
      </c>
      <c r="BK258" t="s">
        <v>100</v>
      </c>
      <c r="BL258" t="s">
        <v>1522</v>
      </c>
      <c r="BM258" t="s">
        <v>5125</v>
      </c>
      <c r="BN258" t="s">
        <v>74</v>
      </c>
      <c r="BO258" t="s">
        <v>74</v>
      </c>
      <c r="BP258" t="s">
        <v>74</v>
      </c>
      <c r="BQ258" t="s">
        <v>74</v>
      </c>
      <c r="BR258" t="s">
        <v>104</v>
      </c>
      <c r="BS258" t="s">
        <v>5126</v>
      </c>
      <c r="BT258" t="str">
        <f>HYPERLINK("https%3A%2F%2Fwww.webofscience.com%2Fwos%2Fwoscc%2Ffull-record%2FWOS:001177273900001","View Full Record in Web of Science")</f>
        <v>View Full Record in Web of Science</v>
      </c>
    </row>
    <row r="259" spans="1:72" x14ac:dyDescent="0.15">
      <c r="A259" t="s">
        <v>72</v>
      </c>
      <c r="B259" t="s">
        <v>5127</v>
      </c>
      <c r="C259" t="s">
        <v>74</v>
      </c>
      <c r="D259" t="s">
        <v>74</v>
      </c>
      <c r="E259" t="s">
        <v>74</v>
      </c>
      <c r="F259" t="s">
        <v>5128</v>
      </c>
      <c r="G259" t="s">
        <v>74</v>
      </c>
      <c r="H259" t="s">
        <v>74</v>
      </c>
      <c r="I259" t="s">
        <v>5129</v>
      </c>
      <c r="J259" t="s">
        <v>5130</v>
      </c>
      <c r="K259" t="s">
        <v>74</v>
      </c>
      <c r="L259" t="s">
        <v>74</v>
      </c>
      <c r="M259" t="s">
        <v>78</v>
      </c>
      <c r="N259" t="s">
        <v>79</v>
      </c>
      <c r="O259" t="s">
        <v>74</v>
      </c>
      <c r="P259" t="s">
        <v>74</v>
      </c>
      <c r="Q259" t="s">
        <v>74</v>
      </c>
      <c r="R259" t="s">
        <v>74</v>
      </c>
      <c r="S259" t="s">
        <v>74</v>
      </c>
      <c r="T259" t="s">
        <v>5131</v>
      </c>
      <c r="U259" t="s">
        <v>5132</v>
      </c>
      <c r="V259" t="s">
        <v>5133</v>
      </c>
      <c r="W259" t="s">
        <v>5134</v>
      </c>
      <c r="X259" t="s">
        <v>74</v>
      </c>
      <c r="Y259" t="s">
        <v>5135</v>
      </c>
      <c r="Z259" t="s">
        <v>5136</v>
      </c>
      <c r="AA259" t="s">
        <v>74</v>
      </c>
      <c r="AB259" t="s">
        <v>74</v>
      </c>
      <c r="AC259" t="s">
        <v>74</v>
      </c>
      <c r="AD259" t="s">
        <v>74</v>
      </c>
      <c r="AE259" t="s">
        <v>74</v>
      </c>
      <c r="AF259" t="s">
        <v>74</v>
      </c>
      <c r="AG259">
        <v>88</v>
      </c>
      <c r="AH259">
        <v>0</v>
      </c>
      <c r="AI259">
        <v>0</v>
      </c>
      <c r="AJ259">
        <v>0</v>
      </c>
      <c r="AK259">
        <v>0</v>
      </c>
      <c r="AL259" t="s">
        <v>5050</v>
      </c>
      <c r="AM259" t="s">
        <v>1076</v>
      </c>
      <c r="AN259" t="s">
        <v>5051</v>
      </c>
      <c r="AO259" t="s">
        <v>5137</v>
      </c>
      <c r="AP259" t="s">
        <v>5138</v>
      </c>
      <c r="AQ259" t="s">
        <v>74</v>
      </c>
      <c r="AR259" t="s">
        <v>5139</v>
      </c>
      <c r="AS259" t="s">
        <v>5140</v>
      </c>
      <c r="AT259" t="s">
        <v>1947</v>
      </c>
      <c r="AU259">
        <v>2023</v>
      </c>
      <c r="AV259">
        <v>57</v>
      </c>
      <c r="AW259" t="s">
        <v>5056</v>
      </c>
      <c r="AX259" t="s">
        <v>74</v>
      </c>
      <c r="AY259">
        <v>1</v>
      </c>
      <c r="AZ259" t="s">
        <v>74</v>
      </c>
      <c r="BA259" t="s">
        <v>74</v>
      </c>
      <c r="BB259" t="s">
        <v>5141</v>
      </c>
      <c r="BC259" t="s">
        <v>5142</v>
      </c>
      <c r="BD259" t="s">
        <v>74</v>
      </c>
      <c r="BE259" t="s">
        <v>5143</v>
      </c>
      <c r="BF259" t="str">
        <f>HYPERLINK("http://dx.doi.org/10.1134/S0016852123070038","http://dx.doi.org/10.1134/S0016852123070038")</f>
        <v>http://dx.doi.org/10.1134/S0016852123070038</v>
      </c>
      <c r="BG259" t="s">
        <v>74</v>
      </c>
      <c r="BH259" t="s">
        <v>74</v>
      </c>
      <c r="BI259">
        <v>24</v>
      </c>
      <c r="BJ259" t="s">
        <v>4252</v>
      </c>
      <c r="BK259" t="s">
        <v>100</v>
      </c>
      <c r="BL259" t="s">
        <v>4252</v>
      </c>
      <c r="BM259" t="s">
        <v>5144</v>
      </c>
      <c r="BN259" t="s">
        <v>74</v>
      </c>
      <c r="BO259" t="s">
        <v>74</v>
      </c>
      <c r="BP259" t="s">
        <v>74</v>
      </c>
      <c r="BQ259" t="s">
        <v>74</v>
      </c>
      <c r="BR259" t="s">
        <v>104</v>
      </c>
      <c r="BS259" t="s">
        <v>5145</v>
      </c>
      <c r="BT259" t="str">
        <f>HYPERLINK("https%3A%2F%2Fwww.webofscience.com%2Fwos%2Fwoscc%2Ffull-record%2FWOS:001179354900004","View Full Record in Web of Science")</f>
        <v>View Full Record in Web of Science</v>
      </c>
    </row>
    <row r="260" spans="1:72" x14ac:dyDescent="0.15">
      <c r="A260" t="s">
        <v>72</v>
      </c>
      <c r="B260" t="s">
        <v>5146</v>
      </c>
      <c r="C260" t="s">
        <v>74</v>
      </c>
      <c r="D260" t="s">
        <v>74</v>
      </c>
      <c r="E260" t="s">
        <v>74</v>
      </c>
      <c r="F260" t="s">
        <v>5147</v>
      </c>
      <c r="G260" t="s">
        <v>74</v>
      </c>
      <c r="H260" t="s">
        <v>74</v>
      </c>
      <c r="I260" t="s">
        <v>5148</v>
      </c>
      <c r="J260" t="s">
        <v>5130</v>
      </c>
      <c r="K260" t="s">
        <v>74</v>
      </c>
      <c r="L260" t="s">
        <v>74</v>
      </c>
      <c r="M260" t="s">
        <v>78</v>
      </c>
      <c r="N260" t="s">
        <v>79</v>
      </c>
      <c r="O260" t="s">
        <v>74</v>
      </c>
      <c r="P260" t="s">
        <v>74</v>
      </c>
      <c r="Q260" t="s">
        <v>74</v>
      </c>
      <c r="R260" t="s">
        <v>74</v>
      </c>
      <c r="S260" t="s">
        <v>74</v>
      </c>
      <c r="T260" t="s">
        <v>5149</v>
      </c>
      <c r="U260" t="s">
        <v>74</v>
      </c>
      <c r="V260" t="s">
        <v>5150</v>
      </c>
      <c r="W260" t="s">
        <v>5151</v>
      </c>
      <c r="X260" t="s">
        <v>74</v>
      </c>
      <c r="Y260" t="s">
        <v>5152</v>
      </c>
      <c r="Z260" t="s">
        <v>5153</v>
      </c>
      <c r="AA260" t="s">
        <v>74</v>
      </c>
      <c r="AB260" t="s">
        <v>74</v>
      </c>
      <c r="AC260" t="s">
        <v>74</v>
      </c>
      <c r="AD260" t="s">
        <v>74</v>
      </c>
      <c r="AE260" t="s">
        <v>74</v>
      </c>
      <c r="AF260" t="s">
        <v>74</v>
      </c>
      <c r="AG260">
        <v>22</v>
      </c>
      <c r="AH260">
        <v>0</v>
      </c>
      <c r="AI260">
        <v>0</v>
      </c>
      <c r="AJ260">
        <v>0</v>
      </c>
      <c r="AK260">
        <v>0</v>
      </c>
      <c r="AL260" t="s">
        <v>5050</v>
      </c>
      <c r="AM260" t="s">
        <v>1076</v>
      </c>
      <c r="AN260" t="s">
        <v>5051</v>
      </c>
      <c r="AO260" t="s">
        <v>5137</v>
      </c>
      <c r="AP260" t="s">
        <v>5138</v>
      </c>
      <c r="AQ260" t="s">
        <v>74</v>
      </c>
      <c r="AR260" t="s">
        <v>5139</v>
      </c>
      <c r="AS260" t="s">
        <v>5140</v>
      </c>
      <c r="AT260" t="s">
        <v>1947</v>
      </c>
      <c r="AU260">
        <v>2023</v>
      </c>
      <c r="AV260">
        <v>57</v>
      </c>
      <c r="AW260" t="s">
        <v>5056</v>
      </c>
      <c r="AX260" t="s">
        <v>74</v>
      </c>
      <c r="AY260">
        <v>1</v>
      </c>
      <c r="AZ260" t="s">
        <v>74</v>
      </c>
      <c r="BA260" t="s">
        <v>74</v>
      </c>
      <c r="BB260" t="s">
        <v>5154</v>
      </c>
      <c r="BC260" t="s">
        <v>5155</v>
      </c>
      <c r="BD260" t="s">
        <v>74</v>
      </c>
      <c r="BE260" t="s">
        <v>5156</v>
      </c>
      <c r="BF260" t="str">
        <f>HYPERLINK("http://dx.doi.org/10.1134/S0016852123070087","http://dx.doi.org/10.1134/S0016852123070087")</f>
        <v>http://dx.doi.org/10.1134/S0016852123070087</v>
      </c>
      <c r="BG260" t="s">
        <v>74</v>
      </c>
      <c r="BH260" t="s">
        <v>74</v>
      </c>
      <c r="BI260">
        <v>6</v>
      </c>
      <c r="BJ260" t="s">
        <v>4252</v>
      </c>
      <c r="BK260" t="s">
        <v>100</v>
      </c>
      <c r="BL260" t="s">
        <v>4252</v>
      </c>
      <c r="BM260" t="s">
        <v>5144</v>
      </c>
      <c r="BN260" t="s">
        <v>74</v>
      </c>
      <c r="BO260" t="s">
        <v>74</v>
      </c>
      <c r="BP260" t="s">
        <v>74</v>
      </c>
      <c r="BQ260" t="s">
        <v>74</v>
      </c>
      <c r="BR260" t="s">
        <v>104</v>
      </c>
      <c r="BS260" t="s">
        <v>5157</v>
      </c>
      <c r="BT260" t="str">
        <f>HYPERLINK("https%3A%2F%2Fwww.webofscience.com%2Fwos%2Fwoscc%2Ffull-record%2FWOS:001179354900005","View Full Record in Web of Science")</f>
        <v>View Full Record in Web of Science</v>
      </c>
    </row>
    <row r="261" spans="1:72" x14ac:dyDescent="0.15">
      <c r="A261" t="s">
        <v>72</v>
      </c>
      <c r="B261" t="s">
        <v>5158</v>
      </c>
      <c r="C261" t="s">
        <v>74</v>
      </c>
      <c r="D261" t="s">
        <v>74</v>
      </c>
      <c r="E261" t="s">
        <v>74</v>
      </c>
      <c r="F261" t="s">
        <v>5159</v>
      </c>
      <c r="G261" t="s">
        <v>74</v>
      </c>
      <c r="H261" t="s">
        <v>74</v>
      </c>
      <c r="I261" t="s">
        <v>5160</v>
      </c>
      <c r="J261" t="s">
        <v>5130</v>
      </c>
      <c r="K261" t="s">
        <v>74</v>
      </c>
      <c r="L261" t="s">
        <v>74</v>
      </c>
      <c r="M261" t="s">
        <v>78</v>
      </c>
      <c r="N261" t="s">
        <v>79</v>
      </c>
      <c r="O261" t="s">
        <v>74</v>
      </c>
      <c r="P261" t="s">
        <v>74</v>
      </c>
      <c r="Q261" t="s">
        <v>74</v>
      </c>
      <c r="R261" t="s">
        <v>74</v>
      </c>
      <c r="S261" t="s">
        <v>74</v>
      </c>
      <c r="T261" t="s">
        <v>5161</v>
      </c>
      <c r="U261" t="s">
        <v>5162</v>
      </c>
      <c r="V261" t="s">
        <v>5163</v>
      </c>
      <c r="W261" t="s">
        <v>5164</v>
      </c>
      <c r="X261" t="s">
        <v>74</v>
      </c>
      <c r="Y261" t="s">
        <v>5165</v>
      </c>
      <c r="Z261" t="s">
        <v>5166</v>
      </c>
      <c r="AA261" t="s">
        <v>5167</v>
      </c>
      <c r="AB261" t="s">
        <v>74</v>
      </c>
      <c r="AC261" t="s">
        <v>74</v>
      </c>
      <c r="AD261" t="s">
        <v>74</v>
      </c>
      <c r="AE261" t="s">
        <v>74</v>
      </c>
      <c r="AF261" t="s">
        <v>74</v>
      </c>
      <c r="AG261">
        <v>40</v>
      </c>
      <c r="AH261">
        <v>0</v>
      </c>
      <c r="AI261">
        <v>0</v>
      </c>
      <c r="AJ261">
        <v>1</v>
      </c>
      <c r="AK261">
        <v>1</v>
      </c>
      <c r="AL261" t="s">
        <v>5050</v>
      </c>
      <c r="AM261" t="s">
        <v>1076</v>
      </c>
      <c r="AN261" t="s">
        <v>5051</v>
      </c>
      <c r="AO261" t="s">
        <v>5137</v>
      </c>
      <c r="AP261" t="s">
        <v>5138</v>
      </c>
      <c r="AQ261" t="s">
        <v>74</v>
      </c>
      <c r="AR261" t="s">
        <v>5139</v>
      </c>
      <c r="AS261" t="s">
        <v>5140</v>
      </c>
      <c r="AT261" t="s">
        <v>1947</v>
      </c>
      <c r="AU261">
        <v>2023</v>
      </c>
      <c r="AV261">
        <v>57</v>
      </c>
      <c r="AW261" t="s">
        <v>5056</v>
      </c>
      <c r="AX261" t="s">
        <v>74</v>
      </c>
      <c r="AY261">
        <v>1</v>
      </c>
      <c r="AZ261" t="s">
        <v>74</v>
      </c>
      <c r="BA261" t="s">
        <v>74</v>
      </c>
      <c r="BB261" t="s">
        <v>5168</v>
      </c>
      <c r="BC261" t="s">
        <v>5169</v>
      </c>
      <c r="BD261" t="s">
        <v>74</v>
      </c>
      <c r="BE261" t="s">
        <v>5170</v>
      </c>
      <c r="BF261" t="str">
        <f>HYPERLINK("http://dx.doi.org/10.1134/S0016852123070129","http://dx.doi.org/10.1134/S0016852123070129")</f>
        <v>http://dx.doi.org/10.1134/S0016852123070129</v>
      </c>
      <c r="BG261" t="s">
        <v>74</v>
      </c>
      <c r="BH261" t="s">
        <v>74</v>
      </c>
      <c r="BI261">
        <v>12</v>
      </c>
      <c r="BJ261" t="s">
        <v>4252</v>
      </c>
      <c r="BK261" t="s">
        <v>100</v>
      </c>
      <c r="BL261" t="s">
        <v>4252</v>
      </c>
      <c r="BM261" t="s">
        <v>5144</v>
      </c>
      <c r="BN261" t="s">
        <v>74</v>
      </c>
      <c r="BO261" t="s">
        <v>74</v>
      </c>
      <c r="BP261" t="s">
        <v>74</v>
      </c>
      <c r="BQ261" t="s">
        <v>74</v>
      </c>
      <c r="BR261" t="s">
        <v>104</v>
      </c>
      <c r="BS261" t="s">
        <v>5171</v>
      </c>
      <c r="BT261" t="str">
        <f>HYPERLINK("https%3A%2F%2Fwww.webofscience.com%2Fwos%2Fwoscc%2Ffull-record%2FWOS:001179354900011","View Full Record in Web of Science")</f>
        <v>View Full Record in Web of Science</v>
      </c>
    </row>
    <row r="262" spans="1:72" x14ac:dyDescent="0.15">
      <c r="A262" t="s">
        <v>72</v>
      </c>
      <c r="B262" t="s">
        <v>5172</v>
      </c>
      <c r="C262" t="s">
        <v>74</v>
      </c>
      <c r="D262" t="s">
        <v>74</v>
      </c>
      <c r="E262" t="s">
        <v>74</v>
      </c>
      <c r="F262" t="s">
        <v>5173</v>
      </c>
      <c r="G262" t="s">
        <v>74</v>
      </c>
      <c r="H262" t="s">
        <v>74</v>
      </c>
      <c r="I262" t="s">
        <v>5174</v>
      </c>
      <c r="J262" t="s">
        <v>5175</v>
      </c>
      <c r="K262" t="s">
        <v>74</v>
      </c>
      <c r="L262" t="s">
        <v>74</v>
      </c>
      <c r="M262" t="s">
        <v>78</v>
      </c>
      <c r="N262" t="s">
        <v>79</v>
      </c>
      <c r="O262" t="s">
        <v>74</v>
      </c>
      <c r="P262" t="s">
        <v>74</v>
      </c>
      <c r="Q262" t="s">
        <v>74</v>
      </c>
      <c r="R262" t="s">
        <v>74</v>
      </c>
      <c r="S262" t="s">
        <v>74</v>
      </c>
      <c r="T262" t="s">
        <v>5176</v>
      </c>
      <c r="U262" t="s">
        <v>5177</v>
      </c>
      <c r="V262" t="s">
        <v>5178</v>
      </c>
      <c r="W262" t="s">
        <v>5179</v>
      </c>
      <c r="X262" t="s">
        <v>5180</v>
      </c>
      <c r="Y262" t="s">
        <v>5181</v>
      </c>
      <c r="Z262" t="s">
        <v>5182</v>
      </c>
      <c r="AA262" t="s">
        <v>74</v>
      </c>
      <c r="AB262" t="s">
        <v>74</v>
      </c>
      <c r="AC262" t="s">
        <v>74</v>
      </c>
      <c r="AD262" t="s">
        <v>74</v>
      </c>
      <c r="AE262" t="s">
        <v>74</v>
      </c>
      <c r="AF262" t="s">
        <v>74</v>
      </c>
      <c r="AG262">
        <v>51</v>
      </c>
      <c r="AH262">
        <v>0</v>
      </c>
      <c r="AI262">
        <v>0</v>
      </c>
      <c r="AJ262">
        <v>0</v>
      </c>
      <c r="AK262">
        <v>0</v>
      </c>
      <c r="AL262" t="s">
        <v>5183</v>
      </c>
      <c r="AM262" t="s">
        <v>1076</v>
      </c>
      <c r="AN262" t="s">
        <v>5184</v>
      </c>
      <c r="AO262" t="s">
        <v>5185</v>
      </c>
      <c r="AP262" t="s">
        <v>5186</v>
      </c>
      <c r="AQ262" t="s">
        <v>74</v>
      </c>
      <c r="AR262" t="s">
        <v>5187</v>
      </c>
      <c r="AS262" t="s">
        <v>5188</v>
      </c>
      <c r="AT262" t="s">
        <v>1947</v>
      </c>
      <c r="AU262">
        <v>2023</v>
      </c>
      <c r="AV262">
        <v>59</v>
      </c>
      <c r="AW262" t="s">
        <v>5189</v>
      </c>
      <c r="AX262" t="s">
        <v>74</v>
      </c>
      <c r="AY262">
        <v>3</v>
      </c>
      <c r="AZ262" t="s">
        <v>74</v>
      </c>
      <c r="BA262" t="s">
        <v>74</v>
      </c>
      <c r="BB262" t="s">
        <v>5190</v>
      </c>
      <c r="BC262" t="s">
        <v>5191</v>
      </c>
      <c r="BD262" t="s">
        <v>74</v>
      </c>
      <c r="BE262" t="s">
        <v>5192</v>
      </c>
      <c r="BF262" t="str">
        <f>HYPERLINK("http://dx.doi.org/10.1134/S0001433823150045","http://dx.doi.org/10.1134/S0001433823150045")</f>
        <v>http://dx.doi.org/10.1134/S0001433823150045</v>
      </c>
      <c r="BG262" t="s">
        <v>74</v>
      </c>
      <c r="BH262" t="s">
        <v>74</v>
      </c>
      <c r="BI262">
        <v>14</v>
      </c>
      <c r="BJ262" t="s">
        <v>1417</v>
      </c>
      <c r="BK262" t="s">
        <v>100</v>
      </c>
      <c r="BL262" t="s">
        <v>1417</v>
      </c>
      <c r="BM262" t="s">
        <v>5193</v>
      </c>
      <c r="BN262" t="s">
        <v>74</v>
      </c>
      <c r="BO262" t="s">
        <v>74</v>
      </c>
      <c r="BP262" t="s">
        <v>74</v>
      </c>
      <c r="BQ262" t="s">
        <v>74</v>
      </c>
      <c r="BR262" t="s">
        <v>104</v>
      </c>
      <c r="BS262" t="s">
        <v>5194</v>
      </c>
      <c r="BT262" t="str">
        <f>HYPERLINK("https%3A%2F%2Fwww.webofscience.com%2Fwos%2Fwoscc%2Ffull-record%2FWOS:001179205600003","View Full Record in Web of Science")</f>
        <v>View Full Record in Web of Science</v>
      </c>
    </row>
    <row r="263" spans="1:72" x14ac:dyDescent="0.15">
      <c r="A263" t="s">
        <v>72</v>
      </c>
      <c r="B263" t="s">
        <v>5195</v>
      </c>
      <c r="C263" t="s">
        <v>74</v>
      </c>
      <c r="D263" t="s">
        <v>74</v>
      </c>
      <c r="E263" t="s">
        <v>74</v>
      </c>
      <c r="F263" t="s">
        <v>5196</v>
      </c>
      <c r="G263" t="s">
        <v>74</v>
      </c>
      <c r="H263" t="s">
        <v>74</v>
      </c>
      <c r="I263" t="s">
        <v>5197</v>
      </c>
      <c r="J263" t="s">
        <v>5198</v>
      </c>
      <c r="K263" t="s">
        <v>74</v>
      </c>
      <c r="L263" t="s">
        <v>74</v>
      </c>
      <c r="M263" t="s">
        <v>78</v>
      </c>
      <c r="N263" t="s">
        <v>79</v>
      </c>
      <c r="O263" t="s">
        <v>74</v>
      </c>
      <c r="P263" t="s">
        <v>74</v>
      </c>
      <c r="Q263" t="s">
        <v>74</v>
      </c>
      <c r="R263" t="s">
        <v>74</v>
      </c>
      <c r="S263" t="s">
        <v>74</v>
      </c>
      <c r="T263" t="s">
        <v>5199</v>
      </c>
      <c r="U263" t="s">
        <v>5200</v>
      </c>
      <c r="V263" t="s">
        <v>5201</v>
      </c>
      <c r="W263" t="s">
        <v>5202</v>
      </c>
      <c r="X263" t="s">
        <v>5203</v>
      </c>
      <c r="Y263" t="s">
        <v>5204</v>
      </c>
      <c r="Z263" t="s">
        <v>5205</v>
      </c>
      <c r="AA263" t="s">
        <v>5206</v>
      </c>
      <c r="AB263" t="s">
        <v>5207</v>
      </c>
      <c r="AC263" t="s">
        <v>5208</v>
      </c>
      <c r="AD263" t="s">
        <v>5209</v>
      </c>
      <c r="AE263" t="s">
        <v>5210</v>
      </c>
      <c r="AF263" t="s">
        <v>74</v>
      </c>
      <c r="AG263">
        <v>24</v>
      </c>
      <c r="AH263">
        <v>0</v>
      </c>
      <c r="AI263">
        <v>0</v>
      </c>
      <c r="AJ263">
        <v>2</v>
      </c>
      <c r="AK263">
        <v>2</v>
      </c>
      <c r="AL263" t="s">
        <v>5183</v>
      </c>
      <c r="AM263" t="s">
        <v>1076</v>
      </c>
      <c r="AN263" t="s">
        <v>5184</v>
      </c>
      <c r="AO263" t="s">
        <v>5211</v>
      </c>
      <c r="AP263" t="s">
        <v>5212</v>
      </c>
      <c r="AQ263" t="s">
        <v>74</v>
      </c>
      <c r="AR263" t="s">
        <v>5213</v>
      </c>
      <c r="AS263" t="s">
        <v>5214</v>
      </c>
      <c r="AT263" t="s">
        <v>1947</v>
      </c>
      <c r="AU263">
        <v>2023</v>
      </c>
      <c r="AV263">
        <v>50</v>
      </c>
      <c r="AW263" t="s">
        <v>5056</v>
      </c>
      <c r="AX263" t="s">
        <v>74</v>
      </c>
      <c r="AY263">
        <v>1</v>
      </c>
      <c r="AZ263" t="s">
        <v>74</v>
      </c>
      <c r="BA263" t="s">
        <v>74</v>
      </c>
      <c r="BB263" t="s">
        <v>5215</v>
      </c>
      <c r="BC263" t="s">
        <v>5216</v>
      </c>
      <c r="BD263" t="s">
        <v>74</v>
      </c>
      <c r="BE263" t="s">
        <v>5217</v>
      </c>
      <c r="BF263" t="str">
        <f>HYPERLINK("http://dx.doi.org/10.1134/S0097807823700367","http://dx.doi.org/10.1134/S0097807823700367")</f>
        <v>http://dx.doi.org/10.1134/S0097807823700367</v>
      </c>
      <c r="BG263" t="s">
        <v>74</v>
      </c>
      <c r="BH263" t="s">
        <v>74</v>
      </c>
      <c r="BI263">
        <v>12</v>
      </c>
      <c r="BJ263" t="s">
        <v>5218</v>
      </c>
      <c r="BK263" t="s">
        <v>100</v>
      </c>
      <c r="BL263" t="s">
        <v>5218</v>
      </c>
      <c r="BM263" t="s">
        <v>5219</v>
      </c>
      <c r="BN263" t="s">
        <v>74</v>
      </c>
      <c r="BO263" t="s">
        <v>74</v>
      </c>
      <c r="BP263" t="s">
        <v>74</v>
      </c>
      <c r="BQ263" t="s">
        <v>74</v>
      </c>
      <c r="BR263" t="s">
        <v>104</v>
      </c>
      <c r="BS263" t="s">
        <v>5220</v>
      </c>
      <c r="BT263" t="str">
        <f>HYPERLINK("https%3A%2F%2Fwww.webofscience.com%2Fwos%2Fwoscc%2Ffull-record%2FWOS:001173832700006","View Full Record in Web of Science")</f>
        <v>View Full Record in Web of Science</v>
      </c>
    </row>
    <row r="264" spans="1:72" x14ac:dyDescent="0.15">
      <c r="A264" t="s">
        <v>72</v>
      </c>
      <c r="B264" t="s">
        <v>5221</v>
      </c>
      <c r="C264" t="s">
        <v>74</v>
      </c>
      <c r="D264" t="s">
        <v>74</v>
      </c>
      <c r="E264" t="s">
        <v>74</v>
      </c>
      <c r="F264" t="s">
        <v>5222</v>
      </c>
      <c r="G264" t="s">
        <v>74</v>
      </c>
      <c r="H264" t="s">
        <v>74</v>
      </c>
      <c r="I264" t="s">
        <v>5223</v>
      </c>
      <c r="J264" t="s">
        <v>5175</v>
      </c>
      <c r="K264" t="s">
        <v>74</v>
      </c>
      <c r="L264" t="s">
        <v>74</v>
      </c>
      <c r="M264" t="s">
        <v>78</v>
      </c>
      <c r="N264" t="s">
        <v>79</v>
      </c>
      <c r="O264" t="s">
        <v>74</v>
      </c>
      <c r="P264" t="s">
        <v>74</v>
      </c>
      <c r="Q264" t="s">
        <v>74</v>
      </c>
      <c r="R264" t="s">
        <v>74</v>
      </c>
      <c r="S264" t="s">
        <v>74</v>
      </c>
      <c r="T264" t="s">
        <v>5224</v>
      </c>
      <c r="U264" t="s">
        <v>5225</v>
      </c>
      <c r="V264" t="s">
        <v>5226</v>
      </c>
      <c r="W264" t="s">
        <v>5227</v>
      </c>
      <c r="X264" t="s">
        <v>5228</v>
      </c>
      <c r="Y264" t="s">
        <v>5229</v>
      </c>
      <c r="Z264" t="s">
        <v>5230</v>
      </c>
      <c r="AA264" t="s">
        <v>74</v>
      </c>
      <c r="AB264" t="s">
        <v>74</v>
      </c>
      <c r="AC264" t="s">
        <v>5231</v>
      </c>
      <c r="AD264" t="s">
        <v>74</v>
      </c>
      <c r="AE264" t="s">
        <v>5232</v>
      </c>
      <c r="AF264" t="s">
        <v>74</v>
      </c>
      <c r="AG264">
        <v>33</v>
      </c>
      <c r="AH264">
        <v>0</v>
      </c>
      <c r="AI264">
        <v>0</v>
      </c>
      <c r="AJ264">
        <v>0</v>
      </c>
      <c r="AK264">
        <v>0</v>
      </c>
      <c r="AL264" t="s">
        <v>5183</v>
      </c>
      <c r="AM264" t="s">
        <v>1076</v>
      </c>
      <c r="AN264" t="s">
        <v>5184</v>
      </c>
      <c r="AO264" t="s">
        <v>5185</v>
      </c>
      <c r="AP264" t="s">
        <v>5186</v>
      </c>
      <c r="AQ264" t="s">
        <v>74</v>
      </c>
      <c r="AR264" t="s">
        <v>5187</v>
      </c>
      <c r="AS264" t="s">
        <v>5188</v>
      </c>
      <c r="AT264" t="s">
        <v>1947</v>
      </c>
      <c r="AU264">
        <v>2023</v>
      </c>
      <c r="AV264">
        <v>59</v>
      </c>
      <c r="AW264">
        <v>10</v>
      </c>
      <c r="AX264" t="s">
        <v>74</v>
      </c>
      <c r="AY264" t="s">
        <v>74</v>
      </c>
      <c r="AZ264" t="s">
        <v>74</v>
      </c>
      <c r="BA264" t="s">
        <v>74</v>
      </c>
      <c r="BB264">
        <v>1307</v>
      </c>
      <c r="BC264">
        <v>1313</v>
      </c>
      <c r="BD264" t="s">
        <v>74</v>
      </c>
      <c r="BE264" t="s">
        <v>5233</v>
      </c>
      <c r="BF264" t="str">
        <f>HYPERLINK("http://dx.doi.org/10.1134/S0001433823120265","http://dx.doi.org/10.1134/S0001433823120265")</f>
        <v>http://dx.doi.org/10.1134/S0001433823120265</v>
      </c>
      <c r="BG264" t="s">
        <v>74</v>
      </c>
      <c r="BH264" t="s">
        <v>74</v>
      </c>
      <c r="BI264">
        <v>7</v>
      </c>
      <c r="BJ264" t="s">
        <v>1417</v>
      </c>
      <c r="BK264" t="s">
        <v>100</v>
      </c>
      <c r="BL264" t="s">
        <v>1417</v>
      </c>
      <c r="BM264" t="s">
        <v>5234</v>
      </c>
      <c r="BN264" t="s">
        <v>74</v>
      </c>
      <c r="BO264" t="s">
        <v>74</v>
      </c>
      <c r="BP264" t="s">
        <v>74</v>
      </c>
      <c r="BQ264" t="s">
        <v>74</v>
      </c>
      <c r="BR264" t="s">
        <v>104</v>
      </c>
      <c r="BS264" t="s">
        <v>5235</v>
      </c>
      <c r="BT264" t="str">
        <f>HYPERLINK("https%3A%2F%2Fwww.webofscience.com%2Fwos%2Fwoscc%2Ffull-record%2FWOS:001167360400010","View Full Record in Web of Science")</f>
        <v>View Full Record in Web of Science</v>
      </c>
    </row>
    <row r="265" spans="1:72" x14ac:dyDescent="0.15">
      <c r="A265" t="s">
        <v>72</v>
      </c>
      <c r="B265" t="s">
        <v>5236</v>
      </c>
      <c r="C265" t="s">
        <v>74</v>
      </c>
      <c r="D265" t="s">
        <v>74</v>
      </c>
      <c r="E265" t="s">
        <v>74</v>
      </c>
      <c r="F265" t="s">
        <v>5237</v>
      </c>
      <c r="G265" t="s">
        <v>74</v>
      </c>
      <c r="H265" t="s">
        <v>74</v>
      </c>
      <c r="I265" t="s">
        <v>5238</v>
      </c>
      <c r="J265" t="s">
        <v>5239</v>
      </c>
      <c r="K265" t="s">
        <v>74</v>
      </c>
      <c r="L265" t="s">
        <v>74</v>
      </c>
      <c r="M265" t="s">
        <v>78</v>
      </c>
      <c r="N265" t="s">
        <v>79</v>
      </c>
      <c r="O265" t="s">
        <v>74</v>
      </c>
      <c r="P265" t="s">
        <v>74</v>
      </c>
      <c r="Q265" t="s">
        <v>74</v>
      </c>
      <c r="R265" t="s">
        <v>74</v>
      </c>
      <c r="S265" t="s">
        <v>74</v>
      </c>
      <c r="T265" t="s">
        <v>5240</v>
      </c>
      <c r="U265" t="s">
        <v>5241</v>
      </c>
      <c r="V265" t="s">
        <v>5242</v>
      </c>
      <c r="W265" t="s">
        <v>5243</v>
      </c>
      <c r="X265" t="s">
        <v>5244</v>
      </c>
      <c r="Y265" t="s">
        <v>5245</v>
      </c>
      <c r="Z265" t="s">
        <v>5246</v>
      </c>
      <c r="AA265" t="s">
        <v>5247</v>
      </c>
      <c r="AB265" t="s">
        <v>5248</v>
      </c>
      <c r="AC265" t="s">
        <v>5249</v>
      </c>
      <c r="AD265" t="s">
        <v>5250</v>
      </c>
      <c r="AE265" t="s">
        <v>5251</v>
      </c>
      <c r="AF265" t="s">
        <v>74</v>
      </c>
      <c r="AG265">
        <v>69</v>
      </c>
      <c r="AH265">
        <v>0</v>
      </c>
      <c r="AI265">
        <v>0</v>
      </c>
      <c r="AJ265">
        <v>0</v>
      </c>
      <c r="AK265">
        <v>0</v>
      </c>
      <c r="AL265" t="s">
        <v>5252</v>
      </c>
      <c r="AM265" t="s">
        <v>5253</v>
      </c>
      <c r="AN265" t="s">
        <v>5254</v>
      </c>
      <c r="AO265" t="s">
        <v>5255</v>
      </c>
      <c r="AP265" t="s">
        <v>74</v>
      </c>
      <c r="AQ265" t="s">
        <v>74</v>
      </c>
      <c r="AR265" t="s">
        <v>5239</v>
      </c>
      <c r="AS265" t="s">
        <v>5256</v>
      </c>
      <c r="AT265" t="s">
        <v>1947</v>
      </c>
      <c r="AU265">
        <v>2023</v>
      </c>
      <c r="AV265">
        <v>51</v>
      </c>
      <c r="AW265" t="s">
        <v>74</v>
      </c>
      <c r="AX265" t="s">
        <v>74</v>
      </c>
      <c r="AY265" t="s">
        <v>74</v>
      </c>
      <c r="AZ265" t="s">
        <v>74</v>
      </c>
      <c r="BA265" t="s">
        <v>74</v>
      </c>
      <c r="BB265">
        <v>125</v>
      </c>
      <c r="BC265">
        <v>151</v>
      </c>
      <c r="BD265" t="s">
        <v>74</v>
      </c>
      <c r="BE265" t="s">
        <v>5257</v>
      </c>
      <c r="BF265" t="str">
        <f>HYPERLINK("http://dx.doi.org/10.3767/persoonia.2023.51.03","http://dx.doi.org/10.3767/persoonia.2023.51.03")</f>
        <v>http://dx.doi.org/10.3767/persoonia.2023.51.03</v>
      </c>
      <c r="BG265" t="s">
        <v>74</v>
      </c>
      <c r="BH265" t="s">
        <v>74</v>
      </c>
      <c r="BI265">
        <v>27</v>
      </c>
      <c r="BJ265" t="s">
        <v>5258</v>
      </c>
      <c r="BK265" t="s">
        <v>100</v>
      </c>
      <c r="BL265" t="s">
        <v>5258</v>
      </c>
      <c r="BM265" t="s">
        <v>5259</v>
      </c>
      <c r="BN265" t="s">
        <v>74</v>
      </c>
      <c r="BO265" t="s">
        <v>103</v>
      </c>
      <c r="BP265" t="s">
        <v>74</v>
      </c>
      <c r="BQ265" t="s">
        <v>74</v>
      </c>
      <c r="BR265" t="s">
        <v>104</v>
      </c>
      <c r="BS265" t="s">
        <v>5260</v>
      </c>
      <c r="BT265" t="str">
        <f>HYPERLINK("https%3A%2F%2Fwww.webofscience.com%2Fwos%2Fwoscc%2Ffull-record%2FWOS:001164098000003","View Full Record in Web of Science")</f>
        <v>View Full Record in Web of Science</v>
      </c>
    </row>
    <row r="266" spans="1:72" x14ac:dyDescent="0.15">
      <c r="A266" t="s">
        <v>72</v>
      </c>
      <c r="B266" t="s">
        <v>5261</v>
      </c>
      <c r="C266" t="s">
        <v>74</v>
      </c>
      <c r="D266" t="s">
        <v>74</v>
      </c>
      <c r="E266" t="s">
        <v>74</v>
      </c>
      <c r="F266" t="s">
        <v>5262</v>
      </c>
      <c r="G266" t="s">
        <v>74</v>
      </c>
      <c r="H266" t="s">
        <v>74</v>
      </c>
      <c r="I266" t="s">
        <v>5263</v>
      </c>
      <c r="J266" t="s">
        <v>5264</v>
      </c>
      <c r="K266" t="s">
        <v>74</v>
      </c>
      <c r="L266" t="s">
        <v>74</v>
      </c>
      <c r="M266" t="s">
        <v>78</v>
      </c>
      <c r="N266" t="s">
        <v>79</v>
      </c>
      <c r="O266" t="s">
        <v>74</v>
      </c>
      <c r="P266" t="s">
        <v>74</v>
      </c>
      <c r="Q266" t="s">
        <v>74</v>
      </c>
      <c r="R266" t="s">
        <v>74</v>
      </c>
      <c r="S266" t="s">
        <v>74</v>
      </c>
      <c r="T266" t="s">
        <v>5265</v>
      </c>
      <c r="U266" t="s">
        <v>5266</v>
      </c>
      <c r="V266" t="s">
        <v>5267</v>
      </c>
      <c r="W266" t="s">
        <v>5268</v>
      </c>
      <c r="X266" t="s">
        <v>5269</v>
      </c>
      <c r="Y266" t="s">
        <v>5270</v>
      </c>
      <c r="Z266" t="s">
        <v>5271</v>
      </c>
      <c r="AA266" t="s">
        <v>5272</v>
      </c>
      <c r="AB266" t="s">
        <v>5273</v>
      </c>
      <c r="AC266" t="s">
        <v>5274</v>
      </c>
      <c r="AD266" t="s">
        <v>5275</v>
      </c>
      <c r="AE266" t="s">
        <v>5276</v>
      </c>
      <c r="AF266" t="s">
        <v>74</v>
      </c>
      <c r="AG266">
        <v>69</v>
      </c>
      <c r="AH266">
        <v>0</v>
      </c>
      <c r="AI266">
        <v>0</v>
      </c>
      <c r="AJ266">
        <v>1</v>
      </c>
      <c r="AK266">
        <v>1</v>
      </c>
      <c r="AL266" t="s">
        <v>1208</v>
      </c>
      <c r="AM266" t="s">
        <v>1209</v>
      </c>
      <c r="AN266" t="s">
        <v>1210</v>
      </c>
      <c r="AO266" t="s">
        <v>74</v>
      </c>
      <c r="AP266" t="s">
        <v>5277</v>
      </c>
      <c r="AQ266" t="s">
        <v>74</v>
      </c>
      <c r="AR266" t="s">
        <v>5278</v>
      </c>
      <c r="AS266" t="s">
        <v>5279</v>
      </c>
      <c r="AT266" t="s">
        <v>1947</v>
      </c>
      <c r="AU266">
        <v>2023</v>
      </c>
      <c r="AV266">
        <v>15</v>
      </c>
      <c r="AW266">
        <v>12</v>
      </c>
      <c r="AX266" t="s">
        <v>74</v>
      </c>
      <c r="AY266" t="s">
        <v>74</v>
      </c>
      <c r="AZ266" t="s">
        <v>74</v>
      </c>
      <c r="BA266" t="s">
        <v>74</v>
      </c>
      <c r="BB266" t="s">
        <v>74</v>
      </c>
      <c r="BC266" t="s">
        <v>74</v>
      </c>
      <c r="BD266" t="s">
        <v>5280</v>
      </c>
      <c r="BE266" t="s">
        <v>5281</v>
      </c>
      <c r="BF266" t="str">
        <f>HYPERLINK("http://dx.doi.org/10.1029/2023MS003829","http://dx.doi.org/10.1029/2023MS003829")</f>
        <v>http://dx.doi.org/10.1029/2023MS003829</v>
      </c>
      <c r="BG266" t="s">
        <v>74</v>
      </c>
      <c r="BH266" t="s">
        <v>74</v>
      </c>
      <c r="BI266">
        <v>18</v>
      </c>
      <c r="BJ266" t="s">
        <v>1522</v>
      </c>
      <c r="BK266" t="s">
        <v>100</v>
      </c>
      <c r="BL266" t="s">
        <v>1522</v>
      </c>
      <c r="BM266" t="s">
        <v>5282</v>
      </c>
      <c r="BN266" t="s">
        <v>74</v>
      </c>
      <c r="BO266" t="s">
        <v>5283</v>
      </c>
      <c r="BP266" t="s">
        <v>74</v>
      </c>
      <c r="BQ266" t="s">
        <v>74</v>
      </c>
      <c r="BR266" t="s">
        <v>104</v>
      </c>
      <c r="BS266" t="s">
        <v>5284</v>
      </c>
      <c r="BT266" t="str">
        <f>HYPERLINK("https%3A%2F%2Fwww.webofscience.com%2Fwos%2Fwoscc%2Ffull-record%2FWOS:001129179200001","View Full Record in Web of Science")</f>
        <v>View Full Record in Web of Science</v>
      </c>
    </row>
    <row r="267" spans="1:72" x14ac:dyDescent="0.15">
      <c r="A267" t="s">
        <v>72</v>
      </c>
      <c r="B267" t="s">
        <v>5285</v>
      </c>
      <c r="C267" t="s">
        <v>74</v>
      </c>
      <c r="D267" t="s">
        <v>74</v>
      </c>
      <c r="E267" t="s">
        <v>74</v>
      </c>
      <c r="F267" t="s">
        <v>5286</v>
      </c>
      <c r="G267" t="s">
        <v>74</v>
      </c>
      <c r="H267" t="s">
        <v>74</v>
      </c>
      <c r="I267" t="s">
        <v>5287</v>
      </c>
      <c r="J267" t="s">
        <v>5264</v>
      </c>
      <c r="K267" t="s">
        <v>74</v>
      </c>
      <c r="L267" t="s">
        <v>74</v>
      </c>
      <c r="M267" t="s">
        <v>78</v>
      </c>
      <c r="N267" t="s">
        <v>79</v>
      </c>
      <c r="O267" t="s">
        <v>74</v>
      </c>
      <c r="P267" t="s">
        <v>74</v>
      </c>
      <c r="Q267" t="s">
        <v>74</v>
      </c>
      <c r="R267" t="s">
        <v>74</v>
      </c>
      <c r="S267" t="s">
        <v>74</v>
      </c>
      <c r="T267" t="s">
        <v>5288</v>
      </c>
      <c r="U267" t="s">
        <v>5289</v>
      </c>
      <c r="V267" t="s">
        <v>5290</v>
      </c>
      <c r="W267" t="s">
        <v>5291</v>
      </c>
      <c r="X267" t="s">
        <v>5292</v>
      </c>
      <c r="Y267" t="s">
        <v>5293</v>
      </c>
      <c r="Z267" t="s">
        <v>5294</v>
      </c>
      <c r="AA267" t="s">
        <v>5295</v>
      </c>
      <c r="AB267" t="s">
        <v>5296</v>
      </c>
      <c r="AC267" t="s">
        <v>5297</v>
      </c>
      <c r="AD267" t="s">
        <v>5298</v>
      </c>
      <c r="AE267" t="s">
        <v>5299</v>
      </c>
      <c r="AF267" t="s">
        <v>74</v>
      </c>
      <c r="AG267">
        <v>66</v>
      </c>
      <c r="AH267">
        <v>0</v>
      </c>
      <c r="AI267">
        <v>0</v>
      </c>
      <c r="AJ267">
        <v>1</v>
      </c>
      <c r="AK267">
        <v>1</v>
      </c>
      <c r="AL267" t="s">
        <v>1208</v>
      </c>
      <c r="AM267" t="s">
        <v>1209</v>
      </c>
      <c r="AN267" t="s">
        <v>1210</v>
      </c>
      <c r="AO267" t="s">
        <v>74</v>
      </c>
      <c r="AP267" t="s">
        <v>5277</v>
      </c>
      <c r="AQ267" t="s">
        <v>74</v>
      </c>
      <c r="AR267" t="s">
        <v>5278</v>
      </c>
      <c r="AS267" t="s">
        <v>5279</v>
      </c>
      <c r="AT267" t="s">
        <v>1947</v>
      </c>
      <c r="AU267">
        <v>2023</v>
      </c>
      <c r="AV267">
        <v>15</v>
      </c>
      <c r="AW267">
        <v>12</v>
      </c>
      <c r="AX267" t="s">
        <v>74</v>
      </c>
      <c r="AY267" t="s">
        <v>74</v>
      </c>
      <c r="AZ267" t="s">
        <v>74</v>
      </c>
      <c r="BA267" t="s">
        <v>74</v>
      </c>
      <c r="BB267" t="s">
        <v>74</v>
      </c>
      <c r="BC267" t="s">
        <v>74</v>
      </c>
      <c r="BD267" t="s">
        <v>5300</v>
      </c>
      <c r="BE267" t="s">
        <v>5301</v>
      </c>
      <c r="BF267" t="str">
        <f>HYPERLINK("http://dx.doi.org/10.1029/2023MS003899","http://dx.doi.org/10.1029/2023MS003899")</f>
        <v>http://dx.doi.org/10.1029/2023MS003899</v>
      </c>
      <c r="BG267" t="s">
        <v>74</v>
      </c>
      <c r="BH267" t="s">
        <v>74</v>
      </c>
      <c r="BI267">
        <v>16</v>
      </c>
      <c r="BJ267" t="s">
        <v>1522</v>
      </c>
      <c r="BK267" t="s">
        <v>100</v>
      </c>
      <c r="BL267" t="s">
        <v>1522</v>
      </c>
      <c r="BM267" t="s">
        <v>5302</v>
      </c>
      <c r="BN267" t="s">
        <v>74</v>
      </c>
      <c r="BO267" t="s">
        <v>183</v>
      </c>
      <c r="BP267" t="s">
        <v>74</v>
      </c>
      <c r="BQ267" t="s">
        <v>74</v>
      </c>
      <c r="BR267" t="s">
        <v>104</v>
      </c>
      <c r="BS267" t="s">
        <v>5303</v>
      </c>
      <c r="BT267" t="str">
        <f>HYPERLINK("https%3A%2F%2Fwww.webofscience.com%2Fwos%2Fwoscc%2Ffull-record%2FWOS:001129075200001","View Full Record in Web of Science")</f>
        <v>View Full Record in Web of Science</v>
      </c>
    </row>
    <row r="268" spans="1:72" x14ac:dyDescent="0.15">
      <c r="A268" t="s">
        <v>72</v>
      </c>
      <c r="B268" t="s">
        <v>5304</v>
      </c>
      <c r="C268" t="s">
        <v>74</v>
      </c>
      <c r="D268" t="s">
        <v>74</v>
      </c>
      <c r="E268" t="s">
        <v>74</v>
      </c>
      <c r="F268" t="s">
        <v>5305</v>
      </c>
      <c r="G268" t="s">
        <v>74</v>
      </c>
      <c r="H268" t="s">
        <v>74</v>
      </c>
      <c r="I268" t="s">
        <v>5306</v>
      </c>
      <c r="J268" t="s">
        <v>5307</v>
      </c>
      <c r="K268" t="s">
        <v>74</v>
      </c>
      <c r="L268" t="s">
        <v>74</v>
      </c>
      <c r="M268" t="s">
        <v>78</v>
      </c>
      <c r="N268" t="s">
        <v>441</v>
      </c>
      <c r="O268" t="s">
        <v>74</v>
      </c>
      <c r="P268" t="s">
        <v>74</v>
      </c>
      <c r="Q268" t="s">
        <v>74</v>
      </c>
      <c r="R268" t="s">
        <v>74</v>
      </c>
      <c r="S268" t="s">
        <v>74</v>
      </c>
      <c r="T268" t="s">
        <v>5308</v>
      </c>
      <c r="U268" t="s">
        <v>5309</v>
      </c>
      <c r="V268" t="s">
        <v>5310</v>
      </c>
      <c r="W268" t="s">
        <v>5311</v>
      </c>
      <c r="X268" t="s">
        <v>5312</v>
      </c>
      <c r="Y268" t="s">
        <v>5313</v>
      </c>
      <c r="Z268" t="s">
        <v>5314</v>
      </c>
      <c r="AA268" t="s">
        <v>74</v>
      </c>
      <c r="AB268" t="s">
        <v>74</v>
      </c>
      <c r="AC268" t="s">
        <v>5315</v>
      </c>
      <c r="AD268" t="s">
        <v>5316</v>
      </c>
      <c r="AE268" t="s">
        <v>5317</v>
      </c>
      <c r="AF268" t="s">
        <v>74</v>
      </c>
      <c r="AG268">
        <v>59</v>
      </c>
      <c r="AH268">
        <v>0</v>
      </c>
      <c r="AI268">
        <v>0</v>
      </c>
      <c r="AJ268">
        <v>3</v>
      </c>
      <c r="AK268">
        <v>3</v>
      </c>
      <c r="AL268" t="s">
        <v>975</v>
      </c>
      <c r="AM268" t="s">
        <v>976</v>
      </c>
      <c r="AN268" t="s">
        <v>977</v>
      </c>
      <c r="AO268" t="s">
        <v>5318</v>
      </c>
      <c r="AP268" t="s">
        <v>5319</v>
      </c>
      <c r="AQ268" t="s">
        <v>74</v>
      </c>
      <c r="AR268" t="s">
        <v>5320</v>
      </c>
      <c r="AS268" t="s">
        <v>5321</v>
      </c>
      <c r="AT268" t="s">
        <v>1947</v>
      </c>
      <c r="AU268">
        <v>2023</v>
      </c>
      <c r="AV268">
        <v>219</v>
      </c>
      <c r="AW268" t="s">
        <v>74</v>
      </c>
      <c r="AX268" t="s">
        <v>74</v>
      </c>
      <c r="AY268" t="s">
        <v>74</v>
      </c>
      <c r="AZ268" t="s">
        <v>74</v>
      </c>
      <c r="BA268" t="s">
        <v>74</v>
      </c>
      <c r="BB268" t="s">
        <v>74</v>
      </c>
      <c r="BC268" t="s">
        <v>74</v>
      </c>
      <c r="BD268">
        <v>103153</v>
      </c>
      <c r="BE268" t="s">
        <v>5322</v>
      </c>
      <c r="BF268" t="str">
        <f>HYPERLINK("http://dx.doi.org/10.1016/j.pocean.2023.103153","http://dx.doi.org/10.1016/j.pocean.2023.103153")</f>
        <v>http://dx.doi.org/10.1016/j.pocean.2023.103153</v>
      </c>
      <c r="BG268" t="s">
        <v>74</v>
      </c>
      <c r="BH268" t="s">
        <v>74</v>
      </c>
      <c r="BI268">
        <v>10</v>
      </c>
      <c r="BJ268" t="s">
        <v>5060</v>
      </c>
      <c r="BK268" t="s">
        <v>100</v>
      </c>
      <c r="BL268" t="s">
        <v>5060</v>
      </c>
      <c r="BM268" t="s">
        <v>5323</v>
      </c>
      <c r="BN268" t="s">
        <v>74</v>
      </c>
      <c r="BO268" t="s">
        <v>74</v>
      </c>
      <c r="BP268" t="s">
        <v>74</v>
      </c>
      <c r="BQ268" t="s">
        <v>74</v>
      </c>
      <c r="BR268" t="s">
        <v>104</v>
      </c>
      <c r="BS268" t="s">
        <v>5324</v>
      </c>
      <c r="BT268" t="str">
        <f>HYPERLINK("https%3A%2F%2Fwww.webofscience.com%2Fwos%2Fwoscc%2Ffull-record%2FWOS:001165173400001","View Full Record in Web of Science")</f>
        <v>View Full Record in Web of Science</v>
      </c>
    </row>
    <row r="269" spans="1:72" x14ac:dyDescent="0.15">
      <c r="A269" t="s">
        <v>72</v>
      </c>
      <c r="B269" t="s">
        <v>5325</v>
      </c>
      <c r="C269" t="s">
        <v>74</v>
      </c>
      <c r="D269" t="s">
        <v>74</v>
      </c>
      <c r="E269" t="s">
        <v>74</v>
      </c>
      <c r="F269" t="s">
        <v>5326</v>
      </c>
      <c r="G269" t="s">
        <v>74</v>
      </c>
      <c r="H269" t="s">
        <v>74</v>
      </c>
      <c r="I269" t="s">
        <v>5327</v>
      </c>
      <c r="J269" t="s">
        <v>5328</v>
      </c>
      <c r="K269" t="s">
        <v>74</v>
      </c>
      <c r="L269" t="s">
        <v>74</v>
      </c>
      <c r="M269" t="s">
        <v>78</v>
      </c>
      <c r="N269" t="s">
        <v>79</v>
      </c>
      <c r="O269" t="s">
        <v>74</v>
      </c>
      <c r="P269" t="s">
        <v>74</v>
      </c>
      <c r="Q269" t="s">
        <v>74</v>
      </c>
      <c r="R269" t="s">
        <v>74</v>
      </c>
      <c r="S269" t="s">
        <v>74</v>
      </c>
      <c r="T269" t="s">
        <v>74</v>
      </c>
      <c r="U269" t="s">
        <v>5329</v>
      </c>
      <c r="V269" t="s">
        <v>5330</v>
      </c>
      <c r="W269" t="s">
        <v>5331</v>
      </c>
      <c r="X269" t="s">
        <v>5332</v>
      </c>
      <c r="Y269" t="s">
        <v>5333</v>
      </c>
      <c r="Z269" t="s">
        <v>5334</v>
      </c>
      <c r="AA269" t="s">
        <v>74</v>
      </c>
      <c r="AB269" t="s">
        <v>5335</v>
      </c>
      <c r="AC269" t="s">
        <v>5336</v>
      </c>
      <c r="AD269" t="s">
        <v>5337</v>
      </c>
      <c r="AE269" t="s">
        <v>5338</v>
      </c>
      <c r="AF269" t="s">
        <v>74</v>
      </c>
      <c r="AG269">
        <v>53</v>
      </c>
      <c r="AH269">
        <v>1</v>
      </c>
      <c r="AI269">
        <v>1</v>
      </c>
      <c r="AJ269">
        <v>0</v>
      </c>
      <c r="AK269">
        <v>0</v>
      </c>
      <c r="AL269" t="s">
        <v>1838</v>
      </c>
      <c r="AM269" t="s">
        <v>1839</v>
      </c>
      <c r="AN269" t="s">
        <v>1840</v>
      </c>
      <c r="AO269" t="s">
        <v>74</v>
      </c>
      <c r="AP269" t="s">
        <v>5339</v>
      </c>
      <c r="AQ269" t="s">
        <v>74</v>
      </c>
      <c r="AR269" t="s">
        <v>5340</v>
      </c>
      <c r="AS269" t="s">
        <v>5340</v>
      </c>
      <c r="AT269" t="s">
        <v>5341</v>
      </c>
      <c r="AU269">
        <v>2023</v>
      </c>
      <c r="AV269">
        <v>4</v>
      </c>
      <c r="AW269">
        <v>4</v>
      </c>
      <c r="AX269" t="s">
        <v>74</v>
      </c>
      <c r="AY269" t="s">
        <v>74</v>
      </c>
      <c r="AZ269" t="s">
        <v>74</v>
      </c>
      <c r="BA269" t="s">
        <v>74</v>
      </c>
      <c r="BB269">
        <v>1045</v>
      </c>
      <c r="BC269">
        <v>1069</v>
      </c>
      <c r="BD269" t="s">
        <v>74</v>
      </c>
      <c r="BE269" t="s">
        <v>5342</v>
      </c>
      <c r="BF269" t="str">
        <f>HYPERLINK("http://dx.doi.org/10.5194/wcd-4-1045-2023","http://dx.doi.org/10.5194/wcd-4-1045-2023")</f>
        <v>http://dx.doi.org/10.5194/wcd-4-1045-2023</v>
      </c>
      <c r="BG269" t="s">
        <v>74</v>
      </c>
      <c r="BH269" t="s">
        <v>74</v>
      </c>
      <c r="BI269">
        <v>25</v>
      </c>
      <c r="BJ269" t="s">
        <v>1522</v>
      </c>
      <c r="BK269" t="s">
        <v>912</v>
      </c>
      <c r="BL269" t="s">
        <v>1522</v>
      </c>
      <c r="BM269" t="s">
        <v>5343</v>
      </c>
      <c r="BN269" t="s">
        <v>74</v>
      </c>
      <c r="BO269" t="s">
        <v>349</v>
      </c>
      <c r="BP269" t="s">
        <v>74</v>
      </c>
      <c r="BQ269" t="s">
        <v>74</v>
      </c>
      <c r="BR269" t="s">
        <v>104</v>
      </c>
      <c r="BS269" t="s">
        <v>5344</v>
      </c>
      <c r="BT269" t="str">
        <f>HYPERLINK("https%3A%2F%2Fwww.webofscience.com%2Fwos%2Fwoscc%2Ffull-record%2FWOS:001168797400001","View Full Record in Web of Science")</f>
        <v>View Full Record in Web of Science</v>
      </c>
    </row>
    <row r="270" spans="1:72" x14ac:dyDescent="0.15">
      <c r="A270" t="s">
        <v>72</v>
      </c>
      <c r="B270" t="s">
        <v>5345</v>
      </c>
      <c r="C270" t="s">
        <v>74</v>
      </c>
      <c r="D270" t="s">
        <v>74</v>
      </c>
      <c r="E270" t="s">
        <v>74</v>
      </c>
      <c r="F270" t="s">
        <v>5346</v>
      </c>
      <c r="G270" t="s">
        <v>74</v>
      </c>
      <c r="H270" t="s">
        <v>74</v>
      </c>
      <c r="I270" t="s">
        <v>5347</v>
      </c>
      <c r="J270" t="s">
        <v>5348</v>
      </c>
      <c r="K270" t="s">
        <v>74</v>
      </c>
      <c r="L270" t="s">
        <v>74</v>
      </c>
      <c r="M270" t="s">
        <v>78</v>
      </c>
      <c r="N270" t="s">
        <v>79</v>
      </c>
      <c r="O270" t="s">
        <v>74</v>
      </c>
      <c r="P270" t="s">
        <v>74</v>
      </c>
      <c r="Q270" t="s">
        <v>74</v>
      </c>
      <c r="R270" t="s">
        <v>74</v>
      </c>
      <c r="S270" t="s">
        <v>74</v>
      </c>
      <c r="T270" t="s">
        <v>5349</v>
      </c>
      <c r="U270" t="s">
        <v>5350</v>
      </c>
      <c r="V270" t="s">
        <v>5351</v>
      </c>
      <c r="W270" t="s">
        <v>5352</v>
      </c>
      <c r="X270" t="s">
        <v>5353</v>
      </c>
      <c r="Y270" t="s">
        <v>5354</v>
      </c>
      <c r="Z270" t="s">
        <v>5355</v>
      </c>
      <c r="AA270" t="s">
        <v>5356</v>
      </c>
      <c r="AB270" t="s">
        <v>5357</v>
      </c>
      <c r="AC270" t="s">
        <v>5358</v>
      </c>
      <c r="AD270" t="s">
        <v>5359</v>
      </c>
      <c r="AE270" t="s">
        <v>5360</v>
      </c>
      <c r="AF270" t="s">
        <v>74</v>
      </c>
      <c r="AG270">
        <v>61</v>
      </c>
      <c r="AH270">
        <v>2</v>
      </c>
      <c r="AI270">
        <v>2</v>
      </c>
      <c r="AJ270">
        <v>1</v>
      </c>
      <c r="AK270">
        <v>2</v>
      </c>
      <c r="AL270" t="s">
        <v>1782</v>
      </c>
      <c r="AM270" t="s">
        <v>1783</v>
      </c>
      <c r="AN270" t="s">
        <v>1784</v>
      </c>
      <c r="AO270" t="s">
        <v>5361</v>
      </c>
      <c r="AP270" t="s">
        <v>5362</v>
      </c>
      <c r="AQ270" t="s">
        <v>74</v>
      </c>
      <c r="AR270" t="s">
        <v>5348</v>
      </c>
      <c r="AS270" t="s">
        <v>5363</v>
      </c>
      <c r="AT270" t="s">
        <v>1947</v>
      </c>
      <c r="AU270">
        <v>2023</v>
      </c>
      <c r="AV270">
        <v>150</v>
      </c>
      <c r="AW270">
        <v>14</v>
      </c>
      <c r="AX270" t="s">
        <v>74</v>
      </c>
      <c r="AY270" t="s">
        <v>74</v>
      </c>
      <c r="AZ270" t="s">
        <v>4005</v>
      </c>
      <c r="BA270" t="s">
        <v>74</v>
      </c>
      <c r="BB270">
        <v>1286</v>
      </c>
      <c r="BC270">
        <v>1295</v>
      </c>
      <c r="BD270" t="s">
        <v>74</v>
      </c>
      <c r="BE270" t="s">
        <v>5364</v>
      </c>
      <c r="BF270" t="str">
        <f>HYPERLINK("http://dx.doi.org/10.1017/S003118202300029X","http://dx.doi.org/10.1017/S003118202300029X")</f>
        <v>http://dx.doi.org/10.1017/S003118202300029X</v>
      </c>
      <c r="BG270" t="s">
        <v>74</v>
      </c>
      <c r="BH270" t="s">
        <v>74</v>
      </c>
      <c r="BI270">
        <v>10</v>
      </c>
      <c r="BJ270" t="s">
        <v>5363</v>
      </c>
      <c r="BK270" t="s">
        <v>100</v>
      </c>
      <c r="BL270" t="s">
        <v>5363</v>
      </c>
      <c r="BM270" t="s">
        <v>5365</v>
      </c>
      <c r="BN270">
        <v>36951108</v>
      </c>
      <c r="BO270" t="s">
        <v>131</v>
      </c>
      <c r="BP270" t="s">
        <v>74</v>
      </c>
      <c r="BQ270" t="s">
        <v>74</v>
      </c>
      <c r="BR270" t="s">
        <v>104</v>
      </c>
      <c r="BS270" t="s">
        <v>5366</v>
      </c>
      <c r="BT270" t="str">
        <f>HYPERLINK("https%3A%2F%2Fwww.webofscience.com%2Fwos%2Fwoscc%2Ffull-record%2FWOS:001157313600001","View Full Record in Web of Science")</f>
        <v>View Full Record in Web of Science</v>
      </c>
    </row>
    <row r="271" spans="1:72" x14ac:dyDescent="0.15">
      <c r="A271" t="s">
        <v>72</v>
      </c>
      <c r="B271" t="s">
        <v>5367</v>
      </c>
      <c r="C271" t="s">
        <v>74</v>
      </c>
      <c r="D271" t="s">
        <v>74</v>
      </c>
      <c r="E271" t="s">
        <v>74</v>
      </c>
      <c r="F271" t="s">
        <v>5368</v>
      </c>
      <c r="G271" t="s">
        <v>74</v>
      </c>
      <c r="H271" t="s">
        <v>74</v>
      </c>
      <c r="I271" t="s">
        <v>5369</v>
      </c>
      <c r="J271" t="s">
        <v>5370</v>
      </c>
      <c r="K271" t="s">
        <v>74</v>
      </c>
      <c r="L271" t="s">
        <v>74</v>
      </c>
      <c r="M271" t="s">
        <v>78</v>
      </c>
      <c r="N271" t="s">
        <v>920</v>
      </c>
      <c r="O271" t="s">
        <v>74</v>
      </c>
      <c r="P271" t="s">
        <v>74</v>
      </c>
      <c r="Q271" t="s">
        <v>74</v>
      </c>
      <c r="R271" t="s">
        <v>74</v>
      </c>
      <c r="S271" t="s">
        <v>74</v>
      </c>
      <c r="T271" t="s">
        <v>74</v>
      </c>
      <c r="U271" t="s">
        <v>74</v>
      </c>
      <c r="V271" t="s">
        <v>74</v>
      </c>
      <c r="W271" t="s">
        <v>5371</v>
      </c>
      <c r="X271" t="s">
        <v>5372</v>
      </c>
      <c r="Y271" t="s">
        <v>5373</v>
      </c>
      <c r="Z271" t="s">
        <v>5374</v>
      </c>
      <c r="AA271" t="s">
        <v>5375</v>
      </c>
      <c r="AB271" t="s">
        <v>5376</v>
      </c>
      <c r="AC271" t="s">
        <v>5377</v>
      </c>
      <c r="AD271" t="s">
        <v>5378</v>
      </c>
      <c r="AE271" t="s">
        <v>5379</v>
      </c>
      <c r="AF271" t="s">
        <v>74</v>
      </c>
      <c r="AG271">
        <v>9</v>
      </c>
      <c r="AH271">
        <v>0</v>
      </c>
      <c r="AI271">
        <v>0</v>
      </c>
      <c r="AJ271">
        <v>1</v>
      </c>
      <c r="AK271">
        <v>1</v>
      </c>
      <c r="AL271" t="s">
        <v>5380</v>
      </c>
      <c r="AM271" t="s">
        <v>5381</v>
      </c>
      <c r="AN271" t="s">
        <v>5382</v>
      </c>
      <c r="AO271" t="s">
        <v>5383</v>
      </c>
      <c r="AP271" t="s">
        <v>74</v>
      </c>
      <c r="AQ271" t="s">
        <v>74</v>
      </c>
      <c r="AR271" t="s">
        <v>5370</v>
      </c>
      <c r="AS271" t="s">
        <v>5060</v>
      </c>
      <c r="AT271" t="s">
        <v>1947</v>
      </c>
      <c r="AU271">
        <v>2023</v>
      </c>
      <c r="AV271">
        <v>36</v>
      </c>
      <c r="AW271">
        <v>4</v>
      </c>
      <c r="AX271" t="s">
        <v>74</v>
      </c>
      <c r="AY271" t="s">
        <v>74</v>
      </c>
      <c r="AZ271" t="s">
        <v>74</v>
      </c>
      <c r="BA271" t="s">
        <v>74</v>
      </c>
      <c r="BB271">
        <v>74</v>
      </c>
      <c r="BC271">
        <v>76</v>
      </c>
      <c r="BD271" t="s">
        <v>74</v>
      </c>
      <c r="BE271" t="s">
        <v>5384</v>
      </c>
      <c r="BF271" t="str">
        <f>HYPERLINK("http://dx.doi.org/10.5670/oceanog.2024.131","http://dx.doi.org/10.5670/oceanog.2024.131")</f>
        <v>http://dx.doi.org/10.5670/oceanog.2024.131</v>
      </c>
      <c r="BG271" t="s">
        <v>74</v>
      </c>
      <c r="BH271" t="s">
        <v>74</v>
      </c>
      <c r="BI271">
        <v>3</v>
      </c>
      <c r="BJ271" t="s">
        <v>5060</v>
      </c>
      <c r="BK271" t="s">
        <v>100</v>
      </c>
      <c r="BL271" t="s">
        <v>5060</v>
      </c>
      <c r="BM271" t="s">
        <v>5385</v>
      </c>
      <c r="BN271" t="s">
        <v>74</v>
      </c>
      <c r="BO271" t="s">
        <v>2561</v>
      </c>
      <c r="BP271" t="s">
        <v>74</v>
      </c>
      <c r="BQ271" t="s">
        <v>74</v>
      </c>
      <c r="BR271" t="s">
        <v>104</v>
      </c>
      <c r="BS271" t="s">
        <v>5386</v>
      </c>
      <c r="BT271" t="str">
        <f>HYPERLINK("https%3A%2F%2Fwww.webofscience.com%2Fwos%2Fwoscc%2Ffull-record%2FWOS:001152606900014","View Full Record in Web of Science")</f>
        <v>View Full Record in Web of Science</v>
      </c>
    </row>
    <row r="272" spans="1:72" x14ac:dyDescent="0.15">
      <c r="A272" t="s">
        <v>72</v>
      </c>
      <c r="B272" t="s">
        <v>5387</v>
      </c>
      <c r="C272" t="s">
        <v>74</v>
      </c>
      <c r="D272" t="s">
        <v>74</v>
      </c>
      <c r="E272" t="s">
        <v>74</v>
      </c>
      <c r="F272" t="s">
        <v>5388</v>
      </c>
      <c r="G272" t="s">
        <v>74</v>
      </c>
      <c r="H272" t="s">
        <v>74</v>
      </c>
      <c r="I272" t="s">
        <v>5389</v>
      </c>
      <c r="J272" t="s">
        <v>5370</v>
      </c>
      <c r="K272" t="s">
        <v>74</v>
      </c>
      <c r="L272" t="s">
        <v>74</v>
      </c>
      <c r="M272" t="s">
        <v>78</v>
      </c>
      <c r="N272" t="s">
        <v>920</v>
      </c>
      <c r="O272" t="s">
        <v>74</v>
      </c>
      <c r="P272" t="s">
        <v>74</v>
      </c>
      <c r="Q272" t="s">
        <v>74</v>
      </c>
      <c r="R272" t="s">
        <v>74</v>
      </c>
      <c r="S272" t="s">
        <v>74</v>
      </c>
      <c r="T272" t="s">
        <v>74</v>
      </c>
      <c r="U272" t="s">
        <v>74</v>
      </c>
      <c r="V272" t="s">
        <v>74</v>
      </c>
      <c r="W272" t="s">
        <v>5390</v>
      </c>
      <c r="X272" t="s">
        <v>5391</v>
      </c>
      <c r="Y272" t="s">
        <v>5392</v>
      </c>
      <c r="Z272" t="s">
        <v>5393</v>
      </c>
      <c r="AA272" t="s">
        <v>5394</v>
      </c>
      <c r="AB272" t="s">
        <v>5395</v>
      </c>
      <c r="AC272" t="s">
        <v>5396</v>
      </c>
      <c r="AD272" t="s">
        <v>5397</v>
      </c>
      <c r="AE272" t="s">
        <v>5398</v>
      </c>
      <c r="AF272" t="s">
        <v>74</v>
      </c>
      <c r="AG272">
        <v>4</v>
      </c>
      <c r="AH272">
        <v>0</v>
      </c>
      <c r="AI272">
        <v>0</v>
      </c>
      <c r="AJ272">
        <v>1</v>
      </c>
      <c r="AK272">
        <v>1</v>
      </c>
      <c r="AL272" t="s">
        <v>5380</v>
      </c>
      <c r="AM272" t="s">
        <v>5381</v>
      </c>
      <c r="AN272" t="s">
        <v>5382</v>
      </c>
      <c r="AO272" t="s">
        <v>5383</v>
      </c>
      <c r="AP272" t="s">
        <v>74</v>
      </c>
      <c r="AQ272" t="s">
        <v>74</v>
      </c>
      <c r="AR272" t="s">
        <v>5370</v>
      </c>
      <c r="AS272" t="s">
        <v>5060</v>
      </c>
      <c r="AT272" t="s">
        <v>1947</v>
      </c>
      <c r="AU272">
        <v>2023</v>
      </c>
      <c r="AV272">
        <v>36</v>
      </c>
      <c r="AW272">
        <v>4</v>
      </c>
      <c r="AX272" t="s">
        <v>74</v>
      </c>
      <c r="AY272" t="s">
        <v>74</v>
      </c>
      <c r="AZ272" t="s">
        <v>74</v>
      </c>
      <c r="BA272" t="s">
        <v>74</v>
      </c>
      <c r="BB272">
        <v>150</v>
      </c>
      <c r="BC272">
        <v>151</v>
      </c>
      <c r="BD272" t="s">
        <v>74</v>
      </c>
      <c r="BE272" t="s">
        <v>5399</v>
      </c>
      <c r="BF272" t="str">
        <f>HYPERLINK("http://dx.doi.org/10.5670/oceanog.2024.110","http://dx.doi.org/10.5670/oceanog.2024.110")</f>
        <v>http://dx.doi.org/10.5670/oceanog.2024.110</v>
      </c>
      <c r="BG272" t="s">
        <v>74</v>
      </c>
      <c r="BH272" t="s">
        <v>74</v>
      </c>
      <c r="BI272">
        <v>2</v>
      </c>
      <c r="BJ272" t="s">
        <v>5060</v>
      </c>
      <c r="BK272" t="s">
        <v>100</v>
      </c>
      <c r="BL272" t="s">
        <v>5060</v>
      </c>
      <c r="BM272" t="s">
        <v>5385</v>
      </c>
      <c r="BN272" t="s">
        <v>74</v>
      </c>
      <c r="BO272" t="s">
        <v>5400</v>
      </c>
      <c r="BP272" t="s">
        <v>74</v>
      </c>
      <c r="BQ272" t="s">
        <v>74</v>
      </c>
      <c r="BR272" t="s">
        <v>104</v>
      </c>
      <c r="BS272" t="s">
        <v>5401</v>
      </c>
      <c r="BT272" t="str">
        <f>HYPERLINK("https%3A%2F%2Fwww.webofscience.com%2Fwos%2Fwoscc%2Ffull-record%2FWOS:001152606900033","View Full Record in Web of Science")</f>
        <v>View Full Record in Web of Science</v>
      </c>
    </row>
    <row r="273" spans="1:72" x14ac:dyDescent="0.15">
      <c r="A273" t="s">
        <v>72</v>
      </c>
      <c r="B273" t="s">
        <v>5402</v>
      </c>
      <c r="C273" t="s">
        <v>74</v>
      </c>
      <c r="D273" t="s">
        <v>74</v>
      </c>
      <c r="E273" t="s">
        <v>74</v>
      </c>
      <c r="F273" t="s">
        <v>5403</v>
      </c>
      <c r="G273" t="s">
        <v>74</v>
      </c>
      <c r="H273" t="s">
        <v>74</v>
      </c>
      <c r="I273" t="s">
        <v>5404</v>
      </c>
      <c r="J273" t="s">
        <v>5405</v>
      </c>
      <c r="K273" t="s">
        <v>74</v>
      </c>
      <c r="L273" t="s">
        <v>74</v>
      </c>
      <c r="M273" t="s">
        <v>78</v>
      </c>
      <c r="N273" t="s">
        <v>79</v>
      </c>
      <c r="O273" t="s">
        <v>74</v>
      </c>
      <c r="P273" t="s">
        <v>74</v>
      </c>
      <c r="Q273" t="s">
        <v>74</v>
      </c>
      <c r="R273" t="s">
        <v>74</v>
      </c>
      <c r="S273" t="s">
        <v>74</v>
      </c>
      <c r="T273" t="s">
        <v>5406</v>
      </c>
      <c r="U273" t="s">
        <v>5407</v>
      </c>
      <c r="V273" t="s">
        <v>5408</v>
      </c>
      <c r="W273" t="s">
        <v>5409</v>
      </c>
      <c r="X273" t="s">
        <v>5410</v>
      </c>
      <c r="Y273" t="s">
        <v>5411</v>
      </c>
      <c r="Z273" t="s">
        <v>5412</v>
      </c>
      <c r="AA273" t="s">
        <v>74</v>
      </c>
      <c r="AB273" t="s">
        <v>74</v>
      </c>
      <c r="AC273" t="s">
        <v>5413</v>
      </c>
      <c r="AD273" t="s">
        <v>1450</v>
      </c>
      <c r="AE273" t="s">
        <v>5414</v>
      </c>
      <c r="AF273" t="s">
        <v>74</v>
      </c>
      <c r="AG273">
        <v>21</v>
      </c>
      <c r="AH273">
        <v>0</v>
      </c>
      <c r="AI273">
        <v>0</v>
      </c>
      <c r="AJ273">
        <v>1</v>
      </c>
      <c r="AK273">
        <v>1</v>
      </c>
      <c r="AL273" t="s">
        <v>5050</v>
      </c>
      <c r="AM273" t="s">
        <v>1076</v>
      </c>
      <c r="AN273" t="s">
        <v>5051</v>
      </c>
      <c r="AO273" t="s">
        <v>5415</v>
      </c>
      <c r="AP273" t="s">
        <v>5416</v>
      </c>
      <c r="AQ273" t="s">
        <v>74</v>
      </c>
      <c r="AR273" t="s">
        <v>5417</v>
      </c>
      <c r="AS273" t="s">
        <v>5418</v>
      </c>
      <c r="AT273" t="s">
        <v>1947</v>
      </c>
      <c r="AU273">
        <v>2023</v>
      </c>
      <c r="AV273">
        <v>17</v>
      </c>
      <c r="AW273" t="s">
        <v>5419</v>
      </c>
      <c r="AX273" t="s">
        <v>74</v>
      </c>
      <c r="AY273">
        <v>2</v>
      </c>
      <c r="AZ273" t="s">
        <v>74</v>
      </c>
      <c r="BA273" t="s">
        <v>74</v>
      </c>
      <c r="BB273" t="s">
        <v>5420</v>
      </c>
      <c r="BC273" t="s">
        <v>5421</v>
      </c>
      <c r="BD273" t="s">
        <v>74</v>
      </c>
      <c r="BE273" t="s">
        <v>5422</v>
      </c>
      <c r="BF273" t="str">
        <f>HYPERLINK("http://dx.doi.org/10.1134/S1819714023080201","http://dx.doi.org/10.1134/S1819714023080201")</f>
        <v>http://dx.doi.org/10.1134/S1819714023080201</v>
      </c>
      <c r="BG273" t="s">
        <v>74</v>
      </c>
      <c r="BH273" t="s">
        <v>74</v>
      </c>
      <c r="BI273">
        <v>12</v>
      </c>
      <c r="BJ273" t="s">
        <v>535</v>
      </c>
      <c r="BK273" t="s">
        <v>100</v>
      </c>
      <c r="BL273" t="s">
        <v>536</v>
      </c>
      <c r="BM273" t="s">
        <v>5423</v>
      </c>
      <c r="BN273" t="s">
        <v>74</v>
      </c>
      <c r="BO273" t="s">
        <v>74</v>
      </c>
      <c r="BP273" t="s">
        <v>74</v>
      </c>
      <c r="BQ273" t="s">
        <v>74</v>
      </c>
      <c r="BR273" t="s">
        <v>104</v>
      </c>
      <c r="BS273" t="s">
        <v>5424</v>
      </c>
      <c r="BT273" t="str">
        <f>HYPERLINK("https%3A%2F%2Fwww.webofscience.com%2Fwos%2Fwoscc%2Ffull-record%2FWOS:001157075200009","View Full Record in Web of Science")</f>
        <v>View Full Record in Web of Science</v>
      </c>
    </row>
    <row r="274" spans="1:72" x14ac:dyDescent="0.15">
      <c r="A274" t="s">
        <v>72</v>
      </c>
      <c r="B274" t="s">
        <v>5425</v>
      </c>
      <c r="C274" t="s">
        <v>74</v>
      </c>
      <c r="D274" t="s">
        <v>74</v>
      </c>
      <c r="E274" t="s">
        <v>74</v>
      </c>
      <c r="F274" t="s">
        <v>5426</v>
      </c>
      <c r="G274" t="s">
        <v>74</v>
      </c>
      <c r="H274" t="s">
        <v>74</v>
      </c>
      <c r="I274" t="s">
        <v>5427</v>
      </c>
      <c r="J274" t="s">
        <v>5405</v>
      </c>
      <c r="K274" t="s">
        <v>74</v>
      </c>
      <c r="L274" t="s">
        <v>74</v>
      </c>
      <c r="M274" t="s">
        <v>78</v>
      </c>
      <c r="N274" t="s">
        <v>79</v>
      </c>
      <c r="O274" t="s">
        <v>74</v>
      </c>
      <c r="P274" t="s">
        <v>74</v>
      </c>
      <c r="Q274" t="s">
        <v>74</v>
      </c>
      <c r="R274" t="s">
        <v>74</v>
      </c>
      <c r="S274" t="s">
        <v>74</v>
      </c>
      <c r="T274" t="s">
        <v>5428</v>
      </c>
      <c r="U274" t="s">
        <v>5429</v>
      </c>
      <c r="V274" t="s">
        <v>5430</v>
      </c>
      <c r="W274" t="s">
        <v>5431</v>
      </c>
      <c r="X274" t="s">
        <v>5410</v>
      </c>
      <c r="Y274" t="s">
        <v>5411</v>
      </c>
      <c r="Z274" t="s">
        <v>5412</v>
      </c>
      <c r="AA274" t="s">
        <v>74</v>
      </c>
      <c r="AB274" t="s">
        <v>74</v>
      </c>
      <c r="AC274" t="s">
        <v>5413</v>
      </c>
      <c r="AD274" t="s">
        <v>1450</v>
      </c>
      <c r="AE274" t="s">
        <v>5414</v>
      </c>
      <c r="AF274" t="s">
        <v>74</v>
      </c>
      <c r="AG274">
        <v>41</v>
      </c>
      <c r="AH274">
        <v>0</v>
      </c>
      <c r="AI274">
        <v>0</v>
      </c>
      <c r="AJ274">
        <v>0</v>
      </c>
      <c r="AK274">
        <v>0</v>
      </c>
      <c r="AL274" t="s">
        <v>5050</v>
      </c>
      <c r="AM274" t="s">
        <v>1076</v>
      </c>
      <c r="AN274" t="s">
        <v>5051</v>
      </c>
      <c r="AO274" t="s">
        <v>5415</v>
      </c>
      <c r="AP274" t="s">
        <v>5416</v>
      </c>
      <c r="AQ274" t="s">
        <v>74</v>
      </c>
      <c r="AR274" t="s">
        <v>5417</v>
      </c>
      <c r="AS274" t="s">
        <v>5418</v>
      </c>
      <c r="AT274" t="s">
        <v>1947</v>
      </c>
      <c r="AU274">
        <v>2023</v>
      </c>
      <c r="AV274">
        <v>17</v>
      </c>
      <c r="AW274" t="s">
        <v>5419</v>
      </c>
      <c r="AX274" t="s">
        <v>74</v>
      </c>
      <c r="AY274">
        <v>2</v>
      </c>
      <c r="AZ274" t="s">
        <v>74</v>
      </c>
      <c r="BA274" t="s">
        <v>74</v>
      </c>
      <c r="BB274" t="s">
        <v>5432</v>
      </c>
      <c r="BC274" t="s">
        <v>5433</v>
      </c>
      <c r="BD274" t="s">
        <v>74</v>
      </c>
      <c r="BE274" t="s">
        <v>5434</v>
      </c>
      <c r="BF274" t="str">
        <f>HYPERLINK("http://dx.doi.org/10.1134/S1819714023080195","http://dx.doi.org/10.1134/S1819714023080195")</f>
        <v>http://dx.doi.org/10.1134/S1819714023080195</v>
      </c>
      <c r="BG274" t="s">
        <v>74</v>
      </c>
      <c r="BH274" t="s">
        <v>74</v>
      </c>
      <c r="BI274">
        <v>12</v>
      </c>
      <c r="BJ274" t="s">
        <v>535</v>
      </c>
      <c r="BK274" t="s">
        <v>100</v>
      </c>
      <c r="BL274" t="s">
        <v>536</v>
      </c>
      <c r="BM274" t="s">
        <v>5423</v>
      </c>
      <c r="BN274" t="s">
        <v>74</v>
      </c>
      <c r="BO274" t="s">
        <v>74</v>
      </c>
      <c r="BP274" t="s">
        <v>74</v>
      </c>
      <c r="BQ274" t="s">
        <v>74</v>
      </c>
      <c r="BR274" t="s">
        <v>104</v>
      </c>
      <c r="BS274" t="s">
        <v>5435</v>
      </c>
      <c r="BT274" t="str">
        <f>HYPERLINK("https%3A%2F%2Fwww.webofscience.com%2Fwos%2Fwoscc%2Ffull-record%2FWOS:001157075200008","View Full Record in Web of Science")</f>
        <v>View Full Record in Web of Science</v>
      </c>
    </row>
    <row r="275" spans="1:72" x14ac:dyDescent="0.15">
      <c r="A275" t="s">
        <v>72</v>
      </c>
      <c r="B275" t="s">
        <v>5436</v>
      </c>
      <c r="C275" t="s">
        <v>74</v>
      </c>
      <c r="D275" t="s">
        <v>74</v>
      </c>
      <c r="E275" t="s">
        <v>74</v>
      </c>
      <c r="F275" t="s">
        <v>5437</v>
      </c>
      <c r="G275" t="s">
        <v>74</v>
      </c>
      <c r="H275" t="s">
        <v>74</v>
      </c>
      <c r="I275" t="s">
        <v>5438</v>
      </c>
      <c r="J275" t="s">
        <v>5439</v>
      </c>
      <c r="K275" t="s">
        <v>74</v>
      </c>
      <c r="L275" t="s">
        <v>74</v>
      </c>
      <c r="M275" t="s">
        <v>78</v>
      </c>
      <c r="N275" t="s">
        <v>79</v>
      </c>
      <c r="O275" t="s">
        <v>74</v>
      </c>
      <c r="P275" t="s">
        <v>74</v>
      </c>
      <c r="Q275" t="s">
        <v>74</v>
      </c>
      <c r="R275" t="s">
        <v>74</v>
      </c>
      <c r="S275" t="s">
        <v>74</v>
      </c>
      <c r="T275" t="s">
        <v>74</v>
      </c>
      <c r="U275" t="s">
        <v>5440</v>
      </c>
      <c r="V275" t="s">
        <v>5441</v>
      </c>
      <c r="W275" t="s">
        <v>5442</v>
      </c>
      <c r="X275" t="s">
        <v>74</v>
      </c>
      <c r="Y275" t="s">
        <v>5443</v>
      </c>
      <c r="Z275" t="s">
        <v>5444</v>
      </c>
      <c r="AA275" t="s">
        <v>74</v>
      </c>
      <c r="AB275" t="s">
        <v>74</v>
      </c>
      <c r="AC275" t="s">
        <v>5445</v>
      </c>
      <c r="AD275" t="s">
        <v>1450</v>
      </c>
      <c r="AE275" t="s">
        <v>5446</v>
      </c>
      <c r="AF275" t="s">
        <v>74</v>
      </c>
      <c r="AG275">
        <v>35</v>
      </c>
      <c r="AH275">
        <v>0</v>
      </c>
      <c r="AI275">
        <v>0</v>
      </c>
      <c r="AJ275">
        <v>0</v>
      </c>
      <c r="AK275">
        <v>0</v>
      </c>
      <c r="AL275" t="s">
        <v>5183</v>
      </c>
      <c r="AM275" t="s">
        <v>1076</v>
      </c>
      <c r="AN275" t="s">
        <v>5184</v>
      </c>
      <c r="AO275" t="s">
        <v>5447</v>
      </c>
      <c r="AP275" t="s">
        <v>5448</v>
      </c>
      <c r="AQ275" t="s">
        <v>74</v>
      </c>
      <c r="AR275" t="s">
        <v>5449</v>
      </c>
      <c r="AS275" t="s">
        <v>5450</v>
      </c>
      <c r="AT275" t="s">
        <v>1947</v>
      </c>
      <c r="AU275">
        <v>2023</v>
      </c>
      <c r="AV275">
        <v>63</v>
      </c>
      <c r="AW275">
        <v>6</v>
      </c>
      <c r="AX275" t="s">
        <v>74</v>
      </c>
      <c r="AY275" t="s">
        <v>74</v>
      </c>
      <c r="AZ275" t="s">
        <v>74</v>
      </c>
      <c r="BA275" t="s">
        <v>74</v>
      </c>
      <c r="BB275">
        <v>757</v>
      </c>
      <c r="BC275">
        <v>769</v>
      </c>
      <c r="BD275" t="s">
        <v>74</v>
      </c>
      <c r="BE275" t="s">
        <v>5451</v>
      </c>
      <c r="BF275" t="str">
        <f>HYPERLINK("http://dx.doi.org/10.1134/S0016793223600467","http://dx.doi.org/10.1134/S0016793223600467")</f>
        <v>http://dx.doi.org/10.1134/S0016793223600467</v>
      </c>
      <c r="BG275" t="s">
        <v>74</v>
      </c>
      <c r="BH275" t="s">
        <v>74</v>
      </c>
      <c r="BI275">
        <v>13</v>
      </c>
      <c r="BJ275" t="s">
        <v>4252</v>
      </c>
      <c r="BK275" t="s">
        <v>100</v>
      </c>
      <c r="BL275" t="s">
        <v>4252</v>
      </c>
      <c r="BM275" t="s">
        <v>5452</v>
      </c>
      <c r="BN275" t="s">
        <v>74</v>
      </c>
      <c r="BO275" t="s">
        <v>74</v>
      </c>
      <c r="BP275" t="s">
        <v>74</v>
      </c>
      <c r="BQ275" t="s">
        <v>74</v>
      </c>
      <c r="BR275" t="s">
        <v>104</v>
      </c>
      <c r="BS275" t="s">
        <v>5453</v>
      </c>
      <c r="BT275" t="str">
        <f>HYPERLINK("https%3A%2F%2Fwww.webofscience.com%2Fwos%2Fwoscc%2Ffull-record%2FWOS:001133157100017","View Full Record in Web of Science")</f>
        <v>View Full Record in Web of Science</v>
      </c>
    </row>
    <row r="276" spans="1:72" x14ac:dyDescent="0.15">
      <c r="A276" t="s">
        <v>72</v>
      </c>
      <c r="B276" t="s">
        <v>5454</v>
      </c>
      <c r="C276" t="s">
        <v>74</v>
      </c>
      <c r="D276" t="s">
        <v>74</v>
      </c>
      <c r="E276" t="s">
        <v>74</v>
      </c>
      <c r="F276" t="s">
        <v>5455</v>
      </c>
      <c r="G276" t="s">
        <v>74</v>
      </c>
      <c r="H276" t="s">
        <v>74</v>
      </c>
      <c r="I276" t="s">
        <v>5456</v>
      </c>
      <c r="J276" t="s">
        <v>5457</v>
      </c>
      <c r="K276" t="s">
        <v>74</v>
      </c>
      <c r="L276" t="s">
        <v>74</v>
      </c>
      <c r="M276" t="s">
        <v>78</v>
      </c>
      <c r="N276" t="s">
        <v>79</v>
      </c>
      <c r="O276" t="s">
        <v>74</v>
      </c>
      <c r="P276" t="s">
        <v>74</v>
      </c>
      <c r="Q276" t="s">
        <v>74</v>
      </c>
      <c r="R276" t="s">
        <v>74</v>
      </c>
      <c r="S276" t="s">
        <v>74</v>
      </c>
      <c r="T276" t="s">
        <v>5458</v>
      </c>
      <c r="U276" t="s">
        <v>5459</v>
      </c>
      <c r="V276" t="s">
        <v>5460</v>
      </c>
      <c r="W276" t="s">
        <v>5461</v>
      </c>
      <c r="X276" t="s">
        <v>5462</v>
      </c>
      <c r="Y276" t="s">
        <v>5463</v>
      </c>
      <c r="Z276" t="s">
        <v>5464</v>
      </c>
      <c r="AA276" t="s">
        <v>74</v>
      </c>
      <c r="AB276" t="s">
        <v>74</v>
      </c>
      <c r="AC276" t="s">
        <v>74</v>
      </c>
      <c r="AD276" t="s">
        <v>74</v>
      </c>
      <c r="AE276" t="s">
        <v>74</v>
      </c>
      <c r="AF276" t="s">
        <v>74</v>
      </c>
      <c r="AG276">
        <v>8</v>
      </c>
      <c r="AH276">
        <v>0</v>
      </c>
      <c r="AI276">
        <v>0</v>
      </c>
      <c r="AJ276">
        <v>1</v>
      </c>
      <c r="AK276">
        <v>1</v>
      </c>
      <c r="AL276" t="s">
        <v>5050</v>
      </c>
      <c r="AM276" t="s">
        <v>1076</v>
      </c>
      <c r="AN276" t="s">
        <v>5051</v>
      </c>
      <c r="AO276" t="s">
        <v>5465</v>
      </c>
      <c r="AP276" t="s">
        <v>5466</v>
      </c>
      <c r="AQ276" t="s">
        <v>74</v>
      </c>
      <c r="AR276" t="s">
        <v>5467</v>
      </c>
      <c r="AS276" t="s">
        <v>5468</v>
      </c>
      <c r="AT276" t="s">
        <v>1947</v>
      </c>
      <c r="AU276">
        <v>2023</v>
      </c>
      <c r="AV276">
        <v>57</v>
      </c>
      <c r="AW276">
        <v>6</v>
      </c>
      <c r="AX276" t="s">
        <v>74</v>
      </c>
      <c r="AY276" t="s">
        <v>74</v>
      </c>
      <c r="AZ276" t="s">
        <v>74</v>
      </c>
      <c r="BA276" t="s">
        <v>74</v>
      </c>
      <c r="BB276">
        <v>533</v>
      </c>
      <c r="BC276">
        <v>543</v>
      </c>
      <c r="BD276" t="s">
        <v>74</v>
      </c>
      <c r="BE276" t="s">
        <v>5469</v>
      </c>
      <c r="BF276" t="str">
        <f>HYPERLINK("http://dx.doi.org/10.1134/S0038094623060011","http://dx.doi.org/10.1134/S0038094623060011")</f>
        <v>http://dx.doi.org/10.1134/S0038094623060011</v>
      </c>
      <c r="BG276" t="s">
        <v>74</v>
      </c>
      <c r="BH276" t="s">
        <v>74</v>
      </c>
      <c r="BI276">
        <v>11</v>
      </c>
      <c r="BJ276" t="s">
        <v>4706</v>
      </c>
      <c r="BK276" t="s">
        <v>100</v>
      </c>
      <c r="BL276" t="s">
        <v>4706</v>
      </c>
      <c r="BM276" t="s">
        <v>5470</v>
      </c>
      <c r="BN276" t="s">
        <v>74</v>
      </c>
      <c r="BO276" t="s">
        <v>74</v>
      </c>
      <c r="BP276" t="s">
        <v>74</v>
      </c>
      <c r="BQ276" t="s">
        <v>74</v>
      </c>
      <c r="BR276" t="s">
        <v>104</v>
      </c>
      <c r="BS276" t="s">
        <v>5471</v>
      </c>
      <c r="BT276" t="str">
        <f>HYPERLINK("https%3A%2F%2Fwww.webofscience.com%2Fwos%2Fwoscc%2Ffull-record%2FWOS:001142914200004","View Full Record in Web of Science")</f>
        <v>View Full Record in Web of Science</v>
      </c>
    </row>
    <row r="277" spans="1:72" x14ac:dyDescent="0.15">
      <c r="A277" t="s">
        <v>72</v>
      </c>
      <c r="B277" t="s">
        <v>5472</v>
      </c>
      <c r="C277" t="s">
        <v>74</v>
      </c>
      <c r="D277" t="s">
        <v>74</v>
      </c>
      <c r="E277" t="s">
        <v>74</v>
      </c>
      <c r="F277" t="s">
        <v>5473</v>
      </c>
      <c r="G277" t="s">
        <v>74</v>
      </c>
      <c r="H277" t="s">
        <v>74</v>
      </c>
      <c r="I277" t="s">
        <v>5474</v>
      </c>
      <c r="J277" t="s">
        <v>5475</v>
      </c>
      <c r="K277" t="s">
        <v>74</v>
      </c>
      <c r="L277" t="s">
        <v>74</v>
      </c>
      <c r="M277" t="s">
        <v>78</v>
      </c>
      <c r="N277" t="s">
        <v>79</v>
      </c>
      <c r="O277" t="s">
        <v>74</v>
      </c>
      <c r="P277" t="s">
        <v>74</v>
      </c>
      <c r="Q277" t="s">
        <v>74</v>
      </c>
      <c r="R277" t="s">
        <v>74</v>
      </c>
      <c r="S277" t="s">
        <v>74</v>
      </c>
      <c r="T277" t="s">
        <v>5476</v>
      </c>
      <c r="U277" t="s">
        <v>5477</v>
      </c>
      <c r="V277" t="s">
        <v>5478</v>
      </c>
      <c r="W277" t="s">
        <v>5479</v>
      </c>
      <c r="X277" t="s">
        <v>5480</v>
      </c>
      <c r="Y277" t="s">
        <v>5481</v>
      </c>
      <c r="Z277" t="s">
        <v>5482</v>
      </c>
      <c r="AA277" t="s">
        <v>74</v>
      </c>
      <c r="AB277" t="s">
        <v>74</v>
      </c>
      <c r="AC277" t="s">
        <v>5483</v>
      </c>
      <c r="AD277" t="s">
        <v>5484</v>
      </c>
      <c r="AE277" t="s">
        <v>5485</v>
      </c>
      <c r="AF277" t="s">
        <v>74</v>
      </c>
      <c r="AG277">
        <v>37</v>
      </c>
      <c r="AH277">
        <v>0</v>
      </c>
      <c r="AI277">
        <v>0</v>
      </c>
      <c r="AJ277">
        <v>1</v>
      </c>
      <c r="AK277">
        <v>1</v>
      </c>
      <c r="AL277" t="s">
        <v>5050</v>
      </c>
      <c r="AM277" t="s">
        <v>1076</v>
      </c>
      <c r="AN277" t="s">
        <v>5051</v>
      </c>
      <c r="AO277" t="s">
        <v>5486</v>
      </c>
      <c r="AP277" t="s">
        <v>5487</v>
      </c>
      <c r="AQ277" t="s">
        <v>74</v>
      </c>
      <c r="AR277" t="s">
        <v>5488</v>
      </c>
      <c r="AS277" t="s">
        <v>5489</v>
      </c>
      <c r="AT277" t="s">
        <v>1947</v>
      </c>
      <c r="AU277">
        <v>2023</v>
      </c>
      <c r="AV277">
        <v>36</v>
      </c>
      <c r="AW277">
        <v>6</v>
      </c>
      <c r="AX277" t="s">
        <v>74</v>
      </c>
      <c r="AY277" t="s">
        <v>74</v>
      </c>
      <c r="AZ277" t="s">
        <v>74</v>
      </c>
      <c r="BA277" t="s">
        <v>74</v>
      </c>
      <c r="BB277">
        <v>645</v>
      </c>
      <c r="BC277">
        <v>654</v>
      </c>
      <c r="BD277" t="s">
        <v>74</v>
      </c>
      <c r="BE277" t="s">
        <v>5490</v>
      </c>
      <c r="BF277" t="str">
        <f>HYPERLINK("http://dx.doi.org/10.1134/S1024856023060106","http://dx.doi.org/10.1134/S1024856023060106")</f>
        <v>http://dx.doi.org/10.1134/S1024856023060106</v>
      </c>
      <c r="BG277" t="s">
        <v>74</v>
      </c>
      <c r="BH277" t="s">
        <v>74</v>
      </c>
      <c r="BI277">
        <v>10</v>
      </c>
      <c r="BJ277" t="s">
        <v>5491</v>
      </c>
      <c r="BK277" t="s">
        <v>912</v>
      </c>
      <c r="BL277" t="s">
        <v>5491</v>
      </c>
      <c r="BM277" t="s">
        <v>5492</v>
      </c>
      <c r="BN277" t="s">
        <v>74</v>
      </c>
      <c r="BO277" t="s">
        <v>74</v>
      </c>
      <c r="BP277" t="s">
        <v>74</v>
      </c>
      <c r="BQ277" t="s">
        <v>74</v>
      </c>
      <c r="BR277" t="s">
        <v>104</v>
      </c>
      <c r="BS277" t="s">
        <v>5493</v>
      </c>
      <c r="BT277" t="str">
        <f>HYPERLINK("https%3A%2F%2Fwww.webofscience.com%2Fwos%2Fwoscc%2Ffull-record%2FWOS:001150929900009","View Full Record in Web of Science")</f>
        <v>View Full Record in Web of Science</v>
      </c>
    </row>
    <row r="278" spans="1:72" x14ac:dyDescent="0.15">
      <c r="A278" t="s">
        <v>72</v>
      </c>
      <c r="B278" t="s">
        <v>5494</v>
      </c>
      <c r="C278" t="s">
        <v>74</v>
      </c>
      <c r="D278" t="s">
        <v>74</v>
      </c>
      <c r="E278" t="s">
        <v>74</v>
      </c>
      <c r="F278" t="s">
        <v>5495</v>
      </c>
      <c r="G278" t="s">
        <v>74</v>
      </c>
      <c r="H278" t="s">
        <v>74</v>
      </c>
      <c r="I278" t="s">
        <v>5496</v>
      </c>
      <c r="J278" t="s">
        <v>5497</v>
      </c>
      <c r="K278" t="s">
        <v>74</v>
      </c>
      <c r="L278" t="s">
        <v>74</v>
      </c>
      <c r="M278" t="s">
        <v>78</v>
      </c>
      <c r="N278" t="s">
        <v>79</v>
      </c>
      <c r="O278" t="s">
        <v>74</v>
      </c>
      <c r="P278" t="s">
        <v>74</v>
      </c>
      <c r="Q278" t="s">
        <v>74</v>
      </c>
      <c r="R278" t="s">
        <v>74</v>
      </c>
      <c r="S278" t="s">
        <v>74</v>
      </c>
      <c r="T278" t="s">
        <v>5498</v>
      </c>
      <c r="U278" t="s">
        <v>5499</v>
      </c>
      <c r="V278" t="s">
        <v>5500</v>
      </c>
      <c r="W278" t="s">
        <v>5501</v>
      </c>
      <c r="X278" t="s">
        <v>5502</v>
      </c>
      <c r="Y278" t="s">
        <v>5503</v>
      </c>
      <c r="Z278" t="s">
        <v>5504</v>
      </c>
      <c r="AA278" t="s">
        <v>74</v>
      </c>
      <c r="AB278" t="s">
        <v>74</v>
      </c>
      <c r="AC278" t="s">
        <v>5505</v>
      </c>
      <c r="AD278" t="s">
        <v>5506</v>
      </c>
      <c r="AE278" t="s">
        <v>5507</v>
      </c>
      <c r="AF278" t="s">
        <v>74</v>
      </c>
      <c r="AG278">
        <v>36</v>
      </c>
      <c r="AH278">
        <v>0</v>
      </c>
      <c r="AI278">
        <v>0</v>
      </c>
      <c r="AJ278">
        <v>0</v>
      </c>
      <c r="AK278">
        <v>0</v>
      </c>
      <c r="AL278" t="s">
        <v>5050</v>
      </c>
      <c r="AM278" t="s">
        <v>1076</v>
      </c>
      <c r="AN278" t="s">
        <v>5051</v>
      </c>
      <c r="AO278" t="s">
        <v>5508</v>
      </c>
      <c r="AP278" t="s">
        <v>5509</v>
      </c>
      <c r="AQ278" t="s">
        <v>74</v>
      </c>
      <c r="AR278" t="s">
        <v>5510</v>
      </c>
      <c r="AS278" t="s">
        <v>5511</v>
      </c>
      <c r="AT278" t="s">
        <v>1947</v>
      </c>
      <c r="AU278">
        <v>2023</v>
      </c>
      <c r="AV278">
        <v>70</v>
      </c>
      <c r="AW278">
        <v>8</v>
      </c>
      <c r="AX278" t="s">
        <v>74</v>
      </c>
      <c r="AY278" t="s">
        <v>74</v>
      </c>
      <c r="AZ278" t="s">
        <v>4005</v>
      </c>
      <c r="BA278" t="s">
        <v>74</v>
      </c>
      <c r="BB278" t="s">
        <v>74</v>
      </c>
      <c r="BC278" t="s">
        <v>74</v>
      </c>
      <c r="BD278">
        <v>187</v>
      </c>
      <c r="BE278" t="s">
        <v>5512</v>
      </c>
      <c r="BF278" t="str">
        <f>HYPERLINK("http://dx.doi.org/10.1134/S1021443723602161","http://dx.doi.org/10.1134/S1021443723602161")</f>
        <v>http://dx.doi.org/10.1134/S1021443723602161</v>
      </c>
      <c r="BG278" t="s">
        <v>74</v>
      </c>
      <c r="BH278" t="s">
        <v>74</v>
      </c>
      <c r="BI278">
        <v>11</v>
      </c>
      <c r="BJ278" t="s">
        <v>1887</v>
      </c>
      <c r="BK278" t="s">
        <v>100</v>
      </c>
      <c r="BL278" t="s">
        <v>1887</v>
      </c>
      <c r="BM278" t="s">
        <v>5513</v>
      </c>
      <c r="BN278" t="s">
        <v>74</v>
      </c>
      <c r="BO278" t="s">
        <v>74</v>
      </c>
      <c r="BP278" t="s">
        <v>74</v>
      </c>
      <c r="BQ278" t="s">
        <v>74</v>
      </c>
      <c r="BR278" t="s">
        <v>104</v>
      </c>
      <c r="BS278" t="s">
        <v>5514</v>
      </c>
      <c r="BT278" t="str">
        <f>HYPERLINK("https%3A%2F%2Fwww.webofscience.com%2Fwos%2Fwoscc%2Ffull-record%2FWOS:001150859100002","View Full Record in Web of Science")</f>
        <v>View Full Record in Web of Science</v>
      </c>
    </row>
    <row r="279" spans="1:72" x14ac:dyDescent="0.15">
      <c r="A279" t="s">
        <v>72</v>
      </c>
      <c r="B279" t="s">
        <v>5515</v>
      </c>
      <c r="C279" t="s">
        <v>74</v>
      </c>
      <c r="D279" t="s">
        <v>74</v>
      </c>
      <c r="E279" t="s">
        <v>74</v>
      </c>
      <c r="F279" t="s">
        <v>5516</v>
      </c>
      <c r="G279" t="s">
        <v>74</v>
      </c>
      <c r="H279" t="s">
        <v>74</v>
      </c>
      <c r="I279" t="s">
        <v>5517</v>
      </c>
      <c r="J279" t="s">
        <v>5518</v>
      </c>
      <c r="K279" t="s">
        <v>74</v>
      </c>
      <c r="L279" t="s">
        <v>74</v>
      </c>
      <c r="M279" t="s">
        <v>5519</v>
      </c>
      <c r="N279" t="s">
        <v>79</v>
      </c>
      <c r="O279" t="s">
        <v>74</v>
      </c>
      <c r="P279" t="s">
        <v>74</v>
      </c>
      <c r="Q279" t="s">
        <v>74</v>
      </c>
      <c r="R279" t="s">
        <v>74</v>
      </c>
      <c r="S279" t="s">
        <v>74</v>
      </c>
      <c r="T279" t="s">
        <v>5520</v>
      </c>
      <c r="U279" t="s">
        <v>5521</v>
      </c>
      <c r="V279" t="s">
        <v>5522</v>
      </c>
      <c r="W279" t="s">
        <v>5523</v>
      </c>
      <c r="X279" t="s">
        <v>5524</v>
      </c>
      <c r="Y279" t="s">
        <v>5525</v>
      </c>
      <c r="Z279" t="s">
        <v>5526</v>
      </c>
      <c r="AA279" t="s">
        <v>74</v>
      </c>
      <c r="AB279" t="s">
        <v>74</v>
      </c>
      <c r="AC279" t="s">
        <v>74</v>
      </c>
      <c r="AD279" t="s">
        <v>74</v>
      </c>
      <c r="AE279" t="s">
        <v>74</v>
      </c>
      <c r="AF279" t="s">
        <v>74</v>
      </c>
      <c r="AG279">
        <v>22</v>
      </c>
      <c r="AH279">
        <v>0</v>
      </c>
      <c r="AI279">
        <v>0</v>
      </c>
      <c r="AJ279">
        <v>3</v>
      </c>
      <c r="AK279">
        <v>3</v>
      </c>
      <c r="AL279" t="s">
        <v>5527</v>
      </c>
      <c r="AM279" t="s">
        <v>5528</v>
      </c>
      <c r="AN279" t="s">
        <v>5529</v>
      </c>
      <c r="AO279" t="s">
        <v>5530</v>
      </c>
      <c r="AP279" t="s">
        <v>74</v>
      </c>
      <c r="AQ279" t="s">
        <v>74</v>
      </c>
      <c r="AR279" t="s">
        <v>5531</v>
      </c>
      <c r="AS279" t="s">
        <v>5532</v>
      </c>
      <c r="AT279" t="s">
        <v>1947</v>
      </c>
      <c r="AU279">
        <v>2023</v>
      </c>
      <c r="AV279">
        <v>43</v>
      </c>
      <c r="AW279">
        <v>24</v>
      </c>
      <c r="AX279" t="s">
        <v>74</v>
      </c>
      <c r="AY279" t="s">
        <v>74</v>
      </c>
      <c r="AZ279" t="s">
        <v>74</v>
      </c>
      <c r="BA279" t="s">
        <v>74</v>
      </c>
      <c r="BB279" t="s">
        <v>74</v>
      </c>
      <c r="BC279" t="s">
        <v>74</v>
      </c>
      <c r="BD279">
        <v>2428004</v>
      </c>
      <c r="BE279" t="s">
        <v>5533</v>
      </c>
      <c r="BF279" t="str">
        <f>HYPERLINK("http://dx.doi.org/10.3788/AOS230494","http://dx.doi.org/10.3788/AOS230494")</f>
        <v>http://dx.doi.org/10.3788/AOS230494</v>
      </c>
      <c r="BG279" t="s">
        <v>74</v>
      </c>
      <c r="BH279" t="s">
        <v>74</v>
      </c>
      <c r="BI279">
        <v>10</v>
      </c>
      <c r="BJ279" t="s">
        <v>5491</v>
      </c>
      <c r="BK279" t="s">
        <v>912</v>
      </c>
      <c r="BL279" t="s">
        <v>5491</v>
      </c>
      <c r="BM279" t="s">
        <v>5534</v>
      </c>
      <c r="BN279" t="s">
        <v>74</v>
      </c>
      <c r="BO279" t="s">
        <v>74</v>
      </c>
      <c r="BP279" t="s">
        <v>74</v>
      </c>
      <c r="BQ279" t="s">
        <v>74</v>
      </c>
      <c r="BR279" t="s">
        <v>104</v>
      </c>
      <c r="BS279" t="s">
        <v>5535</v>
      </c>
      <c r="BT279" t="str">
        <f>HYPERLINK("https%3A%2F%2Fwww.webofscience.com%2Fwos%2Fwoscc%2Ffull-record%2FWOS:001141747200028","View Full Record in Web of Science")</f>
        <v>View Full Record in Web of Science</v>
      </c>
    </row>
    <row r="280" spans="1:72" x14ac:dyDescent="0.15">
      <c r="A280" t="s">
        <v>72</v>
      </c>
      <c r="B280" t="s">
        <v>5536</v>
      </c>
      <c r="C280" t="s">
        <v>74</v>
      </c>
      <c r="D280" t="s">
        <v>74</v>
      </c>
      <c r="E280" t="s">
        <v>74</v>
      </c>
      <c r="F280" t="s">
        <v>5537</v>
      </c>
      <c r="G280" t="s">
        <v>74</v>
      </c>
      <c r="H280" t="s">
        <v>74</v>
      </c>
      <c r="I280" t="s">
        <v>5538</v>
      </c>
      <c r="J280" t="s">
        <v>5539</v>
      </c>
      <c r="K280" t="s">
        <v>74</v>
      </c>
      <c r="L280" t="s">
        <v>74</v>
      </c>
      <c r="M280" t="s">
        <v>78</v>
      </c>
      <c r="N280" t="s">
        <v>79</v>
      </c>
      <c r="O280" t="s">
        <v>74</v>
      </c>
      <c r="P280" t="s">
        <v>74</v>
      </c>
      <c r="Q280" t="s">
        <v>74</v>
      </c>
      <c r="R280" t="s">
        <v>74</v>
      </c>
      <c r="S280" t="s">
        <v>74</v>
      </c>
      <c r="T280" t="s">
        <v>5540</v>
      </c>
      <c r="U280" t="s">
        <v>5541</v>
      </c>
      <c r="V280" t="s">
        <v>5542</v>
      </c>
      <c r="W280" t="s">
        <v>5543</v>
      </c>
      <c r="X280" t="s">
        <v>5544</v>
      </c>
      <c r="Y280" t="s">
        <v>5545</v>
      </c>
      <c r="Z280" t="s">
        <v>5546</v>
      </c>
      <c r="AA280" t="s">
        <v>74</v>
      </c>
      <c r="AB280" t="s">
        <v>74</v>
      </c>
      <c r="AC280" t="s">
        <v>5547</v>
      </c>
      <c r="AD280" t="s">
        <v>5547</v>
      </c>
      <c r="AE280" t="s">
        <v>5548</v>
      </c>
      <c r="AF280" t="s">
        <v>74</v>
      </c>
      <c r="AG280">
        <v>58</v>
      </c>
      <c r="AH280">
        <v>0</v>
      </c>
      <c r="AI280">
        <v>0</v>
      </c>
      <c r="AJ280">
        <v>1</v>
      </c>
      <c r="AK280">
        <v>1</v>
      </c>
      <c r="AL280" t="s">
        <v>5050</v>
      </c>
      <c r="AM280" t="s">
        <v>1076</v>
      </c>
      <c r="AN280" t="s">
        <v>5051</v>
      </c>
      <c r="AO280" t="s">
        <v>5549</v>
      </c>
      <c r="AP280" t="s">
        <v>5550</v>
      </c>
      <c r="AQ280" t="s">
        <v>74</v>
      </c>
      <c r="AR280" t="s">
        <v>5551</v>
      </c>
      <c r="AS280" t="s">
        <v>5552</v>
      </c>
      <c r="AT280" t="s">
        <v>1947</v>
      </c>
      <c r="AU280">
        <v>2023</v>
      </c>
      <c r="AV280">
        <v>50</v>
      </c>
      <c r="AW280">
        <v>9</v>
      </c>
      <c r="AX280" t="s">
        <v>74</v>
      </c>
      <c r="AY280" t="s">
        <v>74</v>
      </c>
      <c r="AZ280" t="s">
        <v>74</v>
      </c>
      <c r="BA280" t="s">
        <v>74</v>
      </c>
      <c r="BB280">
        <v>2147</v>
      </c>
      <c r="BC280">
        <v>2154</v>
      </c>
      <c r="BD280" t="s">
        <v>74</v>
      </c>
      <c r="BE280" t="s">
        <v>5553</v>
      </c>
      <c r="BF280" t="str">
        <f>HYPERLINK("http://dx.doi.org/10.1134/S1062359023090194","http://dx.doi.org/10.1134/S1062359023090194")</f>
        <v>http://dx.doi.org/10.1134/S1062359023090194</v>
      </c>
      <c r="BG280" t="s">
        <v>74</v>
      </c>
      <c r="BH280" t="s">
        <v>74</v>
      </c>
      <c r="BI280">
        <v>8</v>
      </c>
      <c r="BJ280" t="s">
        <v>5554</v>
      </c>
      <c r="BK280" t="s">
        <v>100</v>
      </c>
      <c r="BL280" t="s">
        <v>5555</v>
      </c>
      <c r="BM280" t="s">
        <v>5556</v>
      </c>
      <c r="BN280" t="s">
        <v>74</v>
      </c>
      <c r="BO280" t="s">
        <v>74</v>
      </c>
      <c r="BP280" t="s">
        <v>74</v>
      </c>
      <c r="BQ280" t="s">
        <v>74</v>
      </c>
      <c r="BR280" t="s">
        <v>104</v>
      </c>
      <c r="BS280" t="s">
        <v>5557</v>
      </c>
      <c r="BT280" t="str">
        <f>HYPERLINK("https%3A%2F%2Fwww.webofscience.com%2Fwos%2Fwoscc%2Ffull-record%2FWOS:001142292100038","View Full Record in Web of Science")</f>
        <v>View Full Record in Web of Science</v>
      </c>
    </row>
    <row r="281" spans="1:72" x14ac:dyDescent="0.15">
      <c r="A281" t="s">
        <v>72</v>
      </c>
      <c r="B281" t="s">
        <v>5558</v>
      </c>
      <c r="C281" t="s">
        <v>74</v>
      </c>
      <c r="D281" t="s">
        <v>74</v>
      </c>
      <c r="E281" t="s">
        <v>74</v>
      </c>
      <c r="F281" t="s">
        <v>5559</v>
      </c>
      <c r="G281" t="s">
        <v>74</v>
      </c>
      <c r="H281" t="s">
        <v>74</v>
      </c>
      <c r="I281" t="s">
        <v>5560</v>
      </c>
      <c r="J281" t="s">
        <v>5175</v>
      </c>
      <c r="K281" t="s">
        <v>74</v>
      </c>
      <c r="L281" t="s">
        <v>74</v>
      </c>
      <c r="M281" t="s">
        <v>78</v>
      </c>
      <c r="N281" t="s">
        <v>79</v>
      </c>
      <c r="O281" t="s">
        <v>74</v>
      </c>
      <c r="P281" t="s">
        <v>74</v>
      </c>
      <c r="Q281" t="s">
        <v>74</v>
      </c>
      <c r="R281" t="s">
        <v>74</v>
      </c>
      <c r="S281" t="s">
        <v>74</v>
      </c>
      <c r="T281" t="s">
        <v>5561</v>
      </c>
      <c r="U281" t="s">
        <v>5562</v>
      </c>
      <c r="V281" t="s">
        <v>5563</v>
      </c>
      <c r="W281" t="s">
        <v>5564</v>
      </c>
      <c r="X281" t="s">
        <v>5565</v>
      </c>
      <c r="Y281" t="s">
        <v>5566</v>
      </c>
      <c r="Z281" t="s">
        <v>5567</v>
      </c>
      <c r="AA281" t="s">
        <v>74</v>
      </c>
      <c r="AB281" t="s">
        <v>74</v>
      </c>
      <c r="AC281" t="s">
        <v>74</v>
      </c>
      <c r="AD281" t="s">
        <v>74</v>
      </c>
      <c r="AE281" t="s">
        <v>74</v>
      </c>
      <c r="AF281" t="s">
        <v>74</v>
      </c>
      <c r="AG281">
        <v>21</v>
      </c>
      <c r="AH281">
        <v>0</v>
      </c>
      <c r="AI281">
        <v>0</v>
      </c>
      <c r="AJ281">
        <v>2</v>
      </c>
      <c r="AK281">
        <v>2</v>
      </c>
      <c r="AL281" t="s">
        <v>5183</v>
      </c>
      <c r="AM281" t="s">
        <v>1076</v>
      </c>
      <c r="AN281" t="s">
        <v>5184</v>
      </c>
      <c r="AO281" t="s">
        <v>5185</v>
      </c>
      <c r="AP281" t="s">
        <v>5186</v>
      </c>
      <c r="AQ281" t="s">
        <v>74</v>
      </c>
      <c r="AR281" t="s">
        <v>5187</v>
      </c>
      <c r="AS281" t="s">
        <v>5188</v>
      </c>
      <c r="AT281" t="s">
        <v>1947</v>
      </c>
      <c r="AU281">
        <v>2023</v>
      </c>
      <c r="AV281">
        <v>59</v>
      </c>
      <c r="AW281">
        <v>8</v>
      </c>
      <c r="AX281" t="s">
        <v>74</v>
      </c>
      <c r="AY281" t="s">
        <v>74</v>
      </c>
      <c r="AZ281" t="s">
        <v>74</v>
      </c>
      <c r="BA281" t="s">
        <v>74</v>
      </c>
      <c r="BB281">
        <v>982</v>
      </c>
      <c r="BC281">
        <v>989</v>
      </c>
      <c r="BD281" t="s">
        <v>74</v>
      </c>
      <c r="BE281" t="s">
        <v>5568</v>
      </c>
      <c r="BF281" t="str">
        <f>HYPERLINK("http://dx.doi.org/10.1134/S0001433823080054","http://dx.doi.org/10.1134/S0001433823080054")</f>
        <v>http://dx.doi.org/10.1134/S0001433823080054</v>
      </c>
      <c r="BG281" t="s">
        <v>74</v>
      </c>
      <c r="BH281" t="s">
        <v>74</v>
      </c>
      <c r="BI281">
        <v>8</v>
      </c>
      <c r="BJ281" t="s">
        <v>1417</v>
      </c>
      <c r="BK281" t="s">
        <v>100</v>
      </c>
      <c r="BL281" t="s">
        <v>1417</v>
      </c>
      <c r="BM281" t="s">
        <v>5569</v>
      </c>
      <c r="BN281" t="s">
        <v>74</v>
      </c>
      <c r="BO281" t="s">
        <v>1717</v>
      </c>
      <c r="BP281" t="s">
        <v>74</v>
      </c>
      <c r="BQ281" t="s">
        <v>74</v>
      </c>
      <c r="BR281" t="s">
        <v>104</v>
      </c>
      <c r="BS281" t="s">
        <v>5570</v>
      </c>
      <c r="BT281" t="str">
        <f>HYPERLINK("https%3A%2F%2Fwww.webofscience.com%2Fwos%2Fwoscc%2Ffull-record%2FWOS:001143309100002","View Full Record in Web of Science")</f>
        <v>View Full Record in Web of Science</v>
      </c>
    </row>
    <row r="282" spans="1:72" x14ac:dyDescent="0.15">
      <c r="A282" t="s">
        <v>72</v>
      </c>
      <c r="B282" t="s">
        <v>5571</v>
      </c>
      <c r="C282" t="s">
        <v>74</v>
      </c>
      <c r="D282" t="s">
        <v>74</v>
      </c>
      <c r="E282" t="s">
        <v>74</v>
      </c>
      <c r="F282" t="s">
        <v>5572</v>
      </c>
      <c r="G282" t="s">
        <v>74</v>
      </c>
      <c r="H282" t="s">
        <v>74</v>
      </c>
      <c r="I282" t="s">
        <v>5573</v>
      </c>
      <c r="J282" t="s">
        <v>5439</v>
      </c>
      <c r="K282" t="s">
        <v>74</v>
      </c>
      <c r="L282" t="s">
        <v>74</v>
      </c>
      <c r="M282" t="s">
        <v>78</v>
      </c>
      <c r="N282" t="s">
        <v>79</v>
      </c>
      <c r="O282" t="s">
        <v>74</v>
      </c>
      <c r="P282" t="s">
        <v>74</v>
      </c>
      <c r="Q282" t="s">
        <v>74</v>
      </c>
      <c r="R282" t="s">
        <v>74</v>
      </c>
      <c r="S282" t="s">
        <v>74</v>
      </c>
      <c r="T282" t="s">
        <v>74</v>
      </c>
      <c r="U282" t="s">
        <v>5574</v>
      </c>
      <c r="V282" t="s">
        <v>5575</v>
      </c>
      <c r="W282" t="s">
        <v>5576</v>
      </c>
      <c r="X282" t="s">
        <v>5577</v>
      </c>
      <c r="Y282" t="s">
        <v>5578</v>
      </c>
      <c r="Z282" t="s">
        <v>5579</v>
      </c>
      <c r="AA282" t="s">
        <v>74</v>
      </c>
      <c r="AB282" t="s">
        <v>74</v>
      </c>
      <c r="AC282" t="s">
        <v>74</v>
      </c>
      <c r="AD282" t="s">
        <v>74</v>
      </c>
      <c r="AE282" t="s">
        <v>74</v>
      </c>
      <c r="AF282" t="s">
        <v>74</v>
      </c>
      <c r="AG282">
        <v>26</v>
      </c>
      <c r="AH282">
        <v>0</v>
      </c>
      <c r="AI282">
        <v>0</v>
      </c>
      <c r="AJ282">
        <v>2</v>
      </c>
      <c r="AK282">
        <v>2</v>
      </c>
      <c r="AL282" t="s">
        <v>5183</v>
      </c>
      <c r="AM282" t="s">
        <v>1076</v>
      </c>
      <c r="AN282" t="s">
        <v>5184</v>
      </c>
      <c r="AO282" t="s">
        <v>5447</v>
      </c>
      <c r="AP282" t="s">
        <v>5448</v>
      </c>
      <c r="AQ282" t="s">
        <v>74</v>
      </c>
      <c r="AR282" t="s">
        <v>5449</v>
      </c>
      <c r="AS282" t="s">
        <v>5450</v>
      </c>
      <c r="AT282" t="s">
        <v>1947</v>
      </c>
      <c r="AU282">
        <v>2023</v>
      </c>
      <c r="AV282">
        <v>63</v>
      </c>
      <c r="AW282">
        <v>8</v>
      </c>
      <c r="AX282" t="s">
        <v>74</v>
      </c>
      <c r="AY282" t="s">
        <v>74</v>
      </c>
      <c r="AZ282" t="s">
        <v>74</v>
      </c>
      <c r="BA282" t="s">
        <v>74</v>
      </c>
      <c r="BB282">
        <v>1290</v>
      </c>
      <c r="BC282">
        <v>1297</v>
      </c>
      <c r="BD282" t="s">
        <v>74</v>
      </c>
      <c r="BE282" t="s">
        <v>5580</v>
      </c>
      <c r="BF282" t="str">
        <f>HYPERLINK("http://dx.doi.org/10.1134/S0016793223080066","http://dx.doi.org/10.1134/S0016793223080066")</f>
        <v>http://dx.doi.org/10.1134/S0016793223080066</v>
      </c>
      <c r="BG282" t="s">
        <v>74</v>
      </c>
      <c r="BH282" t="s">
        <v>74</v>
      </c>
      <c r="BI282">
        <v>8</v>
      </c>
      <c r="BJ282" t="s">
        <v>4252</v>
      </c>
      <c r="BK282" t="s">
        <v>100</v>
      </c>
      <c r="BL282" t="s">
        <v>4252</v>
      </c>
      <c r="BM282" t="s">
        <v>5581</v>
      </c>
      <c r="BN282" t="s">
        <v>74</v>
      </c>
      <c r="BO282" t="s">
        <v>74</v>
      </c>
      <c r="BP282" t="s">
        <v>74</v>
      </c>
      <c r="BQ282" t="s">
        <v>74</v>
      </c>
      <c r="BR282" t="s">
        <v>104</v>
      </c>
      <c r="BS282" t="s">
        <v>5582</v>
      </c>
      <c r="BT282" t="str">
        <f>HYPERLINK("https%3A%2F%2Fwww.webofscience.com%2Fwos%2Fwoscc%2Ffull-record%2FWOS:001142918300006","View Full Record in Web of Science")</f>
        <v>View Full Record in Web of Science</v>
      </c>
    </row>
    <row r="283" spans="1:72" x14ac:dyDescent="0.15">
      <c r="A283" t="s">
        <v>72</v>
      </c>
      <c r="B283" t="s">
        <v>5583</v>
      </c>
      <c r="C283" t="s">
        <v>74</v>
      </c>
      <c r="D283" t="s">
        <v>74</v>
      </c>
      <c r="E283" t="s">
        <v>74</v>
      </c>
      <c r="F283" t="s">
        <v>5584</v>
      </c>
      <c r="G283" t="s">
        <v>74</v>
      </c>
      <c r="H283" t="s">
        <v>74</v>
      </c>
      <c r="I283" t="s">
        <v>5585</v>
      </c>
      <c r="J283" t="s">
        <v>5041</v>
      </c>
      <c r="K283" t="s">
        <v>74</v>
      </c>
      <c r="L283" t="s">
        <v>74</v>
      </c>
      <c r="M283" t="s">
        <v>78</v>
      </c>
      <c r="N283" t="s">
        <v>79</v>
      </c>
      <c r="O283" t="s">
        <v>74</v>
      </c>
      <c r="P283" t="s">
        <v>74</v>
      </c>
      <c r="Q283" t="s">
        <v>74</v>
      </c>
      <c r="R283" t="s">
        <v>74</v>
      </c>
      <c r="S283" t="s">
        <v>74</v>
      </c>
      <c r="T283" t="s">
        <v>5586</v>
      </c>
      <c r="U283" t="s">
        <v>5587</v>
      </c>
      <c r="V283" t="s">
        <v>5588</v>
      </c>
      <c r="W283" t="s">
        <v>5589</v>
      </c>
      <c r="X283" t="s">
        <v>5070</v>
      </c>
      <c r="Y283" t="s">
        <v>5590</v>
      </c>
      <c r="Z283" t="s">
        <v>5591</v>
      </c>
      <c r="AA283" t="s">
        <v>74</v>
      </c>
      <c r="AB283" t="s">
        <v>74</v>
      </c>
      <c r="AC283" t="s">
        <v>5592</v>
      </c>
      <c r="AD283" t="s">
        <v>5593</v>
      </c>
      <c r="AE283" t="s">
        <v>5594</v>
      </c>
      <c r="AF283" t="s">
        <v>74</v>
      </c>
      <c r="AG283">
        <v>58</v>
      </c>
      <c r="AH283">
        <v>0</v>
      </c>
      <c r="AI283">
        <v>0</v>
      </c>
      <c r="AJ283">
        <v>0</v>
      </c>
      <c r="AK283">
        <v>0</v>
      </c>
      <c r="AL283" t="s">
        <v>5050</v>
      </c>
      <c r="AM283" t="s">
        <v>1076</v>
      </c>
      <c r="AN283" t="s">
        <v>5051</v>
      </c>
      <c r="AO283" t="s">
        <v>5052</v>
      </c>
      <c r="AP283" t="s">
        <v>5053</v>
      </c>
      <c r="AQ283" t="s">
        <v>74</v>
      </c>
      <c r="AR283" t="s">
        <v>5054</v>
      </c>
      <c r="AS283" t="s">
        <v>5055</v>
      </c>
      <c r="AT283" t="s">
        <v>1947</v>
      </c>
      <c r="AU283">
        <v>2023</v>
      </c>
      <c r="AV283">
        <v>63</v>
      </c>
      <c r="AW283">
        <v>6</v>
      </c>
      <c r="AX283" t="s">
        <v>74</v>
      </c>
      <c r="AY283" t="s">
        <v>74</v>
      </c>
      <c r="AZ283" t="s">
        <v>74</v>
      </c>
      <c r="BA283" t="s">
        <v>74</v>
      </c>
      <c r="BB283">
        <v>856</v>
      </c>
      <c r="BC283">
        <v>867</v>
      </c>
      <c r="BD283" t="s">
        <v>74</v>
      </c>
      <c r="BE283" t="s">
        <v>5595</v>
      </c>
      <c r="BF283" t="str">
        <f>HYPERLINK("http://dx.doi.org/10.1134/S0001437023060061","http://dx.doi.org/10.1134/S0001437023060061")</f>
        <v>http://dx.doi.org/10.1134/S0001437023060061</v>
      </c>
      <c r="BG283" t="s">
        <v>74</v>
      </c>
      <c r="BH283" t="s">
        <v>74</v>
      </c>
      <c r="BI283">
        <v>12</v>
      </c>
      <c r="BJ283" t="s">
        <v>5060</v>
      </c>
      <c r="BK283" t="s">
        <v>100</v>
      </c>
      <c r="BL283" t="s">
        <v>5060</v>
      </c>
      <c r="BM283" t="s">
        <v>5596</v>
      </c>
      <c r="BN283" t="s">
        <v>74</v>
      </c>
      <c r="BO283" t="s">
        <v>74</v>
      </c>
      <c r="BP283" t="s">
        <v>74</v>
      </c>
      <c r="BQ283" t="s">
        <v>74</v>
      </c>
      <c r="BR283" t="s">
        <v>104</v>
      </c>
      <c r="BS283" t="s">
        <v>5597</v>
      </c>
      <c r="BT283" t="str">
        <f>HYPERLINK("https%3A%2F%2Fwww.webofscience.com%2Fwos%2Fwoscc%2Ffull-record%2FWOS:001137647600014","View Full Record in Web of Science")</f>
        <v>View Full Record in Web of Science</v>
      </c>
    </row>
    <row r="284" spans="1:72" x14ac:dyDescent="0.15">
      <c r="A284" t="s">
        <v>72</v>
      </c>
      <c r="B284" t="s">
        <v>5598</v>
      </c>
      <c r="C284" t="s">
        <v>74</v>
      </c>
      <c r="D284" t="s">
        <v>74</v>
      </c>
      <c r="E284" t="s">
        <v>74</v>
      </c>
      <c r="F284" t="s">
        <v>5599</v>
      </c>
      <c r="G284" t="s">
        <v>74</v>
      </c>
      <c r="H284" t="s">
        <v>74</v>
      </c>
      <c r="I284" t="s">
        <v>5600</v>
      </c>
      <c r="J284" t="s">
        <v>5041</v>
      </c>
      <c r="K284" t="s">
        <v>74</v>
      </c>
      <c r="L284" t="s">
        <v>74</v>
      </c>
      <c r="M284" t="s">
        <v>78</v>
      </c>
      <c r="N284" t="s">
        <v>79</v>
      </c>
      <c r="O284" t="s">
        <v>74</v>
      </c>
      <c r="P284" t="s">
        <v>74</v>
      </c>
      <c r="Q284" t="s">
        <v>74</v>
      </c>
      <c r="R284" t="s">
        <v>74</v>
      </c>
      <c r="S284" t="s">
        <v>74</v>
      </c>
      <c r="T284" t="s">
        <v>5601</v>
      </c>
      <c r="U284" t="s">
        <v>74</v>
      </c>
      <c r="V284" t="s">
        <v>5602</v>
      </c>
      <c r="W284" t="s">
        <v>5603</v>
      </c>
      <c r="X284" t="s">
        <v>5604</v>
      </c>
      <c r="Y284" t="s">
        <v>5605</v>
      </c>
      <c r="Z284" t="s">
        <v>5606</v>
      </c>
      <c r="AA284" t="s">
        <v>74</v>
      </c>
      <c r="AB284" t="s">
        <v>74</v>
      </c>
      <c r="AC284" t="s">
        <v>5607</v>
      </c>
      <c r="AD284" t="s">
        <v>5608</v>
      </c>
      <c r="AE284" t="s">
        <v>5609</v>
      </c>
      <c r="AF284" t="s">
        <v>74</v>
      </c>
      <c r="AG284">
        <v>0</v>
      </c>
      <c r="AH284">
        <v>0</v>
      </c>
      <c r="AI284">
        <v>0</v>
      </c>
      <c r="AJ284">
        <v>0</v>
      </c>
      <c r="AK284">
        <v>0</v>
      </c>
      <c r="AL284" t="s">
        <v>5050</v>
      </c>
      <c r="AM284" t="s">
        <v>1076</v>
      </c>
      <c r="AN284" t="s">
        <v>5051</v>
      </c>
      <c r="AO284" t="s">
        <v>5052</v>
      </c>
      <c r="AP284" t="s">
        <v>5053</v>
      </c>
      <c r="AQ284" t="s">
        <v>74</v>
      </c>
      <c r="AR284" t="s">
        <v>5054</v>
      </c>
      <c r="AS284" t="s">
        <v>5055</v>
      </c>
      <c r="AT284" t="s">
        <v>1947</v>
      </c>
      <c r="AU284">
        <v>2023</v>
      </c>
      <c r="AV284">
        <v>63</v>
      </c>
      <c r="AW284">
        <v>6</v>
      </c>
      <c r="AX284" t="s">
        <v>74</v>
      </c>
      <c r="AY284" t="s">
        <v>74</v>
      </c>
      <c r="AZ284" t="s">
        <v>74</v>
      </c>
      <c r="BA284" t="s">
        <v>74</v>
      </c>
      <c r="BB284">
        <v>925</v>
      </c>
      <c r="BC284">
        <v>927</v>
      </c>
      <c r="BD284" t="s">
        <v>74</v>
      </c>
      <c r="BE284" t="s">
        <v>5610</v>
      </c>
      <c r="BF284" t="str">
        <f>HYPERLINK("http://dx.doi.org/10.1134/S0001437023060048","http://dx.doi.org/10.1134/S0001437023060048")</f>
        <v>http://dx.doi.org/10.1134/S0001437023060048</v>
      </c>
      <c r="BG284" t="s">
        <v>74</v>
      </c>
      <c r="BH284" t="s">
        <v>74</v>
      </c>
      <c r="BI284">
        <v>3</v>
      </c>
      <c r="BJ284" t="s">
        <v>5060</v>
      </c>
      <c r="BK284" t="s">
        <v>100</v>
      </c>
      <c r="BL284" t="s">
        <v>5060</v>
      </c>
      <c r="BM284" t="s">
        <v>5596</v>
      </c>
      <c r="BN284" t="s">
        <v>74</v>
      </c>
      <c r="BO284" t="s">
        <v>74</v>
      </c>
      <c r="BP284" t="s">
        <v>74</v>
      </c>
      <c r="BQ284" t="s">
        <v>74</v>
      </c>
      <c r="BR284" t="s">
        <v>104</v>
      </c>
      <c r="BS284" t="s">
        <v>5611</v>
      </c>
      <c r="BT284" t="str">
        <f>HYPERLINK("https%3A%2F%2Fwww.webofscience.com%2Fwos%2Fwoscc%2Ffull-record%2FWOS:001137647600010","View Full Record in Web of Science")</f>
        <v>View Full Record in Web of Science</v>
      </c>
    </row>
    <row r="285" spans="1:72" x14ac:dyDescent="0.15">
      <c r="A285" t="s">
        <v>72</v>
      </c>
      <c r="B285" t="s">
        <v>5612</v>
      </c>
      <c r="C285" t="s">
        <v>74</v>
      </c>
      <c r="D285" t="s">
        <v>74</v>
      </c>
      <c r="E285" t="s">
        <v>74</v>
      </c>
      <c r="F285" t="s">
        <v>5613</v>
      </c>
      <c r="G285" t="s">
        <v>74</v>
      </c>
      <c r="H285" t="s">
        <v>74</v>
      </c>
      <c r="I285" t="s">
        <v>5614</v>
      </c>
      <c r="J285" t="s">
        <v>5439</v>
      </c>
      <c r="K285" t="s">
        <v>74</v>
      </c>
      <c r="L285" t="s">
        <v>74</v>
      </c>
      <c r="M285" t="s">
        <v>78</v>
      </c>
      <c r="N285" t="s">
        <v>79</v>
      </c>
      <c r="O285" t="s">
        <v>74</v>
      </c>
      <c r="P285" t="s">
        <v>74</v>
      </c>
      <c r="Q285" t="s">
        <v>74</v>
      </c>
      <c r="R285" t="s">
        <v>74</v>
      </c>
      <c r="S285" t="s">
        <v>74</v>
      </c>
      <c r="T285" t="s">
        <v>5615</v>
      </c>
      <c r="U285" t="s">
        <v>74</v>
      </c>
      <c r="V285" t="s">
        <v>5616</v>
      </c>
      <c r="W285" t="s">
        <v>5617</v>
      </c>
      <c r="X285" t="s">
        <v>5180</v>
      </c>
      <c r="Y285" t="s">
        <v>5618</v>
      </c>
      <c r="Z285" t="s">
        <v>5619</v>
      </c>
      <c r="AA285" t="s">
        <v>74</v>
      </c>
      <c r="AB285" t="s">
        <v>74</v>
      </c>
      <c r="AC285" t="s">
        <v>74</v>
      </c>
      <c r="AD285" t="s">
        <v>74</v>
      </c>
      <c r="AE285" t="s">
        <v>74</v>
      </c>
      <c r="AF285" t="s">
        <v>74</v>
      </c>
      <c r="AG285">
        <v>8</v>
      </c>
      <c r="AH285">
        <v>0</v>
      </c>
      <c r="AI285">
        <v>0</v>
      </c>
      <c r="AJ285">
        <v>3</v>
      </c>
      <c r="AK285">
        <v>3</v>
      </c>
      <c r="AL285" t="s">
        <v>5183</v>
      </c>
      <c r="AM285" t="s">
        <v>1076</v>
      </c>
      <c r="AN285" t="s">
        <v>5184</v>
      </c>
      <c r="AO285" t="s">
        <v>5447</v>
      </c>
      <c r="AP285" t="s">
        <v>5448</v>
      </c>
      <c r="AQ285" t="s">
        <v>74</v>
      </c>
      <c r="AR285" t="s">
        <v>5449</v>
      </c>
      <c r="AS285" t="s">
        <v>5450</v>
      </c>
      <c r="AT285" t="s">
        <v>1947</v>
      </c>
      <c r="AU285">
        <v>2023</v>
      </c>
      <c r="AV285">
        <v>63</v>
      </c>
      <c r="AW285">
        <v>7</v>
      </c>
      <c r="AX285" t="s">
        <v>74</v>
      </c>
      <c r="AY285" t="s">
        <v>74</v>
      </c>
      <c r="AZ285" t="s">
        <v>74</v>
      </c>
      <c r="BA285" t="s">
        <v>74</v>
      </c>
      <c r="BB285">
        <v>1101</v>
      </c>
      <c r="BC285">
        <v>1109</v>
      </c>
      <c r="BD285" t="s">
        <v>74</v>
      </c>
      <c r="BE285" t="s">
        <v>5620</v>
      </c>
      <c r="BF285" t="str">
        <f>HYPERLINK("http://dx.doi.org/10.1134/S0016793223070204","http://dx.doi.org/10.1134/S0016793223070204")</f>
        <v>http://dx.doi.org/10.1134/S0016793223070204</v>
      </c>
      <c r="BG285" t="s">
        <v>74</v>
      </c>
      <c r="BH285" t="s">
        <v>74</v>
      </c>
      <c r="BI285">
        <v>9</v>
      </c>
      <c r="BJ285" t="s">
        <v>4252</v>
      </c>
      <c r="BK285" t="s">
        <v>100</v>
      </c>
      <c r="BL285" t="s">
        <v>4252</v>
      </c>
      <c r="BM285" t="s">
        <v>5621</v>
      </c>
      <c r="BN285" t="s">
        <v>74</v>
      </c>
      <c r="BO285" t="s">
        <v>74</v>
      </c>
      <c r="BP285" t="s">
        <v>74</v>
      </c>
      <c r="BQ285" t="s">
        <v>74</v>
      </c>
      <c r="BR285" t="s">
        <v>104</v>
      </c>
      <c r="BS285" t="s">
        <v>5622</v>
      </c>
      <c r="BT285" t="str">
        <f>HYPERLINK("https%3A%2F%2Fwww.webofscience.com%2Fwos%2Fwoscc%2Ffull-record%2FWOS:001130199800030","View Full Record in Web of Science")</f>
        <v>View Full Record in Web of Science</v>
      </c>
    </row>
    <row r="286" spans="1:72" x14ac:dyDescent="0.15">
      <c r="A286" t="s">
        <v>72</v>
      </c>
      <c r="B286" t="s">
        <v>5623</v>
      </c>
      <c r="C286" t="s">
        <v>74</v>
      </c>
      <c r="D286" t="s">
        <v>74</v>
      </c>
      <c r="E286" t="s">
        <v>74</v>
      </c>
      <c r="F286" t="s">
        <v>5624</v>
      </c>
      <c r="G286" t="s">
        <v>74</v>
      </c>
      <c r="H286" t="s">
        <v>74</v>
      </c>
      <c r="I286" t="s">
        <v>5625</v>
      </c>
      <c r="J286" t="s">
        <v>5626</v>
      </c>
      <c r="K286" t="s">
        <v>74</v>
      </c>
      <c r="L286" t="s">
        <v>74</v>
      </c>
      <c r="M286" t="s">
        <v>78</v>
      </c>
      <c r="N286" t="s">
        <v>920</v>
      </c>
      <c r="O286" t="s">
        <v>74</v>
      </c>
      <c r="P286" t="s">
        <v>74</v>
      </c>
      <c r="Q286" t="s">
        <v>74</v>
      </c>
      <c r="R286" t="s">
        <v>74</v>
      </c>
      <c r="S286" t="s">
        <v>74</v>
      </c>
      <c r="T286" t="s">
        <v>74</v>
      </c>
      <c r="U286" t="s">
        <v>5627</v>
      </c>
      <c r="V286" t="s">
        <v>74</v>
      </c>
      <c r="W286" t="s">
        <v>5628</v>
      </c>
      <c r="X286" t="s">
        <v>2211</v>
      </c>
      <c r="Y286" t="s">
        <v>5629</v>
      </c>
      <c r="Z286" t="s">
        <v>5630</v>
      </c>
      <c r="AA286" t="s">
        <v>74</v>
      </c>
      <c r="AB286" t="s">
        <v>74</v>
      </c>
      <c r="AC286" t="s">
        <v>74</v>
      </c>
      <c r="AD286" t="s">
        <v>74</v>
      </c>
      <c r="AE286" t="s">
        <v>74</v>
      </c>
      <c r="AF286" t="s">
        <v>74</v>
      </c>
      <c r="AG286">
        <v>23</v>
      </c>
      <c r="AH286">
        <v>0</v>
      </c>
      <c r="AI286">
        <v>0</v>
      </c>
      <c r="AJ286">
        <v>0</v>
      </c>
      <c r="AK286">
        <v>0</v>
      </c>
      <c r="AL286" t="s">
        <v>5631</v>
      </c>
      <c r="AM286" t="s">
        <v>5632</v>
      </c>
      <c r="AN286" t="s">
        <v>5633</v>
      </c>
      <c r="AO286" t="s">
        <v>5634</v>
      </c>
      <c r="AP286" t="s">
        <v>5635</v>
      </c>
      <c r="AQ286" t="s">
        <v>74</v>
      </c>
      <c r="AR286" t="s">
        <v>5636</v>
      </c>
      <c r="AS286" t="s">
        <v>5637</v>
      </c>
      <c r="AT286" t="s">
        <v>1947</v>
      </c>
      <c r="AU286">
        <v>2023</v>
      </c>
      <c r="AV286">
        <v>99</v>
      </c>
      <c r="AW286">
        <v>12</v>
      </c>
      <c r="AX286" t="s">
        <v>74</v>
      </c>
      <c r="AY286" t="s">
        <v>74</v>
      </c>
      <c r="AZ286" t="s">
        <v>74</v>
      </c>
      <c r="BA286" t="s">
        <v>74</v>
      </c>
      <c r="BB286">
        <v>1780</v>
      </c>
      <c r="BC286">
        <v>1781</v>
      </c>
      <c r="BD286" t="s">
        <v>74</v>
      </c>
      <c r="BE286" t="s">
        <v>5638</v>
      </c>
      <c r="BF286" t="str">
        <f>HYPERLINK("http://dx.doi.org/10.1007/s12594-023-2534-3","http://dx.doi.org/10.1007/s12594-023-2534-3")</f>
        <v>http://dx.doi.org/10.1007/s12594-023-2534-3</v>
      </c>
      <c r="BG286" t="s">
        <v>74</v>
      </c>
      <c r="BH286" t="s">
        <v>74</v>
      </c>
      <c r="BI286">
        <v>2</v>
      </c>
      <c r="BJ286" t="s">
        <v>535</v>
      </c>
      <c r="BK286" t="s">
        <v>100</v>
      </c>
      <c r="BL286" t="s">
        <v>536</v>
      </c>
      <c r="BM286" t="s">
        <v>5639</v>
      </c>
      <c r="BN286" t="s">
        <v>74</v>
      </c>
      <c r="BO286" t="s">
        <v>74</v>
      </c>
      <c r="BP286" t="s">
        <v>74</v>
      </c>
      <c r="BQ286" t="s">
        <v>74</v>
      </c>
      <c r="BR286" t="s">
        <v>104</v>
      </c>
      <c r="BS286" t="s">
        <v>5640</v>
      </c>
      <c r="BT286" t="str">
        <f>HYPERLINK("https%3A%2F%2Fwww.webofscience.com%2Fwos%2Fwoscc%2Ffull-record%2FWOS:001131892800010","View Full Record in Web of Science")</f>
        <v>View Full Record in Web of Science</v>
      </c>
    </row>
    <row r="287" spans="1:72" x14ac:dyDescent="0.15">
      <c r="A287" t="s">
        <v>72</v>
      </c>
      <c r="B287" t="s">
        <v>5641</v>
      </c>
      <c r="C287" t="s">
        <v>74</v>
      </c>
      <c r="D287" t="s">
        <v>74</v>
      </c>
      <c r="E287" t="s">
        <v>74</v>
      </c>
      <c r="F287" t="s">
        <v>5642</v>
      </c>
      <c r="G287" t="s">
        <v>74</v>
      </c>
      <c r="H287" t="s">
        <v>74</v>
      </c>
      <c r="I287" t="s">
        <v>5643</v>
      </c>
      <c r="J287" t="s">
        <v>5644</v>
      </c>
      <c r="K287" t="s">
        <v>74</v>
      </c>
      <c r="L287" t="s">
        <v>74</v>
      </c>
      <c r="M287" t="s">
        <v>78</v>
      </c>
      <c r="N287" t="s">
        <v>79</v>
      </c>
      <c r="O287" t="s">
        <v>74</v>
      </c>
      <c r="P287" t="s">
        <v>74</v>
      </c>
      <c r="Q287" t="s">
        <v>74</v>
      </c>
      <c r="R287" t="s">
        <v>74</v>
      </c>
      <c r="S287" t="s">
        <v>74</v>
      </c>
      <c r="T287" t="s">
        <v>5645</v>
      </c>
      <c r="U287" t="s">
        <v>5646</v>
      </c>
      <c r="V287" t="s">
        <v>5647</v>
      </c>
      <c r="W287" t="s">
        <v>5648</v>
      </c>
      <c r="X287" t="s">
        <v>5649</v>
      </c>
      <c r="Y287" t="s">
        <v>5650</v>
      </c>
      <c r="Z287" t="s">
        <v>1250</v>
      </c>
      <c r="AA287" t="s">
        <v>74</v>
      </c>
      <c r="AB287" t="s">
        <v>5651</v>
      </c>
      <c r="AC287" t="s">
        <v>5652</v>
      </c>
      <c r="AD287" t="s">
        <v>5653</v>
      </c>
      <c r="AE287" t="s">
        <v>5654</v>
      </c>
      <c r="AF287" t="s">
        <v>74</v>
      </c>
      <c r="AG287">
        <v>23</v>
      </c>
      <c r="AH287">
        <v>0</v>
      </c>
      <c r="AI287">
        <v>0</v>
      </c>
      <c r="AJ287">
        <v>3</v>
      </c>
      <c r="AK287">
        <v>3</v>
      </c>
      <c r="AL287" t="s">
        <v>5655</v>
      </c>
      <c r="AM287" t="s">
        <v>5656</v>
      </c>
      <c r="AN287" t="s">
        <v>5657</v>
      </c>
      <c r="AO287" t="s">
        <v>5658</v>
      </c>
      <c r="AP287" t="s">
        <v>5659</v>
      </c>
      <c r="AQ287" t="s">
        <v>74</v>
      </c>
      <c r="AR287" t="s">
        <v>5660</v>
      </c>
      <c r="AS287" t="s">
        <v>5661</v>
      </c>
      <c r="AT287" t="s">
        <v>1947</v>
      </c>
      <c r="AU287">
        <v>2023</v>
      </c>
      <c r="AV287">
        <v>19</v>
      </c>
      <c r="AW287">
        <v>6</v>
      </c>
      <c r="AX287" t="s">
        <v>74</v>
      </c>
      <c r="AY287" t="s">
        <v>74</v>
      </c>
      <c r="AZ287" t="s">
        <v>4005</v>
      </c>
      <c r="BA287" t="s">
        <v>74</v>
      </c>
      <c r="BB287">
        <v>678</v>
      </c>
      <c r="BC287">
        <v>684</v>
      </c>
      <c r="BD287" t="s">
        <v>74</v>
      </c>
      <c r="BE287" t="s">
        <v>5662</v>
      </c>
      <c r="BF287" t="str">
        <f>HYPERLINK("http://dx.doi.org/10.21161/mjm.230013","http://dx.doi.org/10.21161/mjm.230013")</f>
        <v>http://dx.doi.org/10.21161/mjm.230013</v>
      </c>
      <c r="BG287" t="s">
        <v>74</v>
      </c>
      <c r="BH287" t="s">
        <v>74</v>
      </c>
      <c r="BI287">
        <v>7</v>
      </c>
      <c r="BJ287" t="s">
        <v>1084</v>
      </c>
      <c r="BK287" t="s">
        <v>912</v>
      </c>
      <c r="BL287" t="s">
        <v>1084</v>
      </c>
      <c r="BM287" t="s">
        <v>5663</v>
      </c>
      <c r="BN287" t="s">
        <v>74</v>
      </c>
      <c r="BO287" t="s">
        <v>131</v>
      </c>
      <c r="BP287" t="s">
        <v>74</v>
      </c>
      <c r="BQ287" t="s">
        <v>74</v>
      </c>
      <c r="BR287" t="s">
        <v>104</v>
      </c>
      <c r="BS287" t="s">
        <v>5664</v>
      </c>
      <c r="BT287" t="str">
        <f>HYPERLINK("https%3A%2F%2Fwww.webofscience.com%2Fwos%2Fwoscc%2Ffull-record%2FWOS:001133842900012","View Full Record in Web of Science")</f>
        <v>View Full Record in Web of Science</v>
      </c>
    </row>
    <row r="288" spans="1:72" x14ac:dyDescent="0.15">
      <c r="A288" t="s">
        <v>72</v>
      </c>
      <c r="B288" t="s">
        <v>5665</v>
      </c>
      <c r="C288" t="s">
        <v>74</v>
      </c>
      <c r="D288" t="s">
        <v>74</v>
      </c>
      <c r="E288" t="s">
        <v>74</v>
      </c>
      <c r="F288" t="s">
        <v>5666</v>
      </c>
      <c r="G288" t="s">
        <v>74</v>
      </c>
      <c r="H288" t="s">
        <v>74</v>
      </c>
      <c r="I288" t="s">
        <v>5667</v>
      </c>
      <c r="J288" t="s">
        <v>5644</v>
      </c>
      <c r="K288" t="s">
        <v>74</v>
      </c>
      <c r="L288" t="s">
        <v>74</v>
      </c>
      <c r="M288" t="s">
        <v>78</v>
      </c>
      <c r="N288" t="s">
        <v>79</v>
      </c>
      <c r="O288" t="s">
        <v>74</v>
      </c>
      <c r="P288" t="s">
        <v>74</v>
      </c>
      <c r="Q288" t="s">
        <v>74</v>
      </c>
      <c r="R288" t="s">
        <v>74</v>
      </c>
      <c r="S288" t="s">
        <v>74</v>
      </c>
      <c r="T288" t="s">
        <v>5668</v>
      </c>
      <c r="U288" t="s">
        <v>5669</v>
      </c>
      <c r="V288" t="s">
        <v>5670</v>
      </c>
      <c r="W288" t="s">
        <v>5671</v>
      </c>
      <c r="X288" t="s">
        <v>5672</v>
      </c>
      <c r="Y288" t="s">
        <v>5673</v>
      </c>
      <c r="Z288" t="s">
        <v>5674</v>
      </c>
      <c r="AA288" t="s">
        <v>5675</v>
      </c>
      <c r="AB288" t="s">
        <v>5676</v>
      </c>
      <c r="AC288" t="s">
        <v>5677</v>
      </c>
      <c r="AD288" t="s">
        <v>5678</v>
      </c>
      <c r="AE288" t="s">
        <v>5679</v>
      </c>
      <c r="AF288" t="s">
        <v>74</v>
      </c>
      <c r="AG288">
        <v>62</v>
      </c>
      <c r="AH288">
        <v>0</v>
      </c>
      <c r="AI288">
        <v>0</v>
      </c>
      <c r="AJ288">
        <v>0</v>
      </c>
      <c r="AK288">
        <v>0</v>
      </c>
      <c r="AL288" t="s">
        <v>5655</v>
      </c>
      <c r="AM288" t="s">
        <v>5656</v>
      </c>
      <c r="AN288" t="s">
        <v>5657</v>
      </c>
      <c r="AO288" t="s">
        <v>5658</v>
      </c>
      <c r="AP288" t="s">
        <v>5659</v>
      </c>
      <c r="AQ288" t="s">
        <v>74</v>
      </c>
      <c r="AR288" t="s">
        <v>5660</v>
      </c>
      <c r="AS288" t="s">
        <v>5661</v>
      </c>
      <c r="AT288" t="s">
        <v>1947</v>
      </c>
      <c r="AU288">
        <v>2023</v>
      </c>
      <c r="AV288">
        <v>19</v>
      </c>
      <c r="AW288">
        <v>6</v>
      </c>
      <c r="AX288" t="s">
        <v>74</v>
      </c>
      <c r="AY288" t="s">
        <v>74</v>
      </c>
      <c r="AZ288" t="s">
        <v>4005</v>
      </c>
      <c r="BA288" t="s">
        <v>74</v>
      </c>
      <c r="BB288">
        <v>766</v>
      </c>
      <c r="BC288">
        <v>776</v>
      </c>
      <c r="BD288" t="s">
        <v>74</v>
      </c>
      <c r="BE288" t="s">
        <v>5680</v>
      </c>
      <c r="BF288" t="str">
        <f>HYPERLINK("http://dx.doi.org/10.21161/mjm.230024","http://dx.doi.org/10.21161/mjm.230024")</f>
        <v>http://dx.doi.org/10.21161/mjm.230024</v>
      </c>
      <c r="BG288" t="s">
        <v>74</v>
      </c>
      <c r="BH288" t="s">
        <v>74</v>
      </c>
      <c r="BI288">
        <v>11</v>
      </c>
      <c r="BJ288" t="s">
        <v>1084</v>
      </c>
      <c r="BK288" t="s">
        <v>912</v>
      </c>
      <c r="BL288" t="s">
        <v>1084</v>
      </c>
      <c r="BM288" t="s">
        <v>5663</v>
      </c>
      <c r="BN288" t="s">
        <v>74</v>
      </c>
      <c r="BO288" t="s">
        <v>131</v>
      </c>
      <c r="BP288" t="s">
        <v>74</v>
      </c>
      <c r="BQ288" t="s">
        <v>74</v>
      </c>
      <c r="BR288" t="s">
        <v>104</v>
      </c>
      <c r="BS288" t="s">
        <v>5681</v>
      </c>
      <c r="BT288" t="str">
        <f>HYPERLINK("https%3A%2F%2Fwww.webofscience.com%2Fwos%2Fwoscc%2Ffull-record%2FWOS:001133842900009","View Full Record in Web of Science")</f>
        <v>View Full Record in Web of Science</v>
      </c>
    </row>
    <row r="289" spans="1:72" x14ac:dyDescent="0.15">
      <c r="A289" t="s">
        <v>72</v>
      </c>
      <c r="B289" t="s">
        <v>5682</v>
      </c>
      <c r="C289" t="s">
        <v>74</v>
      </c>
      <c r="D289" t="s">
        <v>74</v>
      </c>
      <c r="E289" t="s">
        <v>74</v>
      </c>
      <c r="F289" t="s">
        <v>5683</v>
      </c>
      <c r="G289" t="s">
        <v>74</v>
      </c>
      <c r="H289" t="s">
        <v>74</v>
      </c>
      <c r="I289" t="s">
        <v>5684</v>
      </c>
      <c r="J289" t="s">
        <v>5685</v>
      </c>
      <c r="K289" t="s">
        <v>74</v>
      </c>
      <c r="L289" t="s">
        <v>74</v>
      </c>
      <c r="M289" t="s">
        <v>78</v>
      </c>
      <c r="N289" t="s">
        <v>79</v>
      </c>
      <c r="O289" t="s">
        <v>74</v>
      </c>
      <c r="P289" t="s">
        <v>74</v>
      </c>
      <c r="Q289" t="s">
        <v>74</v>
      </c>
      <c r="R289" t="s">
        <v>74</v>
      </c>
      <c r="S289" t="s">
        <v>74</v>
      </c>
      <c r="T289" t="s">
        <v>5686</v>
      </c>
      <c r="U289" t="s">
        <v>5687</v>
      </c>
      <c r="V289" t="s">
        <v>5688</v>
      </c>
      <c r="W289" t="s">
        <v>5689</v>
      </c>
      <c r="X289" t="s">
        <v>5690</v>
      </c>
      <c r="Y289" t="s">
        <v>5691</v>
      </c>
      <c r="Z289" t="s">
        <v>5692</v>
      </c>
      <c r="AA289" t="s">
        <v>74</v>
      </c>
      <c r="AB289" t="s">
        <v>74</v>
      </c>
      <c r="AC289" t="s">
        <v>5693</v>
      </c>
      <c r="AD289" t="s">
        <v>1450</v>
      </c>
      <c r="AE289" t="s">
        <v>5694</v>
      </c>
      <c r="AF289" t="s">
        <v>74</v>
      </c>
      <c r="AG289">
        <v>175</v>
      </c>
      <c r="AH289">
        <v>0</v>
      </c>
      <c r="AI289">
        <v>0</v>
      </c>
      <c r="AJ289">
        <v>2</v>
      </c>
      <c r="AK289">
        <v>2</v>
      </c>
      <c r="AL289" t="s">
        <v>5695</v>
      </c>
      <c r="AM289" t="s">
        <v>5696</v>
      </c>
      <c r="AN289" t="s">
        <v>5697</v>
      </c>
      <c r="AO289" t="s">
        <v>5698</v>
      </c>
      <c r="AP289" t="s">
        <v>74</v>
      </c>
      <c r="AQ289" t="s">
        <v>74</v>
      </c>
      <c r="AR289" t="s">
        <v>5685</v>
      </c>
      <c r="AS289" t="s">
        <v>5699</v>
      </c>
      <c r="AT289" t="s">
        <v>1947</v>
      </c>
      <c r="AU289">
        <v>2023</v>
      </c>
      <c r="AV289">
        <v>6</v>
      </c>
      <c r="AW289">
        <v>4</v>
      </c>
      <c r="AX289" t="s">
        <v>74</v>
      </c>
      <c r="AY289" t="s">
        <v>74</v>
      </c>
      <c r="AZ289" t="s">
        <v>74</v>
      </c>
      <c r="BA289" t="s">
        <v>74</v>
      </c>
      <c r="BB289" t="s">
        <v>74</v>
      </c>
      <c r="BC289" t="s">
        <v>74</v>
      </c>
      <c r="BD289">
        <v>56</v>
      </c>
      <c r="BE289" t="s">
        <v>5700</v>
      </c>
      <c r="BF289" t="str">
        <f>HYPERLINK("http://dx.doi.org/10.3390/quat6040056","http://dx.doi.org/10.3390/quat6040056")</f>
        <v>http://dx.doi.org/10.3390/quat6040056</v>
      </c>
      <c r="BG289" t="s">
        <v>74</v>
      </c>
      <c r="BH289" t="s">
        <v>74</v>
      </c>
      <c r="BI289">
        <v>27</v>
      </c>
      <c r="BJ289" t="s">
        <v>535</v>
      </c>
      <c r="BK289" t="s">
        <v>912</v>
      </c>
      <c r="BL289" t="s">
        <v>536</v>
      </c>
      <c r="BM289" t="s">
        <v>5701</v>
      </c>
      <c r="BN289" t="s">
        <v>74</v>
      </c>
      <c r="BO289" t="s">
        <v>131</v>
      </c>
      <c r="BP289" t="s">
        <v>74</v>
      </c>
      <c r="BQ289" t="s">
        <v>74</v>
      </c>
      <c r="BR289" t="s">
        <v>104</v>
      </c>
      <c r="BS289" t="s">
        <v>5702</v>
      </c>
      <c r="BT289" t="str">
        <f>HYPERLINK("https%3A%2F%2Fwww.webofscience.com%2Fwos%2Fwoscc%2Ffull-record%2FWOS:001132766100001","View Full Record in Web of Science")</f>
        <v>View Full Record in Web of Science</v>
      </c>
    </row>
    <row r="290" spans="1:72" x14ac:dyDescent="0.15">
      <c r="A290" t="s">
        <v>72</v>
      </c>
      <c r="B290" t="s">
        <v>5703</v>
      </c>
      <c r="C290" t="s">
        <v>74</v>
      </c>
      <c r="D290" t="s">
        <v>74</v>
      </c>
      <c r="E290" t="s">
        <v>74</v>
      </c>
      <c r="F290" t="s">
        <v>5704</v>
      </c>
      <c r="G290" t="s">
        <v>74</v>
      </c>
      <c r="H290" t="s">
        <v>74</v>
      </c>
      <c r="I290" t="s">
        <v>5705</v>
      </c>
      <c r="J290" t="s">
        <v>5706</v>
      </c>
      <c r="K290" t="s">
        <v>74</v>
      </c>
      <c r="L290" t="s">
        <v>74</v>
      </c>
      <c r="M290" t="s">
        <v>78</v>
      </c>
      <c r="N290" t="s">
        <v>79</v>
      </c>
      <c r="O290" t="s">
        <v>74</v>
      </c>
      <c r="P290" t="s">
        <v>74</v>
      </c>
      <c r="Q290" t="s">
        <v>74</v>
      </c>
      <c r="R290" t="s">
        <v>74</v>
      </c>
      <c r="S290" t="s">
        <v>74</v>
      </c>
      <c r="T290" t="s">
        <v>5707</v>
      </c>
      <c r="U290" t="s">
        <v>5708</v>
      </c>
      <c r="V290" t="s">
        <v>5709</v>
      </c>
      <c r="W290" t="s">
        <v>5710</v>
      </c>
      <c r="X290" t="s">
        <v>5711</v>
      </c>
      <c r="Y290" t="s">
        <v>5712</v>
      </c>
      <c r="Z290" t="s">
        <v>5713</v>
      </c>
      <c r="AA290" t="s">
        <v>5714</v>
      </c>
      <c r="AB290" t="s">
        <v>5715</v>
      </c>
      <c r="AC290" t="s">
        <v>5716</v>
      </c>
      <c r="AD290" t="s">
        <v>5717</v>
      </c>
      <c r="AE290" t="s">
        <v>5718</v>
      </c>
      <c r="AF290" t="s">
        <v>74</v>
      </c>
      <c r="AG290">
        <v>73</v>
      </c>
      <c r="AH290">
        <v>1</v>
      </c>
      <c r="AI290">
        <v>1</v>
      </c>
      <c r="AJ290">
        <v>2</v>
      </c>
      <c r="AK290">
        <v>2</v>
      </c>
      <c r="AL290" t="s">
        <v>5695</v>
      </c>
      <c r="AM290" t="s">
        <v>5696</v>
      </c>
      <c r="AN290" t="s">
        <v>5697</v>
      </c>
      <c r="AO290" t="s">
        <v>74</v>
      </c>
      <c r="AP290" t="s">
        <v>5719</v>
      </c>
      <c r="AQ290" t="s">
        <v>74</v>
      </c>
      <c r="AR290" t="s">
        <v>5720</v>
      </c>
      <c r="AS290" t="s">
        <v>5721</v>
      </c>
      <c r="AT290" t="s">
        <v>1947</v>
      </c>
      <c r="AU290">
        <v>2023</v>
      </c>
      <c r="AV290">
        <v>15</v>
      </c>
      <c r="AW290">
        <v>24</v>
      </c>
      <c r="AX290" t="s">
        <v>74</v>
      </c>
      <c r="AY290" t="s">
        <v>74</v>
      </c>
      <c r="AZ290" t="s">
        <v>74</v>
      </c>
      <c r="BA290" t="s">
        <v>74</v>
      </c>
      <c r="BB290" t="s">
        <v>74</v>
      </c>
      <c r="BC290" t="s">
        <v>74</v>
      </c>
      <c r="BD290">
        <v>5658</v>
      </c>
      <c r="BE290" t="s">
        <v>5722</v>
      </c>
      <c r="BF290" t="str">
        <f>HYPERLINK("http://dx.doi.org/10.3390/rs15245658","http://dx.doi.org/10.3390/rs15245658")</f>
        <v>http://dx.doi.org/10.3390/rs15245658</v>
      </c>
      <c r="BG290" t="s">
        <v>74</v>
      </c>
      <c r="BH290" t="s">
        <v>74</v>
      </c>
      <c r="BI290">
        <v>26</v>
      </c>
      <c r="BJ290" t="s">
        <v>5723</v>
      </c>
      <c r="BK290" t="s">
        <v>100</v>
      </c>
      <c r="BL290" t="s">
        <v>5724</v>
      </c>
      <c r="BM290" t="s">
        <v>5725</v>
      </c>
      <c r="BN290" t="s">
        <v>74</v>
      </c>
      <c r="BO290" t="s">
        <v>349</v>
      </c>
      <c r="BP290" t="s">
        <v>74</v>
      </c>
      <c r="BQ290" t="s">
        <v>74</v>
      </c>
      <c r="BR290" t="s">
        <v>104</v>
      </c>
      <c r="BS290" t="s">
        <v>5726</v>
      </c>
      <c r="BT290" t="str">
        <f>HYPERLINK("https%3A%2F%2Fwww.webofscience.com%2Fwos%2Fwoscc%2Ffull-record%2FWOS:001130681200001","View Full Record in Web of Science")</f>
        <v>View Full Record in Web of Science</v>
      </c>
    </row>
    <row r="291" spans="1:72" x14ac:dyDescent="0.15">
      <c r="A291" t="s">
        <v>72</v>
      </c>
      <c r="B291" t="s">
        <v>5727</v>
      </c>
      <c r="C291" t="s">
        <v>74</v>
      </c>
      <c r="D291" t="s">
        <v>74</v>
      </c>
      <c r="E291" t="s">
        <v>74</v>
      </c>
      <c r="F291" t="s">
        <v>5728</v>
      </c>
      <c r="G291" t="s">
        <v>74</v>
      </c>
      <c r="H291" t="s">
        <v>74</v>
      </c>
      <c r="I291" t="s">
        <v>5729</v>
      </c>
      <c r="J291" t="s">
        <v>3287</v>
      </c>
      <c r="K291" t="s">
        <v>74</v>
      </c>
      <c r="L291" t="s">
        <v>74</v>
      </c>
      <c r="M291" t="s">
        <v>78</v>
      </c>
      <c r="N291" t="s">
        <v>79</v>
      </c>
      <c r="O291" t="s">
        <v>74</v>
      </c>
      <c r="P291" t="s">
        <v>74</v>
      </c>
      <c r="Q291" t="s">
        <v>74</v>
      </c>
      <c r="R291" t="s">
        <v>74</v>
      </c>
      <c r="S291" t="s">
        <v>74</v>
      </c>
      <c r="T291" t="s">
        <v>74</v>
      </c>
      <c r="U291" t="s">
        <v>5730</v>
      </c>
      <c r="V291" t="s">
        <v>5731</v>
      </c>
      <c r="W291" t="s">
        <v>5732</v>
      </c>
      <c r="X291" t="s">
        <v>5733</v>
      </c>
      <c r="Y291" t="s">
        <v>5734</v>
      </c>
      <c r="Z291" t="s">
        <v>5735</v>
      </c>
      <c r="AA291" t="s">
        <v>5736</v>
      </c>
      <c r="AB291" t="s">
        <v>5737</v>
      </c>
      <c r="AC291" t="s">
        <v>5738</v>
      </c>
      <c r="AD291" t="s">
        <v>5739</v>
      </c>
      <c r="AE291" t="s">
        <v>5740</v>
      </c>
      <c r="AF291" t="s">
        <v>74</v>
      </c>
      <c r="AG291">
        <v>99</v>
      </c>
      <c r="AH291">
        <v>0</v>
      </c>
      <c r="AI291">
        <v>0</v>
      </c>
      <c r="AJ291">
        <v>48</v>
      </c>
      <c r="AK291">
        <v>48</v>
      </c>
      <c r="AL291" t="s">
        <v>1710</v>
      </c>
      <c r="AM291" t="s">
        <v>1209</v>
      </c>
      <c r="AN291" t="s">
        <v>1711</v>
      </c>
      <c r="AO291" t="s">
        <v>3297</v>
      </c>
      <c r="AP291" t="s">
        <v>74</v>
      </c>
      <c r="AQ291" t="s">
        <v>74</v>
      </c>
      <c r="AR291" t="s">
        <v>3298</v>
      </c>
      <c r="AS291" t="s">
        <v>3299</v>
      </c>
      <c r="AT291" t="s">
        <v>5341</v>
      </c>
      <c r="AU291">
        <v>2023</v>
      </c>
      <c r="AV291">
        <v>9</v>
      </c>
      <c r="AW291">
        <v>48</v>
      </c>
      <c r="AX291" t="s">
        <v>74</v>
      </c>
      <c r="AY291" t="s">
        <v>74</v>
      </c>
      <c r="AZ291" t="s">
        <v>74</v>
      </c>
      <c r="BA291" t="s">
        <v>74</v>
      </c>
      <c r="BB291" t="s">
        <v>74</v>
      </c>
      <c r="BC291" t="s">
        <v>74</v>
      </c>
      <c r="BD291" t="s">
        <v>5741</v>
      </c>
      <c r="BE291" t="s">
        <v>5742</v>
      </c>
      <c r="BF291" t="str">
        <f>HYPERLINK("http://dx.doi.org/10.1126/sciadv.adj8016","http://dx.doi.org/10.1126/sciadv.adj8016")</f>
        <v>http://dx.doi.org/10.1126/sciadv.adj8016</v>
      </c>
      <c r="BG291" t="s">
        <v>74</v>
      </c>
      <c r="BH291" t="s">
        <v>74</v>
      </c>
      <c r="BI291">
        <v>15</v>
      </c>
      <c r="BJ291" t="s">
        <v>1035</v>
      </c>
      <c r="BK291" t="s">
        <v>100</v>
      </c>
      <c r="BL291" t="s">
        <v>1036</v>
      </c>
      <c r="BM291" t="s">
        <v>5743</v>
      </c>
      <c r="BN291">
        <v>38019923</v>
      </c>
      <c r="BO291" t="s">
        <v>5744</v>
      </c>
      <c r="BP291" t="s">
        <v>74</v>
      </c>
      <c r="BQ291" t="s">
        <v>74</v>
      </c>
      <c r="BR291" t="s">
        <v>104</v>
      </c>
      <c r="BS291" t="s">
        <v>5745</v>
      </c>
      <c r="BT291" t="str">
        <f>HYPERLINK("https%3A%2F%2Fwww.webofscience.com%2Fwos%2Fwoscc%2Ffull-record%2FWOS:001122844300004","View Full Record in Web of Science")</f>
        <v>View Full Record in Web of Science</v>
      </c>
    </row>
    <row r="292" spans="1:72" x14ac:dyDescent="0.15">
      <c r="A292" t="s">
        <v>72</v>
      </c>
      <c r="B292" t="s">
        <v>5746</v>
      </c>
      <c r="C292" t="s">
        <v>74</v>
      </c>
      <c r="D292" t="s">
        <v>74</v>
      </c>
      <c r="E292" t="s">
        <v>74</v>
      </c>
      <c r="F292" t="s">
        <v>5747</v>
      </c>
      <c r="G292" t="s">
        <v>74</v>
      </c>
      <c r="H292" t="s">
        <v>74</v>
      </c>
      <c r="I292" t="s">
        <v>5748</v>
      </c>
      <c r="J292" t="s">
        <v>5749</v>
      </c>
      <c r="K292" t="s">
        <v>74</v>
      </c>
      <c r="L292" t="s">
        <v>74</v>
      </c>
      <c r="M292" t="s">
        <v>78</v>
      </c>
      <c r="N292" t="s">
        <v>79</v>
      </c>
      <c r="O292" t="s">
        <v>74</v>
      </c>
      <c r="P292" t="s">
        <v>74</v>
      </c>
      <c r="Q292" t="s">
        <v>74</v>
      </c>
      <c r="R292" t="s">
        <v>74</v>
      </c>
      <c r="S292" t="s">
        <v>74</v>
      </c>
      <c r="T292" t="s">
        <v>5750</v>
      </c>
      <c r="U292" t="s">
        <v>5751</v>
      </c>
      <c r="V292" t="s">
        <v>5752</v>
      </c>
      <c r="W292" t="s">
        <v>5753</v>
      </c>
      <c r="X292" t="s">
        <v>5754</v>
      </c>
      <c r="Y292" t="s">
        <v>5755</v>
      </c>
      <c r="Z292" t="s">
        <v>5756</v>
      </c>
      <c r="AA292" t="s">
        <v>5757</v>
      </c>
      <c r="AB292" t="s">
        <v>5758</v>
      </c>
      <c r="AC292" t="s">
        <v>5759</v>
      </c>
      <c r="AD292" t="s">
        <v>5760</v>
      </c>
      <c r="AE292" t="s">
        <v>5761</v>
      </c>
      <c r="AF292" t="s">
        <v>74</v>
      </c>
      <c r="AG292">
        <v>73</v>
      </c>
      <c r="AH292">
        <v>0</v>
      </c>
      <c r="AI292">
        <v>0</v>
      </c>
      <c r="AJ292">
        <v>0</v>
      </c>
      <c r="AK292">
        <v>0</v>
      </c>
      <c r="AL292" t="s">
        <v>1208</v>
      </c>
      <c r="AM292" t="s">
        <v>1209</v>
      </c>
      <c r="AN292" t="s">
        <v>1210</v>
      </c>
      <c r="AO292" t="s">
        <v>5762</v>
      </c>
      <c r="AP292" t="s">
        <v>5763</v>
      </c>
      <c r="AQ292" t="s">
        <v>74</v>
      </c>
      <c r="AR292" t="s">
        <v>5764</v>
      </c>
      <c r="AS292" t="s">
        <v>5765</v>
      </c>
      <c r="AT292" t="s">
        <v>1947</v>
      </c>
      <c r="AU292">
        <v>2023</v>
      </c>
      <c r="AV292">
        <v>128</v>
      </c>
      <c r="AW292">
        <v>12</v>
      </c>
      <c r="AX292" t="s">
        <v>74</v>
      </c>
      <c r="AY292" t="s">
        <v>74</v>
      </c>
      <c r="AZ292" t="s">
        <v>74</v>
      </c>
      <c r="BA292" t="s">
        <v>74</v>
      </c>
      <c r="BB292" t="s">
        <v>74</v>
      </c>
      <c r="BC292" t="s">
        <v>74</v>
      </c>
      <c r="BD292" t="s">
        <v>5766</v>
      </c>
      <c r="BE292" t="s">
        <v>5767</v>
      </c>
      <c r="BF292" t="str">
        <f>HYPERLINK("http://dx.doi.org/10.1029/2023JC020111","http://dx.doi.org/10.1029/2023JC020111")</f>
        <v>http://dx.doi.org/10.1029/2023JC020111</v>
      </c>
      <c r="BG292" t="s">
        <v>74</v>
      </c>
      <c r="BH292" t="s">
        <v>74</v>
      </c>
      <c r="BI292">
        <v>19</v>
      </c>
      <c r="BJ292" t="s">
        <v>5060</v>
      </c>
      <c r="BK292" t="s">
        <v>100</v>
      </c>
      <c r="BL292" t="s">
        <v>5060</v>
      </c>
      <c r="BM292" t="s">
        <v>5768</v>
      </c>
      <c r="BN292" t="s">
        <v>74</v>
      </c>
      <c r="BO292" t="s">
        <v>103</v>
      </c>
      <c r="BP292" t="s">
        <v>74</v>
      </c>
      <c r="BQ292" t="s">
        <v>74</v>
      </c>
      <c r="BR292" t="s">
        <v>104</v>
      </c>
      <c r="BS292" t="s">
        <v>5769</v>
      </c>
      <c r="BT292" t="str">
        <f>HYPERLINK("https%3A%2F%2Fwww.webofscience.com%2Fwos%2Fwoscc%2Ffull-record%2FWOS:001128317900001","View Full Record in Web of Science")</f>
        <v>View Full Record in Web of Science</v>
      </c>
    </row>
    <row r="293" spans="1:72" x14ac:dyDescent="0.15">
      <c r="A293" t="s">
        <v>72</v>
      </c>
      <c r="B293" t="s">
        <v>5770</v>
      </c>
      <c r="C293" t="s">
        <v>74</v>
      </c>
      <c r="D293" t="s">
        <v>74</v>
      </c>
      <c r="E293" t="s">
        <v>74</v>
      </c>
      <c r="F293" t="s">
        <v>5771</v>
      </c>
      <c r="G293" t="s">
        <v>74</v>
      </c>
      <c r="H293" t="s">
        <v>74</v>
      </c>
      <c r="I293" t="s">
        <v>5772</v>
      </c>
      <c r="J293" t="s">
        <v>5773</v>
      </c>
      <c r="K293" t="s">
        <v>74</v>
      </c>
      <c r="L293" t="s">
        <v>74</v>
      </c>
      <c r="M293" t="s">
        <v>78</v>
      </c>
      <c r="N293" t="s">
        <v>79</v>
      </c>
      <c r="O293" t="s">
        <v>74</v>
      </c>
      <c r="P293" t="s">
        <v>74</v>
      </c>
      <c r="Q293" t="s">
        <v>74</v>
      </c>
      <c r="R293" t="s">
        <v>74</v>
      </c>
      <c r="S293" t="s">
        <v>74</v>
      </c>
      <c r="T293" t="s">
        <v>5774</v>
      </c>
      <c r="U293" t="s">
        <v>5775</v>
      </c>
      <c r="V293" t="s">
        <v>5776</v>
      </c>
      <c r="W293" t="s">
        <v>5777</v>
      </c>
      <c r="X293" t="s">
        <v>5778</v>
      </c>
      <c r="Y293" t="s">
        <v>5779</v>
      </c>
      <c r="Z293" t="s">
        <v>5780</v>
      </c>
      <c r="AA293" t="s">
        <v>74</v>
      </c>
      <c r="AB293" t="s">
        <v>74</v>
      </c>
      <c r="AC293" t="s">
        <v>5781</v>
      </c>
      <c r="AD293" t="s">
        <v>5782</v>
      </c>
      <c r="AE293" t="s">
        <v>5783</v>
      </c>
      <c r="AF293" t="s">
        <v>74</v>
      </c>
      <c r="AG293">
        <v>127</v>
      </c>
      <c r="AH293">
        <v>0</v>
      </c>
      <c r="AI293">
        <v>0</v>
      </c>
      <c r="AJ293">
        <v>0</v>
      </c>
      <c r="AK293">
        <v>0</v>
      </c>
      <c r="AL293" t="s">
        <v>5695</v>
      </c>
      <c r="AM293" t="s">
        <v>5696</v>
      </c>
      <c r="AN293" t="s">
        <v>5697</v>
      </c>
      <c r="AO293" t="s">
        <v>74</v>
      </c>
      <c r="AP293" t="s">
        <v>5784</v>
      </c>
      <c r="AQ293" t="s">
        <v>74</v>
      </c>
      <c r="AR293" t="s">
        <v>5785</v>
      </c>
      <c r="AS293" t="s">
        <v>5786</v>
      </c>
      <c r="AT293" t="s">
        <v>1947</v>
      </c>
      <c r="AU293">
        <v>2023</v>
      </c>
      <c r="AV293">
        <v>11</v>
      </c>
      <c r="AW293">
        <v>12</v>
      </c>
      <c r="AX293" t="s">
        <v>74</v>
      </c>
      <c r="AY293" t="s">
        <v>74</v>
      </c>
      <c r="AZ293" t="s">
        <v>74</v>
      </c>
      <c r="BA293" t="s">
        <v>74</v>
      </c>
      <c r="BB293" t="s">
        <v>74</v>
      </c>
      <c r="BC293" t="s">
        <v>74</v>
      </c>
      <c r="BD293">
        <v>2304</v>
      </c>
      <c r="BE293" t="s">
        <v>5787</v>
      </c>
      <c r="BF293" t="str">
        <f>HYPERLINK("http://dx.doi.org/10.3390/jmse11122304","http://dx.doi.org/10.3390/jmse11122304")</f>
        <v>http://dx.doi.org/10.3390/jmse11122304</v>
      </c>
      <c r="BG293" t="s">
        <v>74</v>
      </c>
      <c r="BH293" t="s">
        <v>74</v>
      </c>
      <c r="BI293">
        <v>26</v>
      </c>
      <c r="BJ293" t="s">
        <v>5788</v>
      </c>
      <c r="BK293" t="s">
        <v>100</v>
      </c>
      <c r="BL293" t="s">
        <v>5789</v>
      </c>
      <c r="BM293" t="s">
        <v>5790</v>
      </c>
      <c r="BN293" t="s">
        <v>74</v>
      </c>
      <c r="BO293" t="s">
        <v>131</v>
      </c>
      <c r="BP293" t="s">
        <v>74</v>
      </c>
      <c r="BQ293" t="s">
        <v>74</v>
      </c>
      <c r="BR293" t="s">
        <v>104</v>
      </c>
      <c r="BS293" t="s">
        <v>5791</v>
      </c>
      <c r="BT293" t="str">
        <f>HYPERLINK("https%3A%2F%2Fwww.webofscience.com%2Fwos%2Fwoscc%2Ffull-record%2FWOS:001132260900001","View Full Record in Web of Science")</f>
        <v>View Full Record in Web of Science</v>
      </c>
    </row>
    <row r="294" spans="1:72" x14ac:dyDescent="0.15">
      <c r="A294" t="s">
        <v>72</v>
      </c>
      <c r="B294" t="s">
        <v>5792</v>
      </c>
      <c r="C294" t="s">
        <v>74</v>
      </c>
      <c r="D294" t="s">
        <v>74</v>
      </c>
      <c r="E294" t="s">
        <v>74</v>
      </c>
      <c r="F294" t="s">
        <v>5793</v>
      </c>
      <c r="G294" t="s">
        <v>74</v>
      </c>
      <c r="H294" t="s">
        <v>74</v>
      </c>
      <c r="I294" t="s">
        <v>5794</v>
      </c>
      <c r="J294" t="s">
        <v>5795</v>
      </c>
      <c r="K294" t="s">
        <v>74</v>
      </c>
      <c r="L294" t="s">
        <v>74</v>
      </c>
      <c r="M294" t="s">
        <v>78</v>
      </c>
      <c r="N294" t="s">
        <v>79</v>
      </c>
      <c r="O294" t="s">
        <v>74</v>
      </c>
      <c r="P294" t="s">
        <v>74</v>
      </c>
      <c r="Q294" t="s">
        <v>74</v>
      </c>
      <c r="R294" t="s">
        <v>74</v>
      </c>
      <c r="S294" t="s">
        <v>74</v>
      </c>
      <c r="T294" t="s">
        <v>5796</v>
      </c>
      <c r="U294" t="s">
        <v>5797</v>
      </c>
      <c r="V294" t="s">
        <v>5798</v>
      </c>
      <c r="W294" t="s">
        <v>5799</v>
      </c>
      <c r="X294" t="s">
        <v>5800</v>
      </c>
      <c r="Y294" t="s">
        <v>5801</v>
      </c>
      <c r="Z294" t="s">
        <v>5802</v>
      </c>
      <c r="AA294" t="s">
        <v>74</v>
      </c>
      <c r="AB294" t="s">
        <v>74</v>
      </c>
      <c r="AC294" t="s">
        <v>5803</v>
      </c>
      <c r="AD294" t="s">
        <v>5803</v>
      </c>
      <c r="AE294" t="s">
        <v>5804</v>
      </c>
      <c r="AF294" t="s">
        <v>74</v>
      </c>
      <c r="AG294">
        <v>45</v>
      </c>
      <c r="AH294">
        <v>0</v>
      </c>
      <c r="AI294">
        <v>0</v>
      </c>
      <c r="AJ294">
        <v>4</v>
      </c>
      <c r="AK294">
        <v>4</v>
      </c>
      <c r="AL294" t="s">
        <v>5695</v>
      </c>
      <c r="AM294" t="s">
        <v>5696</v>
      </c>
      <c r="AN294" t="s">
        <v>5697</v>
      </c>
      <c r="AO294" t="s">
        <v>74</v>
      </c>
      <c r="AP294" t="s">
        <v>5805</v>
      </c>
      <c r="AQ294" t="s">
        <v>74</v>
      </c>
      <c r="AR294" t="s">
        <v>5806</v>
      </c>
      <c r="AS294" t="s">
        <v>5807</v>
      </c>
      <c r="AT294" t="s">
        <v>1947</v>
      </c>
      <c r="AU294">
        <v>2023</v>
      </c>
      <c r="AV294">
        <v>14</v>
      </c>
      <c r="AW294">
        <v>12</v>
      </c>
      <c r="AX294" t="s">
        <v>74</v>
      </c>
      <c r="AY294" t="s">
        <v>74</v>
      </c>
      <c r="AZ294" t="s">
        <v>74</v>
      </c>
      <c r="BA294" t="s">
        <v>74</v>
      </c>
      <c r="BB294" t="s">
        <v>74</v>
      </c>
      <c r="BC294" t="s">
        <v>74</v>
      </c>
      <c r="BD294">
        <v>1743</v>
      </c>
      <c r="BE294" t="s">
        <v>5808</v>
      </c>
      <c r="BF294" t="str">
        <f>HYPERLINK("http://dx.doi.org/10.3390/atmos14121743","http://dx.doi.org/10.3390/atmos14121743")</f>
        <v>http://dx.doi.org/10.3390/atmos14121743</v>
      </c>
      <c r="BG294" t="s">
        <v>74</v>
      </c>
      <c r="BH294" t="s">
        <v>74</v>
      </c>
      <c r="BI294">
        <v>14</v>
      </c>
      <c r="BJ294" t="s">
        <v>2382</v>
      </c>
      <c r="BK294" t="s">
        <v>100</v>
      </c>
      <c r="BL294" t="s">
        <v>2383</v>
      </c>
      <c r="BM294" t="s">
        <v>5809</v>
      </c>
      <c r="BN294" t="s">
        <v>74</v>
      </c>
      <c r="BO294" t="s">
        <v>265</v>
      </c>
      <c r="BP294" t="s">
        <v>74</v>
      </c>
      <c r="BQ294" t="s">
        <v>74</v>
      </c>
      <c r="BR294" t="s">
        <v>104</v>
      </c>
      <c r="BS294" t="s">
        <v>5810</v>
      </c>
      <c r="BT294" t="str">
        <f>HYPERLINK("https%3A%2F%2Fwww.webofscience.com%2Fwos%2Fwoscc%2Ffull-record%2FWOS:001130534300001","View Full Record in Web of Science")</f>
        <v>View Full Record in Web of Science</v>
      </c>
    </row>
    <row r="295" spans="1:72" x14ac:dyDescent="0.15">
      <c r="A295" t="s">
        <v>72</v>
      </c>
      <c r="B295" t="s">
        <v>5811</v>
      </c>
      <c r="C295" t="s">
        <v>74</v>
      </c>
      <c r="D295" t="s">
        <v>74</v>
      </c>
      <c r="E295" t="s">
        <v>74</v>
      </c>
      <c r="F295" t="s">
        <v>5812</v>
      </c>
      <c r="G295" t="s">
        <v>74</v>
      </c>
      <c r="H295" t="s">
        <v>74</v>
      </c>
      <c r="I295" t="s">
        <v>5813</v>
      </c>
      <c r="J295" t="s">
        <v>5814</v>
      </c>
      <c r="K295" t="s">
        <v>74</v>
      </c>
      <c r="L295" t="s">
        <v>74</v>
      </c>
      <c r="M295" t="s">
        <v>78</v>
      </c>
      <c r="N295" t="s">
        <v>79</v>
      </c>
      <c r="O295" t="s">
        <v>74</v>
      </c>
      <c r="P295" t="s">
        <v>74</v>
      </c>
      <c r="Q295" t="s">
        <v>74</v>
      </c>
      <c r="R295" t="s">
        <v>74</v>
      </c>
      <c r="S295" t="s">
        <v>74</v>
      </c>
      <c r="T295" t="s">
        <v>5815</v>
      </c>
      <c r="U295" t="s">
        <v>74</v>
      </c>
      <c r="V295" t="s">
        <v>5816</v>
      </c>
      <c r="W295" t="s">
        <v>5817</v>
      </c>
      <c r="X295" t="s">
        <v>5818</v>
      </c>
      <c r="Y295" t="s">
        <v>5819</v>
      </c>
      <c r="Z295" t="s">
        <v>5820</v>
      </c>
      <c r="AA295" t="s">
        <v>5821</v>
      </c>
      <c r="AB295" t="s">
        <v>5822</v>
      </c>
      <c r="AC295" t="s">
        <v>5823</v>
      </c>
      <c r="AD295" t="s">
        <v>5823</v>
      </c>
      <c r="AE295" t="s">
        <v>5824</v>
      </c>
      <c r="AF295" t="s">
        <v>74</v>
      </c>
      <c r="AG295">
        <v>32</v>
      </c>
      <c r="AH295">
        <v>0</v>
      </c>
      <c r="AI295">
        <v>0</v>
      </c>
      <c r="AJ295">
        <v>0</v>
      </c>
      <c r="AK295">
        <v>0</v>
      </c>
      <c r="AL295" t="s">
        <v>5695</v>
      </c>
      <c r="AM295" t="s">
        <v>5696</v>
      </c>
      <c r="AN295" t="s">
        <v>5697</v>
      </c>
      <c r="AO295" t="s">
        <v>74</v>
      </c>
      <c r="AP295" t="s">
        <v>5825</v>
      </c>
      <c r="AQ295" t="s">
        <v>74</v>
      </c>
      <c r="AR295" t="s">
        <v>5814</v>
      </c>
      <c r="AS295" t="s">
        <v>5826</v>
      </c>
      <c r="AT295" t="s">
        <v>1947</v>
      </c>
      <c r="AU295">
        <v>2023</v>
      </c>
      <c r="AV295">
        <v>13</v>
      </c>
      <c r="AW295">
        <v>12</v>
      </c>
      <c r="AX295" t="s">
        <v>74</v>
      </c>
      <c r="AY295" t="s">
        <v>74</v>
      </c>
      <c r="AZ295" t="s">
        <v>74</v>
      </c>
      <c r="BA295" t="s">
        <v>74</v>
      </c>
      <c r="BB295" t="s">
        <v>74</v>
      </c>
      <c r="BC295" t="s">
        <v>74</v>
      </c>
      <c r="BD295">
        <v>3038</v>
      </c>
      <c r="BE295" t="s">
        <v>5827</v>
      </c>
      <c r="BF295" t="str">
        <f>HYPERLINK("http://dx.doi.org/10.3390/agronomy13123038","http://dx.doi.org/10.3390/agronomy13123038")</f>
        <v>http://dx.doi.org/10.3390/agronomy13123038</v>
      </c>
      <c r="BG295" t="s">
        <v>74</v>
      </c>
      <c r="BH295" t="s">
        <v>74</v>
      </c>
      <c r="BI295">
        <v>14</v>
      </c>
      <c r="BJ295" t="s">
        <v>5828</v>
      </c>
      <c r="BK295" t="s">
        <v>100</v>
      </c>
      <c r="BL295" t="s">
        <v>5829</v>
      </c>
      <c r="BM295" t="s">
        <v>5830</v>
      </c>
      <c r="BN295" t="s">
        <v>74</v>
      </c>
      <c r="BO295" t="s">
        <v>131</v>
      </c>
      <c r="BP295" t="s">
        <v>74</v>
      </c>
      <c r="BQ295" t="s">
        <v>74</v>
      </c>
      <c r="BR295" t="s">
        <v>104</v>
      </c>
      <c r="BS295" t="s">
        <v>5831</v>
      </c>
      <c r="BT295" t="str">
        <f>HYPERLINK("https%3A%2F%2Fwww.webofscience.com%2Fwos%2Fwoscc%2Ffull-record%2FWOS:001131117800001","View Full Record in Web of Science")</f>
        <v>View Full Record in Web of Science</v>
      </c>
    </row>
    <row r="296" spans="1:72" x14ac:dyDescent="0.15">
      <c r="A296" t="s">
        <v>72</v>
      </c>
      <c r="B296" t="s">
        <v>5832</v>
      </c>
      <c r="C296" t="s">
        <v>74</v>
      </c>
      <c r="D296" t="s">
        <v>74</v>
      </c>
      <c r="E296" t="s">
        <v>74</v>
      </c>
      <c r="F296" t="s">
        <v>5833</v>
      </c>
      <c r="G296" t="s">
        <v>74</v>
      </c>
      <c r="H296" t="s">
        <v>74</v>
      </c>
      <c r="I296" t="s">
        <v>5834</v>
      </c>
      <c r="J296" t="s">
        <v>4233</v>
      </c>
      <c r="K296" t="s">
        <v>74</v>
      </c>
      <c r="L296" t="s">
        <v>74</v>
      </c>
      <c r="M296" t="s">
        <v>78</v>
      </c>
      <c r="N296" t="s">
        <v>79</v>
      </c>
      <c r="O296" t="s">
        <v>74</v>
      </c>
      <c r="P296" t="s">
        <v>74</v>
      </c>
      <c r="Q296" t="s">
        <v>74</v>
      </c>
      <c r="R296" t="s">
        <v>74</v>
      </c>
      <c r="S296" t="s">
        <v>74</v>
      </c>
      <c r="T296" t="s">
        <v>5835</v>
      </c>
      <c r="U296" t="s">
        <v>5836</v>
      </c>
      <c r="V296" t="s">
        <v>5837</v>
      </c>
      <c r="W296" t="s">
        <v>5838</v>
      </c>
      <c r="X296" t="s">
        <v>5839</v>
      </c>
      <c r="Y296" t="s">
        <v>5840</v>
      </c>
      <c r="Z296" t="s">
        <v>5841</v>
      </c>
      <c r="AA296" t="s">
        <v>5842</v>
      </c>
      <c r="AB296" t="s">
        <v>5843</v>
      </c>
      <c r="AC296" t="s">
        <v>5844</v>
      </c>
      <c r="AD296" t="s">
        <v>5845</v>
      </c>
      <c r="AE296" t="s">
        <v>5846</v>
      </c>
      <c r="AF296" t="s">
        <v>74</v>
      </c>
      <c r="AG296">
        <v>120</v>
      </c>
      <c r="AH296">
        <v>1</v>
      </c>
      <c r="AI296">
        <v>1</v>
      </c>
      <c r="AJ296">
        <v>10</v>
      </c>
      <c r="AK296">
        <v>10</v>
      </c>
      <c r="AL296" t="s">
        <v>975</v>
      </c>
      <c r="AM296" t="s">
        <v>976</v>
      </c>
      <c r="AN296" t="s">
        <v>977</v>
      </c>
      <c r="AO296" t="s">
        <v>4246</v>
      </c>
      <c r="AP296" t="s">
        <v>4247</v>
      </c>
      <c r="AQ296" t="s">
        <v>74</v>
      </c>
      <c r="AR296" t="s">
        <v>4248</v>
      </c>
      <c r="AS296" t="s">
        <v>4249</v>
      </c>
      <c r="AT296" t="s">
        <v>3263</v>
      </c>
      <c r="AU296">
        <v>2023</v>
      </c>
      <c r="AV296">
        <v>363</v>
      </c>
      <c r="AW296" t="s">
        <v>74</v>
      </c>
      <c r="AX296" t="s">
        <v>74</v>
      </c>
      <c r="AY296" t="s">
        <v>74</v>
      </c>
      <c r="AZ296" t="s">
        <v>74</v>
      </c>
      <c r="BA296" t="s">
        <v>74</v>
      </c>
      <c r="BB296">
        <v>51</v>
      </c>
      <c r="BC296">
        <v>67</v>
      </c>
      <c r="BD296" t="s">
        <v>74</v>
      </c>
      <c r="BE296" t="s">
        <v>5847</v>
      </c>
      <c r="BF296" t="str">
        <f>HYPERLINK("http://dx.doi.org/10.1016/j.gca.2023.10.029","http://dx.doi.org/10.1016/j.gca.2023.10.029")</f>
        <v>http://dx.doi.org/10.1016/j.gca.2023.10.029</v>
      </c>
      <c r="BG296" t="s">
        <v>74</v>
      </c>
      <c r="BH296" t="s">
        <v>98</v>
      </c>
      <c r="BI296">
        <v>17</v>
      </c>
      <c r="BJ296" t="s">
        <v>4252</v>
      </c>
      <c r="BK296" t="s">
        <v>100</v>
      </c>
      <c r="BL296" t="s">
        <v>4252</v>
      </c>
      <c r="BM296" t="s">
        <v>5848</v>
      </c>
      <c r="BN296" t="s">
        <v>74</v>
      </c>
      <c r="BO296" t="s">
        <v>74</v>
      </c>
      <c r="BP296" t="s">
        <v>74</v>
      </c>
      <c r="BQ296" t="s">
        <v>74</v>
      </c>
      <c r="BR296" t="s">
        <v>104</v>
      </c>
      <c r="BS296" t="s">
        <v>5849</v>
      </c>
      <c r="BT296" t="str">
        <f>HYPERLINK("https%3A%2F%2Fwww.webofscience.com%2Fwos%2Fwoscc%2Ffull-record%2FWOS:001128455000001","View Full Record in Web of Science")</f>
        <v>View Full Record in Web of Science</v>
      </c>
    </row>
    <row r="297" spans="1:72" x14ac:dyDescent="0.15">
      <c r="A297" t="s">
        <v>72</v>
      </c>
      <c r="B297" t="s">
        <v>5850</v>
      </c>
      <c r="C297" t="s">
        <v>74</v>
      </c>
      <c r="D297" t="s">
        <v>74</v>
      </c>
      <c r="E297" t="s">
        <v>74</v>
      </c>
      <c r="F297" t="s">
        <v>5851</v>
      </c>
      <c r="G297" t="s">
        <v>74</v>
      </c>
      <c r="H297" t="s">
        <v>74</v>
      </c>
      <c r="I297" t="s">
        <v>5852</v>
      </c>
      <c r="J297" t="s">
        <v>5853</v>
      </c>
      <c r="K297" t="s">
        <v>74</v>
      </c>
      <c r="L297" t="s">
        <v>74</v>
      </c>
      <c r="M297" t="s">
        <v>78</v>
      </c>
      <c r="N297" t="s">
        <v>79</v>
      </c>
      <c r="O297" t="s">
        <v>74</v>
      </c>
      <c r="P297" t="s">
        <v>74</v>
      </c>
      <c r="Q297" t="s">
        <v>74</v>
      </c>
      <c r="R297" t="s">
        <v>74</v>
      </c>
      <c r="S297" t="s">
        <v>74</v>
      </c>
      <c r="T297" t="s">
        <v>5854</v>
      </c>
      <c r="U297" t="s">
        <v>5855</v>
      </c>
      <c r="V297" t="s">
        <v>5856</v>
      </c>
      <c r="W297" t="s">
        <v>5857</v>
      </c>
      <c r="X297" t="s">
        <v>5858</v>
      </c>
      <c r="Y297" t="s">
        <v>5859</v>
      </c>
      <c r="Z297" t="s">
        <v>5860</v>
      </c>
      <c r="AA297" t="s">
        <v>74</v>
      </c>
      <c r="AB297" t="s">
        <v>74</v>
      </c>
      <c r="AC297" t="s">
        <v>5861</v>
      </c>
      <c r="AD297" t="s">
        <v>5862</v>
      </c>
      <c r="AE297" t="s">
        <v>5863</v>
      </c>
      <c r="AF297" t="s">
        <v>74</v>
      </c>
      <c r="AG297">
        <v>112</v>
      </c>
      <c r="AH297">
        <v>0</v>
      </c>
      <c r="AI297">
        <v>0</v>
      </c>
      <c r="AJ297">
        <v>4</v>
      </c>
      <c r="AK297">
        <v>4</v>
      </c>
      <c r="AL297" t="s">
        <v>5117</v>
      </c>
      <c r="AM297" t="s">
        <v>5118</v>
      </c>
      <c r="AN297" t="s">
        <v>5119</v>
      </c>
      <c r="AO297" t="s">
        <v>5864</v>
      </c>
      <c r="AP297" t="s">
        <v>5865</v>
      </c>
      <c r="AQ297" t="s">
        <v>74</v>
      </c>
      <c r="AR297" t="s">
        <v>5866</v>
      </c>
      <c r="AS297" t="s">
        <v>5867</v>
      </c>
      <c r="AT297" t="s">
        <v>1947</v>
      </c>
      <c r="AU297">
        <v>2023</v>
      </c>
      <c r="AV297">
        <v>53</v>
      </c>
      <c r="AW297">
        <v>12</v>
      </c>
      <c r="AX297" t="s">
        <v>74</v>
      </c>
      <c r="AY297" t="s">
        <v>74</v>
      </c>
      <c r="AZ297" t="s">
        <v>74</v>
      </c>
      <c r="BA297" t="s">
        <v>74</v>
      </c>
      <c r="BB297">
        <v>2861</v>
      </c>
      <c r="BC297">
        <v>2891</v>
      </c>
      <c r="BD297" t="s">
        <v>74</v>
      </c>
      <c r="BE297" t="s">
        <v>5868</v>
      </c>
      <c r="BF297" t="str">
        <f>HYPERLINK("http://dx.doi.org/10.1175/JPO-D-23-0017.1","http://dx.doi.org/10.1175/JPO-D-23-0017.1")</f>
        <v>http://dx.doi.org/10.1175/JPO-D-23-0017.1</v>
      </c>
      <c r="BG297" t="s">
        <v>74</v>
      </c>
      <c r="BH297" t="s">
        <v>74</v>
      </c>
      <c r="BI297">
        <v>31</v>
      </c>
      <c r="BJ297" t="s">
        <v>5060</v>
      </c>
      <c r="BK297" t="s">
        <v>100</v>
      </c>
      <c r="BL297" t="s">
        <v>5060</v>
      </c>
      <c r="BM297" t="s">
        <v>5869</v>
      </c>
      <c r="BN297" t="s">
        <v>74</v>
      </c>
      <c r="BO297" t="s">
        <v>1794</v>
      </c>
      <c r="BP297" t="s">
        <v>74</v>
      </c>
      <c r="BQ297" t="s">
        <v>74</v>
      </c>
      <c r="BR297" t="s">
        <v>104</v>
      </c>
      <c r="BS297" t="s">
        <v>5870</v>
      </c>
      <c r="BT297" t="str">
        <f>HYPERLINK("https%3A%2F%2Fwww.webofscience.com%2Fwos%2Fwoscc%2Ffull-record%2FWOS:001122821800002","View Full Record in Web of Science")</f>
        <v>View Full Record in Web of Science</v>
      </c>
    </row>
    <row r="298" spans="1:72" x14ac:dyDescent="0.15">
      <c r="A298" t="s">
        <v>72</v>
      </c>
      <c r="B298" t="s">
        <v>5871</v>
      </c>
      <c r="C298" t="s">
        <v>74</v>
      </c>
      <c r="D298" t="s">
        <v>74</v>
      </c>
      <c r="E298" t="s">
        <v>74</v>
      </c>
      <c r="F298" t="s">
        <v>5872</v>
      </c>
      <c r="G298" t="s">
        <v>74</v>
      </c>
      <c r="H298" t="s">
        <v>74</v>
      </c>
      <c r="I298" t="s">
        <v>5873</v>
      </c>
      <c r="J298" t="s">
        <v>5853</v>
      </c>
      <c r="K298" t="s">
        <v>74</v>
      </c>
      <c r="L298" t="s">
        <v>74</v>
      </c>
      <c r="M298" t="s">
        <v>78</v>
      </c>
      <c r="N298" t="s">
        <v>79</v>
      </c>
      <c r="O298" t="s">
        <v>74</v>
      </c>
      <c r="P298" t="s">
        <v>74</v>
      </c>
      <c r="Q298" t="s">
        <v>74</v>
      </c>
      <c r="R298" t="s">
        <v>74</v>
      </c>
      <c r="S298" t="s">
        <v>74</v>
      </c>
      <c r="T298" t="s">
        <v>5874</v>
      </c>
      <c r="U298" t="s">
        <v>5875</v>
      </c>
      <c r="V298" t="s">
        <v>5876</v>
      </c>
      <c r="W298" t="s">
        <v>5877</v>
      </c>
      <c r="X298" t="s">
        <v>5878</v>
      </c>
      <c r="Y298" t="s">
        <v>5879</v>
      </c>
      <c r="Z298" t="s">
        <v>5880</v>
      </c>
      <c r="AA298" t="s">
        <v>5881</v>
      </c>
      <c r="AB298" t="s">
        <v>5882</v>
      </c>
      <c r="AC298" t="s">
        <v>5883</v>
      </c>
      <c r="AD298" t="s">
        <v>5884</v>
      </c>
      <c r="AE298" t="s">
        <v>5885</v>
      </c>
      <c r="AF298" t="s">
        <v>74</v>
      </c>
      <c r="AG298">
        <v>41</v>
      </c>
      <c r="AH298">
        <v>0</v>
      </c>
      <c r="AI298">
        <v>0</v>
      </c>
      <c r="AJ298">
        <v>1</v>
      </c>
      <c r="AK298">
        <v>1</v>
      </c>
      <c r="AL298" t="s">
        <v>5117</v>
      </c>
      <c r="AM298" t="s">
        <v>5118</v>
      </c>
      <c r="AN298" t="s">
        <v>5119</v>
      </c>
      <c r="AO298" t="s">
        <v>5864</v>
      </c>
      <c r="AP298" t="s">
        <v>5865</v>
      </c>
      <c r="AQ298" t="s">
        <v>74</v>
      </c>
      <c r="AR298" t="s">
        <v>5866</v>
      </c>
      <c r="AS298" t="s">
        <v>5867</v>
      </c>
      <c r="AT298" t="s">
        <v>1947</v>
      </c>
      <c r="AU298">
        <v>2023</v>
      </c>
      <c r="AV298">
        <v>53</v>
      </c>
      <c r="AW298">
        <v>12</v>
      </c>
      <c r="AX298" t="s">
        <v>74</v>
      </c>
      <c r="AY298" t="s">
        <v>74</v>
      </c>
      <c r="AZ298" t="s">
        <v>74</v>
      </c>
      <c r="BA298" t="s">
        <v>74</v>
      </c>
      <c r="BB298">
        <v>2913</v>
      </c>
      <c r="BC298">
        <v>2932</v>
      </c>
      <c r="BD298" t="s">
        <v>74</v>
      </c>
      <c r="BE298" t="s">
        <v>5886</v>
      </c>
      <c r="BF298" t="str">
        <f>HYPERLINK("http://dx.doi.org/10.1175/JPO-D-23-0011.1","http://dx.doi.org/10.1175/JPO-D-23-0011.1")</f>
        <v>http://dx.doi.org/10.1175/JPO-D-23-0011.1</v>
      </c>
      <c r="BG298" t="s">
        <v>74</v>
      </c>
      <c r="BH298" t="s">
        <v>74</v>
      </c>
      <c r="BI298">
        <v>20</v>
      </c>
      <c r="BJ298" t="s">
        <v>5060</v>
      </c>
      <c r="BK298" t="s">
        <v>100</v>
      </c>
      <c r="BL298" t="s">
        <v>5060</v>
      </c>
      <c r="BM298" t="s">
        <v>5869</v>
      </c>
      <c r="BN298" t="s">
        <v>74</v>
      </c>
      <c r="BO298" t="s">
        <v>74</v>
      </c>
      <c r="BP298" t="s">
        <v>74</v>
      </c>
      <c r="BQ298" t="s">
        <v>74</v>
      </c>
      <c r="BR298" t="s">
        <v>104</v>
      </c>
      <c r="BS298" t="s">
        <v>5887</v>
      </c>
      <c r="BT298" t="str">
        <f>HYPERLINK("https%3A%2F%2Fwww.webofscience.com%2Fwos%2Fwoscc%2Ffull-record%2FWOS:001122821800001","View Full Record in Web of Science")</f>
        <v>View Full Record in Web of Science</v>
      </c>
    </row>
    <row r="299" spans="1:72" x14ac:dyDescent="0.15">
      <c r="A299" t="s">
        <v>72</v>
      </c>
      <c r="B299" t="s">
        <v>5888</v>
      </c>
      <c r="C299" t="s">
        <v>74</v>
      </c>
      <c r="D299" t="s">
        <v>74</v>
      </c>
      <c r="E299" t="s">
        <v>74</v>
      </c>
      <c r="F299" t="s">
        <v>5889</v>
      </c>
      <c r="G299" t="s">
        <v>74</v>
      </c>
      <c r="H299" t="s">
        <v>74</v>
      </c>
      <c r="I299" t="s">
        <v>5890</v>
      </c>
      <c r="J299" t="s">
        <v>3384</v>
      </c>
      <c r="K299" t="s">
        <v>74</v>
      </c>
      <c r="L299" t="s">
        <v>74</v>
      </c>
      <c r="M299" t="s">
        <v>78</v>
      </c>
      <c r="N299" t="s">
        <v>79</v>
      </c>
      <c r="O299" t="s">
        <v>74</v>
      </c>
      <c r="P299" t="s">
        <v>74</v>
      </c>
      <c r="Q299" t="s">
        <v>74</v>
      </c>
      <c r="R299" t="s">
        <v>74</v>
      </c>
      <c r="S299" t="s">
        <v>74</v>
      </c>
      <c r="T299" t="s">
        <v>74</v>
      </c>
      <c r="U299" t="s">
        <v>5891</v>
      </c>
      <c r="V299" t="s">
        <v>5892</v>
      </c>
      <c r="W299" t="s">
        <v>5893</v>
      </c>
      <c r="X299" t="s">
        <v>5894</v>
      </c>
      <c r="Y299" t="s">
        <v>5895</v>
      </c>
      <c r="Z299" t="s">
        <v>5896</v>
      </c>
      <c r="AA299" t="s">
        <v>5897</v>
      </c>
      <c r="AB299" t="s">
        <v>5898</v>
      </c>
      <c r="AC299" t="s">
        <v>5899</v>
      </c>
      <c r="AD299" t="s">
        <v>5900</v>
      </c>
      <c r="AE299" t="s">
        <v>5901</v>
      </c>
      <c r="AF299" t="s">
        <v>74</v>
      </c>
      <c r="AG299">
        <v>68</v>
      </c>
      <c r="AH299">
        <v>1</v>
      </c>
      <c r="AI299">
        <v>1</v>
      </c>
      <c r="AJ299">
        <v>7</v>
      </c>
      <c r="AK299">
        <v>7</v>
      </c>
      <c r="AL299" t="s">
        <v>3057</v>
      </c>
      <c r="AM299" t="s">
        <v>3058</v>
      </c>
      <c r="AN299" t="s">
        <v>3059</v>
      </c>
      <c r="AO299" t="s">
        <v>74</v>
      </c>
      <c r="AP299" t="s">
        <v>3396</v>
      </c>
      <c r="AQ299" t="s">
        <v>74</v>
      </c>
      <c r="AR299" t="s">
        <v>3397</v>
      </c>
      <c r="AS299" t="s">
        <v>3398</v>
      </c>
      <c r="AT299" t="s">
        <v>5341</v>
      </c>
      <c r="AU299">
        <v>2023</v>
      </c>
      <c r="AV299">
        <v>14</v>
      </c>
      <c r="AW299">
        <v>1</v>
      </c>
      <c r="AX299" t="s">
        <v>74</v>
      </c>
      <c r="AY299" t="s">
        <v>74</v>
      </c>
      <c r="AZ299" t="s">
        <v>74</v>
      </c>
      <c r="BA299" t="s">
        <v>74</v>
      </c>
      <c r="BB299" t="s">
        <v>74</v>
      </c>
      <c r="BC299" t="s">
        <v>74</v>
      </c>
      <c r="BD299">
        <v>7949</v>
      </c>
      <c r="BE299" t="s">
        <v>5902</v>
      </c>
      <c r="BF299" t="str">
        <f>HYPERLINK("http://dx.doi.org/10.1038/s41467-023-43584-6","http://dx.doi.org/10.1038/s41467-023-43584-6")</f>
        <v>http://dx.doi.org/10.1038/s41467-023-43584-6</v>
      </c>
      <c r="BG299" t="s">
        <v>74</v>
      </c>
      <c r="BH299" t="s">
        <v>74</v>
      </c>
      <c r="BI299">
        <v>11</v>
      </c>
      <c r="BJ299" t="s">
        <v>1035</v>
      </c>
      <c r="BK299" t="s">
        <v>100</v>
      </c>
      <c r="BL299" t="s">
        <v>1036</v>
      </c>
      <c r="BM299" t="s">
        <v>5903</v>
      </c>
      <c r="BN299">
        <v>38040701</v>
      </c>
      <c r="BO299" t="s">
        <v>200</v>
      </c>
      <c r="BP299" t="s">
        <v>74</v>
      </c>
      <c r="BQ299" t="s">
        <v>74</v>
      </c>
      <c r="BR299" t="s">
        <v>104</v>
      </c>
      <c r="BS299" t="s">
        <v>5904</v>
      </c>
      <c r="BT299" t="str">
        <f>HYPERLINK("https%3A%2F%2Fwww.webofscience.com%2Fwos%2Fwoscc%2Ffull-record%2FWOS:001113452500009","View Full Record in Web of Science")</f>
        <v>View Full Record in Web of Science</v>
      </c>
    </row>
    <row r="300" spans="1:72" x14ac:dyDescent="0.15">
      <c r="A300" t="s">
        <v>72</v>
      </c>
      <c r="B300" t="s">
        <v>5905</v>
      </c>
      <c r="C300" t="s">
        <v>74</v>
      </c>
      <c r="D300" t="s">
        <v>74</v>
      </c>
      <c r="E300" t="s">
        <v>74</v>
      </c>
      <c r="F300" t="s">
        <v>5906</v>
      </c>
      <c r="G300" t="s">
        <v>74</v>
      </c>
      <c r="H300" t="s">
        <v>74</v>
      </c>
      <c r="I300" t="s">
        <v>5907</v>
      </c>
      <c r="J300" t="s">
        <v>1142</v>
      </c>
      <c r="K300" t="s">
        <v>74</v>
      </c>
      <c r="L300" t="s">
        <v>74</v>
      </c>
      <c r="M300" t="s">
        <v>78</v>
      </c>
      <c r="N300" t="s">
        <v>79</v>
      </c>
      <c r="O300" t="s">
        <v>74</v>
      </c>
      <c r="P300" t="s">
        <v>74</v>
      </c>
      <c r="Q300" t="s">
        <v>74</v>
      </c>
      <c r="R300" t="s">
        <v>74</v>
      </c>
      <c r="S300" t="s">
        <v>74</v>
      </c>
      <c r="T300" t="s">
        <v>5908</v>
      </c>
      <c r="U300" t="s">
        <v>5909</v>
      </c>
      <c r="V300" t="s">
        <v>5910</v>
      </c>
      <c r="W300" t="s">
        <v>5911</v>
      </c>
      <c r="X300" t="s">
        <v>5912</v>
      </c>
      <c r="Y300" t="s">
        <v>5913</v>
      </c>
      <c r="Z300" t="s">
        <v>5914</v>
      </c>
      <c r="AA300" t="s">
        <v>74</v>
      </c>
      <c r="AB300" t="s">
        <v>74</v>
      </c>
      <c r="AC300" t="s">
        <v>5915</v>
      </c>
      <c r="AD300" t="s">
        <v>5916</v>
      </c>
      <c r="AE300" t="s">
        <v>5917</v>
      </c>
      <c r="AF300" t="s">
        <v>74</v>
      </c>
      <c r="AG300">
        <v>104</v>
      </c>
      <c r="AH300">
        <v>0</v>
      </c>
      <c r="AI300">
        <v>0</v>
      </c>
      <c r="AJ300">
        <v>3</v>
      </c>
      <c r="AK300">
        <v>3</v>
      </c>
      <c r="AL300" t="s">
        <v>89</v>
      </c>
      <c r="AM300" t="s">
        <v>90</v>
      </c>
      <c r="AN300" t="s">
        <v>91</v>
      </c>
      <c r="AO300" t="s">
        <v>1155</v>
      </c>
      <c r="AP300" t="s">
        <v>1156</v>
      </c>
      <c r="AQ300" t="s">
        <v>74</v>
      </c>
      <c r="AR300" t="s">
        <v>1157</v>
      </c>
      <c r="AS300" t="s">
        <v>1158</v>
      </c>
      <c r="AT300" t="s">
        <v>982</v>
      </c>
      <c r="AU300">
        <v>2024</v>
      </c>
      <c r="AV300">
        <v>248</v>
      </c>
      <c r="AW300" t="s">
        <v>74</v>
      </c>
      <c r="AX300" t="s">
        <v>74</v>
      </c>
      <c r="AY300" t="s">
        <v>74</v>
      </c>
      <c r="AZ300" t="s">
        <v>74</v>
      </c>
      <c r="BA300" t="s">
        <v>74</v>
      </c>
      <c r="BB300" t="s">
        <v>74</v>
      </c>
      <c r="BC300" t="s">
        <v>74</v>
      </c>
      <c r="BD300">
        <v>106938</v>
      </c>
      <c r="BE300" t="s">
        <v>5918</v>
      </c>
      <c r="BF300" t="str">
        <f>HYPERLINK("http://dx.doi.org/10.1016/j.ocecoaman.2023.106938","http://dx.doi.org/10.1016/j.ocecoaman.2023.106938")</f>
        <v>http://dx.doi.org/10.1016/j.ocecoaman.2023.106938</v>
      </c>
      <c r="BG300" t="s">
        <v>74</v>
      </c>
      <c r="BH300" t="s">
        <v>98</v>
      </c>
      <c r="BI300">
        <v>14</v>
      </c>
      <c r="BJ300" t="s">
        <v>1161</v>
      </c>
      <c r="BK300" t="s">
        <v>100</v>
      </c>
      <c r="BL300" t="s">
        <v>1161</v>
      </c>
      <c r="BM300" t="s">
        <v>5919</v>
      </c>
      <c r="BN300" t="s">
        <v>74</v>
      </c>
      <c r="BO300" t="s">
        <v>103</v>
      </c>
      <c r="BP300" t="s">
        <v>74</v>
      </c>
      <c r="BQ300" t="s">
        <v>74</v>
      </c>
      <c r="BR300" t="s">
        <v>104</v>
      </c>
      <c r="BS300" t="s">
        <v>5920</v>
      </c>
      <c r="BT300" t="str">
        <f>HYPERLINK("https%3A%2F%2Fwww.webofscience.com%2Fwos%2Fwoscc%2Ffull-record%2FWOS:001128664200001","View Full Record in Web of Science")</f>
        <v>View Full Record in Web of Science</v>
      </c>
    </row>
    <row r="301" spans="1:72" x14ac:dyDescent="0.15">
      <c r="A301" t="s">
        <v>72</v>
      </c>
      <c r="B301" t="s">
        <v>5921</v>
      </c>
      <c r="C301" t="s">
        <v>74</v>
      </c>
      <c r="D301" t="s">
        <v>74</v>
      </c>
      <c r="E301" t="s">
        <v>74</v>
      </c>
      <c r="F301" t="s">
        <v>5922</v>
      </c>
      <c r="G301" t="s">
        <v>74</v>
      </c>
      <c r="H301" t="s">
        <v>74</v>
      </c>
      <c r="I301" t="s">
        <v>5923</v>
      </c>
      <c r="J301" t="s">
        <v>5706</v>
      </c>
      <c r="K301" t="s">
        <v>74</v>
      </c>
      <c r="L301" t="s">
        <v>74</v>
      </c>
      <c r="M301" t="s">
        <v>78</v>
      </c>
      <c r="N301" t="s">
        <v>79</v>
      </c>
      <c r="O301" t="s">
        <v>74</v>
      </c>
      <c r="P301" t="s">
        <v>74</v>
      </c>
      <c r="Q301" t="s">
        <v>74</v>
      </c>
      <c r="R301" t="s">
        <v>74</v>
      </c>
      <c r="S301" t="s">
        <v>74</v>
      </c>
      <c r="T301" t="s">
        <v>5924</v>
      </c>
      <c r="U301" t="s">
        <v>5925</v>
      </c>
      <c r="V301" t="s">
        <v>5926</v>
      </c>
      <c r="W301" t="s">
        <v>5927</v>
      </c>
      <c r="X301" t="s">
        <v>5928</v>
      </c>
      <c r="Y301" t="s">
        <v>5929</v>
      </c>
      <c r="Z301" t="s">
        <v>5930</v>
      </c>
      <c r="AA301" t="s">
        <v>5931</v>
      </c>
      <c r="AB301" t="s">
        <v>5932</v>
      </c>
      <c r="AC301" t="s">
        <v>5933</v>
      </c>
      <c r="AD301" t="s">
        <v>5933</v>
      </c>
      <c r="AE301" t="s">
        <v>5934</v>
      </c>
      <c r="AF301" t="s">
        <v>74</v>
      </c>
      <c r="AG301">
        <v>56</v>
      </c>
      <c r="AH301">
        <v>0</v>
      </c>
      <c r="AI301">
        <v>0</v>
      </c>
      <c r="AJ301">
        <v>1</v>
      </c>
      <c r="AK301">
        <v>1</v>
      </c>
      <c r="AL301" t="s">
        <v>5695</v>
      </c>
      <c r="AM301" t="s">
        <v>5696</v>
      </c>
      <c r="AN301" t="s">
        <v>5697</v>
      </c>
      <c r="AO301" t="s">
        <v>74</v>
      </c>
      <c r="AP301" t="s">
        <v>5719</v>
      </c>
      <c r="AQ301" t="s">
        <v>74</v>
      </c>
      <c r="AR301" t="s">
        <v>5720</v>
      </c>
      <c r="AS301" t="s">
        <v>5721</v>
      </c>
      <c r="AT301" t="s">
        <v>1947</v>
      </c>
      <c r="AU301">
        <v>2023</v>
      </c>
      <c r="AV301">
        <v>15</v>
      </c>
      <c r="AW301">
        <v>24</v>
      </c>
      <c r="AX301" t="s">
        <v>74</v>
      </c>
      <c r="AY301" t="s">
        <v>74</v>
      </c>
      <c r="AZ301" t="s">
        <v>74</v>
      </c>
      <c r="BA301" t="s">
        <v>74</v>
      </c>
      <c r="BB301" t="s">
        <v>74</v>
      </c>
      <c r="BC301" t="s">
        <v>74</v>
      </c>
      <c r="BD301">
        <v>5695</v>
      </c>
      <c r="BE301" t="s">
        <v>5935</v>
      </c>
      <c r="BF301" t="str">
        <f>HYPERLINK("http://dx.doi.org/10.3390/rs15245695","http://dx.doi.org/10.3390/rs15245695")</f>
        <v>http://dx.doi.org/10.3390/rs15245695</v>
      </c>
      <c r="BG301" t="s">
        <v>74</v>
      </c>
      <c r="BH301" t="s">
        <v>74</v>
      </c>
      <c r="BI301">
        <v>15</v>
      </c>
      <c r="BJ301" t="s">
        <v>5723</v>
      </c>
      <c r="BK301" t="s">
        <v>100</v>
      </c>
      <c r="BL301" t="s">
        <v>5724</v>
      </c>
      <c r="BM301" t="s">
        <v>5936</v>
      </c>
      <c r="BN301" t="s">
        <v>74</v>
      </c>
      <c r="BO301" t="s">
        <v>131</v>
      </c>
      <c r="BP301" t="s">
        <v>74</v>
      </c>
      <c r="BQ301" t="s">
        <v>74</v>
      </c>
      <c r="BR301" t="s">
        <v>104</v>
      </c>
      <c r="BS301" t="s">
        <v>5937</v>
      </c>
      <c r="BT301" t="str">
        <f>HYPERLINK("https%3A%2F%2Fwww.webofscience.com%2Fwos%2Fwoscc%2Ffull-record%2FWOS:001136291200001","View Full Record in Web of Science")</f>
        <v>View Full Record in Web of Science</v>
      </c>
    </row>
    <row r="302" spans="1:72" x14ac:dyDescent="0.15">
      <c r="A302" t="s">
        <v>72</v>
      </c>
      <c r="B302" t="s">
        <v>5938</v>
      </c>
      <c r="C302" t="s">
        <v>74</v>
      </c>
      <c r="D302" t="s">
        <v>74</v>
      </c>
      <c r="E302" t="s">
        <v>74</v>
      </c>
      <c r="F302" t="s">
        <v>5939</v>
      </c>
      <c r="G302" t="s">
        <v>74</v>
      </c>
      <c r="H302" t="s">
        <v>74</v>
      </c>
      <c r="I302" t="s">
        <v>5940</v>
      </c>
      <c r="J302" t="s">
        <v>5941</v>
      </c>
      <c r="K302" t="s">
        <v>74</v>
      </c>
      <c r="L302" t="s">
        <v>74</v>
      </c>
      <c r="M302" t="s">
        <v>78</v>
      </c>
      <c r="N302" t="s">
        <v>79</v>
      </c>
      <c r="O302" t="s">
        <v>74</v>
      </c>
      <c r="P302" t="s">
        <v>74</v>
      </c>
      <c r="Q302" t="s">
        <v>74</v>
      </c>
      <c r="R302" t="s">
        <v>74</v>
      </c>
      <c r="S302" t="s">
        <v>74</v>
      </c>
      <c r="T302" t="s">
        <v>5942</v>
      </c>
      <c r="U302" t="s">
        <v>5943</v>
      </c>
      <c r="V302" t="s">
        <v>5944</v>
      </c>
      <c r="W302" t="s">
        <v>5945</v>
      </c>
      <c r="X302" t="s">
        <v>5946</v>
      </c>
      <c r="Y302" t="s">
        <v>5947</v>
      </c>
      <c r="Z302" t="s">
        <v>5948</v>
      </c>
      <c r="AA302" t="s">
        <v>74</v>
      </c>
      <c r="AB302" t="s">
        <v>5949</v>
      </c>
      <c r="AC302" t="s">
        <v>5950</v>
      </c>
      <c r="AD302" t="s">
        <v>5950</v>
      </c>
      <c r="AE302" t="s">
        <v>5951</v>
      </c>
      <c r="AF302" t="s">
        <v>74</v>
      </c>
      <c r="AG302">
        <v>126</v>
      </c>
      <c r="AH302">
        <v>1</v>
      </c>
      <c r="AI302">
        <v>1</v>
      </c>
      <c r="AJ302">
        <v>10</v>
      </c>
      <c r="AK302">
        <v>10</v>
      </c>
      <c r="AL302" t="s">
        <v>5695</v>
      </c>
      <c r="AM302" t="s">
        <v>5696</v>
      </c>
      <c r="AN302" t="s">
        <v>5697</v>
      </c>
      <c r="AO302" t="s">
        <v>74</v>
      </c>
      <c r="AP302" t="s">
        <v>5952</v>
      </c>
      <c r="AQ302" t="s">
        <v>74</v>
      </c>
      <c r="AR302" t="s">
        <v>5953</v>
      </c>
      <c r="AS302" t="s">
        <v>5954</v>
      </c>
      <c r="AT302" t="s">
        <v>1947</v>
      </c>
      <c r="AU302">
        <v>2023</v>
      </c>
      <c r="AV302">
        <v>8</v>
      </c>
      <c r="AW302">
        <v>12</v>
      </c>
      <c r="AX302" t="s">
        <v>74</v>
      </c>
      <c r="AY302" t="s">
        <v>74</v>
      </c>
      <c r="AZ302" t="s">
        <v>74</v>
      </c>
      <c r="BA302" t="s">
        <v>74</v>
      </c>
      <c r="BB302" t="s">
        <v>74</v>
      </c>
      <c r="BC302" t="s">
        <v>74</v>
      </c>
      <c r="BD302">
        <v>590</v>
      </c>
      <c r="BE302" t="s">
        <v>5955</v>
      </c>
      <c r="BF302" t="str">
        <f>HYPERLINK("http://dx.doi.org/10.3390/fishes8120590","http://dx.doi.org/10.3390/fishes8120590")</f>
        <v>http://dx.doi.org/10.3390/fishes8120590</v>
      </c>
      <c r="BG302" t="s">
        <v>74</v>
      </c>
      <c r="BH302" t="s">
        <v>74</v>
      </c>
      <c r="BI302">
        <v>20</v>
      </c>
      <c r="BJ302" t="s">
        <v>2141</v>
      </c>
      <c r="BK302" t="s">
        <v>100</v>
      </c>
      <c r="BL302" t="s">
        <v>2141</v>
      </c>
      <c r="BM302" t="s">
        <v>5956</v>
      </c>
      <c r="BN302" t="s">
        <v>74</v>
      </c>
      <c r="BO302" t="s">
        <v>131</v>
      </c>
      <c r="BP302" t="s">
        <v>74</v>
      </c>
      <c r="BQ302" t="s">
        <v>74</v>
      </c>
      <c r="BR302" t="s">
        <v>104</v>
      </c>
      <c r="BS302" t="s">
        <v>5957</v>
      </c>
      <c r="BT302" t="str">
        <f>HYPERLINK("https%3A%2F%2Fwww.webofscience.com%2Fwos%2Fwoscc%2Ffull-record%2FWOS:001132421000001","View Full Record in Web of Science")</f>
        <v>View Full Record in Web of Science</v>
      </c>
    </row>
    <row r="303" spans="1:72" x14ac:dyDescent="0.15">
      <c r="A303" t="s">
        <v>72</v>
      </c>
      <c r="B303" t="s">
        <v>5958</v>
      </c>
      <c r="C303" t="s">
        <v>74</v>
      </c>
      <c r="D303" t="s">
        <v>74</v>
      </c>
      <c r="E303" t="s">
        <v>74</v>
      </c>
      <c r="F303" t="s">
        <v>5959</v>
      </c>
      <c r="G303" t="s">
        <v>74</v>
      </c>
      <c r="H303" t="s">
        <v>74</v>
      </c>
      <c r="I303" t="s">
        <v>5960</v>
      </c>
      <c r="J303" t="s">
        <v>5961</v>
      </c>
      <c r="K303" t="s">
        <v>74</v>
      </c>
      <c r="L303" t="s">
        <v>74</v>
      </c>
      <c r="M303" t="s">
        <v>78</v>
      </c>
      <c r="N303" t="s">
        <v>79</v>
      </c>
      <c r="O303" t="s">
        <v>74</v>
      </c>
      <c r="P303" t="s">
        <v>74</v>
      </c>
      <c r="Q303" t="s">
        <v>74</v>
      </c>
      <c r="R303" t="s">
        <v>74</v>
      </c>
      <c r="S303" t="s">
        <v>74</v>
      </c>
      <c r="T303" t="s">
        <v>5962</v>
      </c>
      <c r="U303" t="s">
        <v>5963</v>
      </c>
      <c r="V303" t="s">
        <v>5964</v>
      </c>
      <c r="W303" t="s">
        <v>5965</v>
      </c>
      <c r="X303" t="s">
        <v>5966</v>
      </c>
      <c r="Y303" t="s">
        <v>5967</v>
      </c>
      <c r="Z303" t="s">
        <v>5968</v>
      </c>
      <c r="AA303" t="s">
        <v>74</v>
      </c>
      <c r="AB303" t="s">
        <v>5969</v>
      </c>
      <c r="AC303" t="s">
        <v>74</v>
      </c>
      <c r="AD303" t="s">
        <v>74</v>
      </c>
      <c r="AE303" t="s">
        <v>74</v>
      </c>
      <c r="AF303" t="s">
        <v>74</v>
      </c>
      <c r="AG303">
        <v>134</v>
      </c>
      <c r="AH303">
        <v>0</v>
      </c>
      <c r="AI303">
        <v>0</v>
      </c>
      <c r="AJ303">
        <v>0</v>
      </c>
      <c r="AK303">
        <v>0</v>
      </c>
      <c r="AL303" t="s">
        <v>5695</v>
      </c>
      <c r="AM303" t="s">
        <v>5696</v>
      </c>
      <c r="AN303" t="s">
        <v>5697</v>
      </c>
      <c r="AO303" t="s">
        <v>74</v>
      </c>
      <c r="AP303" t="s">
        <v>5970</v>
      </c>
      <c r="AQ303" t="s">
        <v>74</v>
      </c>
      <c r="AR303" t="s">
        <v>5961</v>
      </c>
      <c r="AS303" t="s">
        <v>5971</v>
      </c>
      <c r="AT303" t="s">
        <v>1947</v>
      </c>
      <c r="AU303">
        <v>2023</v>
      </c>
      <c r="AV303">
        <v>13</v>
      </c>
      <c r="AW303">
        <v>12</v>
      </c>
      <c r="AX303" t="s">
        <v>74</v>
      </c>
      <c r="AY303" t="s">
        <v>74</v>
      </c>
      <c r="AZ303" t="s">
        <v>74</v>
      </c>
      <c r="BA303" t="s">
        <v>74</v>
      </c>
      <c r="BB303" t="s">
        <v>74</v>
      </c>
      <c r="BC303" t="s">
        <v>74</v>
      </c>
      <c r="BD303">
        <v>354</v>
      </c>
      <c r="BE303" t="s">
        <v>5972</v>
      </c>
      <c r="BF303" t="str">
        <f>HYPERLINK("http://dx.doi.org/10.3390/geosciences13120354","http://dx.doi.org/10.3390/geosciences13120354")</f>
        <v>http://dx.doi.org/10.3390/geosciences13120354</v>
      </c>
      <c r="BG303" t="s">
        <v>74</v>
      </c>
      <c r="BH303" t="s">
        <v>74</v>
      </c>
      <c r="BI303">
        <v>54</v>
      </c>
      <c r="BJ303" t="s">
        <v>535</v>
      </c>
      <c r="BK303" t="s">
        <v>912</v>
      </c>
      <c r="BL303" t="s">
        <v>536</v>
      </c>
      <c r="BM303" t="s">
        <v>5973</v>
      </c>
      <c r="BN303" t="s">
        <v>74</v>
      </c>
      <c r="BO303" t="s">
        <v>183</v>
      </c>
      <c r="BP303" t="s">
        <v>74</v>
      </c>
      <c r="BQ303" t="s">
        <v>74</v>
      </c>
      <c r="BR303" t="s">
        <v>104</v>
      </c>
      <c r="BS303" t="s">
        <v>5974</v>
      </c>
      <c r="BT303" t="str">
        <f>HYPERLINK("https%3A%2F%2Fwww.webofscience.com%2Fwos%2Fwoscc%2Ffull-record%2FWOS:001132712000001","View Full Record in Web of Science")</f>
        <v>View Full Record in Web of Science</v>
      </c>
    </row>
    <row r="304" spans="1:72" x14ac:dyDescent="0.15">
      <c r="A304" t="s">
        <v>72</v>
      </c>
      <c r="B304" t="s">
        <v>5975</v>
      </c>
      <c r="C304" t="s">
        <v>74</v>
      </c>
      <c r="D304" t="s">
        <v>74</v>
      </c>
      <c r="E304" t="s">
        <v>74</v>
      </c>
      <c r="F304" t="s">
        <v>5976</v>
      </c>
      <c r="G304" t="s">
        <v>74</v>
      </c>
      <c r="H304" t="s">
        <v>74</v>
      </c>
      <c r="I304" t="s">
        <v>5977</v>
      </c>
      <c r="J304" t="s">
        <v>5773</v>
      </c>
      <c r="K304" t="s">
        <v>74</v>
      </c>
      <c r="L304" t="s">
        <v>74</v>
      </c>
      <c r="M304" t="s">
        <v>78</v>
      </c>
      <c r="N304" t="s">
        <v>79</v>
      </c>
      <c r="O304" t="s">
        <v>74</v>
      </c>
      <c r="P304" t="s">
        <v>74</v>
      </c>
      <c r="Q304" t="s">
        <v>74</v>
      </c>
      <c r="R304" t="s">
        <v>74</v>
      </c>
      <c r="S304" t="s">
        <v>74</v>
      </c>
      <c r="T304" t="s">
        <v>5978</v>
      </c>
      <c r="U304" t="s">
        <v>5979</v>
      </c>
      <c r="V304" t="s">
        <v>5980</v>
      </c>
      <c r="W304" t="s">
        <v>5981</v>
      </c>
      <c r="X304" t="s">
        <v>5982</v>
      </c>
      <c r="Y304" t="s">
        <v>5983</v>
      </c>
      <c r="Z304" t="s">
        <v>5984</v>
      </c>
      <c r="AA304" t="s">
        <v>5985</v>
      </c>
      <c r="AB304" t="s">
        <v>5986</v>
      </c>
      <c r="AC304" t="s">
        <v>5987</v>
      </c>
      <c r="AD304" t="s">
        <v>5987</v>
      </c>
      <c r="AE304" t="s">
        <v>5988</v>
      </c>
      <c r="AF304" t="s">
        <v>74</v>
      </c>
      <c r="AG304">
        <v>32</v>
      </c>
      <c r="AH304">
        <v>0</v>
      </c>
      <c r="AI304">
        <v>0</v>
      </c>
      <c r="AJ304">
        <v>0</v>
      </c>
      <c r="AK304">
        <v>0</v>
      </c>
      <c r="AL304" t="s">
        <v>5695</v>
      </c>
      <c r="AM304" t="s">
        <v>5696</v>
      </c>
      <c r="AN304" t="s">
        <v>5697</v>
      </c>
      <c r="AO304" t="s">
        <v>74</v>
      </c>
      <c r="AP304" t="s">
        <v>5784</v>
      </c>
      <c r="AQ304" t="s">
        <v>74</v>
      </c>
      <c r="AR304" t="s">
        <v>5785</v>
      </c>
      <c r="AS304" t="s">
        <v>5786</v>
      </c>
      <c r="AT304" t="s">
        <v>1947</v>
      </c>
      <c r="AU304">
        <v>2023</v>
      </c>
      <c r="AV304">
        <v>11</v>
      </c>
      <c r="AW304">
        <v>12</v>
      </c>
      <c r="AX304" t="s">
        <v>74</v>
      </c>
      <c r="AY304" t="s">
        <v>74</v>
      </c>
      <c r="AZ304" t="s">
        <v>74</v>
      </c>
      <c r="BA304" t="s">
        <v>74</v>
      </c>
      <c r="BB304" t="s">
        <v>74</v>
      </c>
      <c r="BC304" t="s">
        <v>74</v>
      </c>
      <c r="BD304">
        <v>2370</v>
      </c>
      <c r="BE304" t="s">
        <v>5989</v>
      </c>
      <c r="BF304" t="str">
        <f>HYPERLINK("http://dx.doi.org/10.3390/jmse11122370","http://dx.doi.org/10.3390/jmse11122370")</f>
        <v>http://dx.doi.org/10.3390/jmse11122370</v>
      </c>
      <c r="BG304" t="s">
        <v>74</v>
      </c>
      <c r="BH304" t="s">
        <v>74</v>
      </c>
      <c r="BI304">
        <v>12</v>
      </c>
      <c r="BJ304" t="s">
        <v>5788</v>
      </c>
      <c r="BK304" t="s">
        <v>100</v>
      </c>
      <c r="BL304" t="s">
        <v>5789</v>
      </c>
      <c r="BM304" t="s">
        <v>5990</v>
      </c>
      <c r="BN304" t="s">
        <v>74</v>
      </c>
      <c r="BO304" t="s">
        <v>131</v>
      </c>
      <c r="BP304" t="s">
        <v>74</v>
      </c>
      <c r="BQ304" t="s">
        <v>74</v>
      </c>
      <c r="BR304" t="s">
        <v>104</v>
      </c>
      <c r="BS304" t="s">
        <v>5991</v>
      </c>
      <c r="BT304" t="str">
        <f>HYPERLINK("https%3A%2F%2Fwww.webofscience.com%2Fwos%2Fwoscc%2Ffull-record%2FWOS:001132502900001","View Full Record in Web of Science")</f>
        <v>View Full Record in Web of Science</v>
      </c>
    </row>
    <row r="305" spans="1:72" x14ac:dyDescent="0.15">
      <c r="A305" t="s">
        <v>72</v>
      </c>
      <c r="B305" t="s">
        <v>5992</v>
      </c>
      <c r="C305" t="s">
        <v>74</v>
      </c>
      <c r="D305" t="s">
        <v>74</v>
      </c>
      <c r="E305" t="s">
        <v>74</v>
      </c>
      <c r="F305" t="s">
        <v>5993</v>
      </c>
      <c r="G305" t="s">
        <v>74</v>
      </c>
      <c r="H305" t="s">
        <v>74</v>
      </c>
      <c r="I305" t="s">
        <v>5994</v>
      </c>
      <c r="J305" t="s">
        <v>5995</v>
      </c>
      <c r="K305" t="s">
        <v>74</v>
      </c>
      <c r="L305" t="s">
        <v>74</v>
      </c>
      <c r="M305" t="s">
        <v>78</v>
      </c>
      <c r="N305" t="s">
        <v>79</v>
      </c>
      <c r="O305" t="s">
        <v>74</v>
      </c>
      <c r="P305" t="s">
        <v>74</v>
      </c>
      <c r="Q305" t="s">
        <v>74</v>
      </c>
      <c r="R305" t="s">
        <v>74</v>
      </c>
      <c r="S305" t="s">
        <v>74</v>
      </c>
      <c r="T305" t="s">
        <v>5996</v>
      </c>
      <c r="U305" t="s">
        <v>5997</v>
      </c>
      <c r="V305" t="s">
        <v>5998</v>
      </c>
      <c r="W305" t="s">
        <v>5999</v>
      </c>
      <c r="X305" t="s">
        <v>6000</v>
      </c>
      <c r="Y305" t="s">
        <v>6001</v>
      </c>
      <c r="Z305" t="s">
        <v>6002</v>
      </c>
      <c r="AA305" t="s">
        <v>6003</v>
      </c>
      <c r="AB305" t="s">
        <v>6004</v>
      </c>
      <c r="AC305" t="s">
        <v>4293</v>
      </c>
      <c r="AD305" t="s">
        <v>511</v>
      </c>
      <c r="AE305" t="s">
        <v>2553</v>
      </c>
      <c r="AF305" t="s">
        <v>74</v>
      </c>
      <c r="AG305">
        <v>34</v>
      </c>
      <c r="AH305">
        <v>0</v>
      </c>
      <c r="AI305">
        <v>0</v>
      </c>
      <c r="AJ305">
        <v>4</v>
      </c>
      <c r="AK305">
        <v>4</v>
      </c>
      <c r="AL305" t="s">
        <v>5695</v>
      </c>
      <c r="AM305" t="s">
        <v>5696</v>
      </c>
      <c r="AN305" t="s">
        <v>5697</v>
      </c>
      <c r="AO305" t="s">
        <v>74</v>
      </c>
      <c r="AP305" t="s">
        <v>6005</v>
      </c>
      <c r="AQ305" t="s">
        <v>74</v>
      </c>
      <c r="AR305" t="s">
        <v>5995</v>
      </c>
      <c r="AS305" t="s">
        <v>6006</v>
      </c>
      <c r="AT305" t="s">
        <v>1947</v>
      </c>
      <c r="AU305">
        <v>2023</v>
      </c>
      <c r="AV305">
        <v>15</v>
      </c>
      <c r="AW305">
        <v>12</v>
      </c>
      <c r="AX305" t="s">
        <v>74</v>
      </c>
      <c r="AY305" t="s">
        <v>74</v>
      </c>
      <c r="AZ305" t="s">
        <v>74</v>
      </c>
      <c r="BA305" t="s">
        <v>74</v>
      </c>
      <c r="BB305" t="s">
        <v>74</v>
      </c>
      <c r="BC305" t="s">
        <v>74</v>
      </c>
      <c r="BD305">
        <v>1197</v>
      </c>
      <c r="BE305" t="s">
        <v>6007</v>
      </c>
      <c r="BF305" t="str">
        <f>HYPERLINK("http://dx.doi.org/10.3390/d15121197","http://dx.doi.org/10.3390/d15121197")</f>
        <v>http://dx.doi.org/10.3390/d15121197</v>
      </c>
      <c r="BG305" t="s">
        <v>74</v>
      </c>
      <c r="BH305" t="s">
        <v>74</v>
      </c>
      <c r="BI305">
        <v>13</v>
      </c>
      <c r="BJ305" t="s">
        <v>1261</v>
      </c>
      <c r="BK305" t="s">
        <v>100</v>
      </c>
      <c r="BL305" t="s">
        <v>913</v>
      </c>
      <c r="BM305" t="s">
        <v>6008</v>
      </c>
      <c r="BN305" t="s">
        <v>74</v>
      </c>
      <c r="BO305" t="s">
        <v>131</v>
      </c>
      <c r="BP305" t="s">
        <v>74</v>
      </c>
      <c r="BQ305" t="s">
        <v>74</v>
      </c>
      <c r="BR305" t="s">
        <v>104</v>
      </c>
      <c r="BS305" t="s">
        <v>6009</v>
      </c>
      <c r="BT305" t="str">
        <f>HYPERLINK("https%3A%2F%2Fwww.webofscience.com%2Fwos%2Fwoscc%2Ffull-record%2FWOS:001131307800001","View Full Record in Web of Science")</f>
        <v>View Full Record in Web of Science</v>
      </c>
    </row>
    <row r="306" spans="1:72" x14ac:dyDescent="0.15">
      <c r="A306" t="s">
        <v>72</v>
      </c>
      <c r="B306" t="s">
        <v>6010</v>
      </c>
      <c r="C306" t="s">
        <v>74</v>
      </c>
      <c r="D306" t="s">
        <v>74</v>
      </c>
      <c r="E306" t="s">
        <v>74</v>
      </c>
      <c r="F306" t="s">
        <v>6011</v>
      </c>
      <c r="G306" t="s">
        <v>74</v>
      </c>
      <c r="H306" t="s">
        <v>74</v>
      </c>
      <c r="I306" t="s">
        <v>6012</v>
      </c>
      <c r="J306" t="s">
        <v>6013</v>
      </c>
      <c r="K306" t="s">
        <v>74</v>
      </c>
      <c r="L306" t="s">
        <v>74</v>
      </c>
      <c r="M306" t="s">
        <v>78</v>
      </c>
      <c r="N306" t="s">
        <v>79</v>
      </c>
      <c r="O306" t="s">
        <v>74</v>
      </c>
      <c r="P306" t="s">
        <v>74</v>
      </c>
      <c r="Q306" t="s">
        <v>74</v>
      </c>
      <c r="R306" t="s">
        <v>74</v>
      </c>
      <c r="S306" t="s">
        <v>74</v>
      </c>
      <c r="T306" t="s">
        <v>6014</v>
      </c>
      <c r="U306" t="s">
        <v>6015</v>
      </c>
      <c r="V306" t="s">
        <v>6016</v>
      </c>
      <c r="W306" t="s">
        <v>6017</v>
      </c>
      <c r="X306" t="s">
        <v>6018</v>
      </c>
      <c r="Y306" t="s">
        <v>6019</v>
      </c>
      <c r="Z306" t="s">
        <v>6020</v>
      </c>
      <c r="AA306" t="s">
        <v>6021</v>
      </c>
      <c r="AB306" t="s">
        <v>6022</v>
      </c>
      <c r="AC306" t="s">
        <v>6023</v>
      </c>
      <c r="AD306" t="s">
        <v>6024</v>
      </c>
      <c r="AE306" t="s">
        <v>6025</v>
      </c>
      <c r="AF306" t="s">
        <v>74</v>
      </c>
      <c r="AG306">
        <v>49</v>
      </c>
      <c r="AH306">
        <v>0</v>
      </c>
      <c r="AI306">
        <v>0</v>
      </c>
      <c r="AJ306">
        <v>4</v>
      </c>
      <c r="AK306">
        <v>4</v>
      </c>
      <c r="AL306" t="s">
        <v>5695</v>
      </c>
      <c r="AM306" t="s">
        <v>5696</v>
      </c>
      <c r="AN306" t="s">
        <v>5697</v>
      </c>
      <c r="AO306" t="s">
        <v>74</v>
      </c>
      <c r="AP306" t="s">
        <v>6026</v>
      </c>
      <c r="AQ306" t="s">
        <v>74</v>
      </c>
      <c r="AR306" t="s">
        <v>6013</v>
      </c>
      <c r="AS306" t="s">
        <v>6027</v>
      </c>
      <c r="AT306" t="s">
        <v>1947</v>
      </c>
      <c r="AU306">
        <v>2023</v>
      </c>
      <c r="AV306">
        <v>12</v>
      </c>
      <c r="AW306">
        <v>24</v>
      </c>
      <c r="AX306" t="s">
        <v>74</v>
      </c>
      <c r="AY306" t="s">
        <v>74</v>
      </c>
      <c r="AZ306" t="s">
        <v>74</v>
      </c>
      <c r="BA306" t="s">
        <v>74</v>
      </c>
      <c r="BB306" t="s">
        <v>74</v>
      </c>
      <c r="BC306" t="s">
        <v>74</v>
      </c>
      <c r="BD306">
        <v>4496</v>
      </c>
      <c r="BE306" t="s">
        <v>6028</v>
      </c>
      <c r="BF306" t="str">
        <f>HYPERLINK("http://dx.doi.org/10.3390/foods12244496","http://dx.doi.org/10.3390/foods12244496")</f>
        <v>http://dx.doi.org/10.3390/foods12244496</v>
      </c>
      <c r="BG306" t="s">
        <v>74</v>
      </c>
      <c r="BH306" t="s">
        <v>74</v>
      </c>
      <c r="BI306">
        <v>14</v>
      </c>
      <c r="BJ306" t="s">
        <v>6029</v>
      </c>
      <c r="BK306" t="s">
        <v>100</v>
      </c>
      <c r="BL306" t="s">
        <v>6029</v>
      </c>
      <c r="BM306" t="s">
        <v>6030</v>
      </c>
      <c r="BN306">
        <v>38137300</v>
      </c>
      <c r="BO306" t="s">
        <v>200</v>
      </c>
      <c r="BP306" t="s">
        <v>74</v>
      </c>
      <c r="BQ306" t="s">
        <v>74</v>
      </c>
      <c r="BR306" t="s">
        <v>104</v>
      </c>
      <c r="BS306" t="s">
        <v>6031</v>
      </c>
      <c r="BT306" t="str">
        <f>HYPERLINK("https%3A%2F%2Fwww.webofscience.com%2Fwos%2Fwoscc%2Ffull-record%2FWOS:001132658200001","View Full Record in Web of Science")</f>
        <v>View Full Record in Web of Science</v>
      </c>
    </row>
    <row r="307" spans="1:72" x14ac:dyDescent="0.15">
      <c r="A307" t="s">
        <v>72</v>
      </c>
      <c r="B307" t="s">
        <v>6032</v>
      </c>
      <c r="C307" t="s">
        <v>74</v>
      </c>
      <c r="D307" t="s">
        <v>74</v>
      </c>
      <c r="E307" t="s">
        <v>74</v>
      </c>
      <c r="F307" t="s">
        <v>6033</v>
      </c>
      <c r="G307" t="s">
        <v>74</v>
      </c>
      <c r="H307" t="s">
        <v>74</v>
      </c>
      <c r="I307" t="s">
        <v>6034</v>
      </c>
      <c r="J307" t="s">
        <v>6035</v>
      </c>
      <c r="K307" t="s">
        <v>74</v>
      </c>
      <c r="L307" t="s">
        <v>74</v>
      </c>
      <c r="M307" t="s">
        <v>78</v>
      </c>
      <c r="N307" t="s">
        <v>79</v>
      </c>
      <c r="O307" t="s">
        <v>74</v>
      </c>
      <c r="P307" t="s">
        <v>74</v>
      </c>
      <c r="Q307" t="s">
        <v>74</v>
      </c>
      <c r="R307" t="s">
        <v>74</v>
      </c>
      <c r="S307" t="s">
        <v>74</v>
      </c>
      <c r="T307" t="s">
        <v>6036</v>
      </c>
      <c r="U307" t="s">
        <v>6037</v>
      </c>
      <c r="V307" t="s">
        <v>6038</v>
      </c>
      <c r="W307" t="s">
        <v>6039</v>
      </c>
      <c r="X307" t="s">
        <v>6040</v>
      </c>
      <c r="Y307" t="s">
        <v>6041</v>
      </c>
      <c r="Z307" t="s">
        <v>6042</v>
      </c>
      <c r="AA307" t="s">
        <v>74</v>
      </c>
      <c r="AB307" t="s">
        <v>6043</v>
      </c>
      <c r="AC307" t="s">
        <v>6044</v>
      </c>
      <c r="AD307" t="s">
        <v>6044</v>
      </c>
      <c r="AE307" t="s">
        <v>2553</v>
      </c>
      <c r="AF307" t="s">
        <v>74</v>
      </c>
      <c r="AG307">
        <v>47</v>
      </c>
      <c r="AH307">
        <v>0</v>
      </c>
      <c r="AI307">
        <v>0</v>
      </c>
      <c r="AJ307">
        <v>1</v>
      </c>
      <c r="AK307">
        <v>1</v>
      </c>
      <c r="AL307" t="s">
        <v>5695</v>
      </c>
      <c r="AM307" t="s">
        <v>5696</v>
      </c>
      <c r="AN307" t="s">
        <v>5697</v>
      </c>
      <c r="AO307" t="s">
        <v>74</v>
      </c>
      <c r="AP307" t="s">
        <v>6045</v>
      </c>
      <c r="AQ307" t="s">
        <v>74</v>
      </c>
      <c r="AR307" t="s">
        <v>6035</v>
      </c>
      <c r="AS307" t="s">
        <v>6046</v>
      </c>
      <c r="AT307" t="s">
        <v>1947</v>
      </c>
      <c r="AU307">
        <v>2023</v>
      </c>
      <c r="AV307">
        <v>9</v>
      </c>
      <c r="AW307">
        <v>12</v>
      </c>
      <c r="AX307" t="s">
        <v>74</v>
      </c>
      <c r="AY307" t="s">
        <v>74</v>
      </c>
      <c r="AZ307" t="s">
        <v>74</v>
      </c>
      <c r="BA307" t="s">
        <v>74</v>
      </c>
      <c r="BB307" t="s">
        <v>74</v>
      </c>
      <c r="BC307" t="s">
        <v>74</v>
      </c>
      <c r="BD307">
        <v>1254</v>
      </c>
      <c r="BE307" t="s">
        <v>6047</v>
      </c>
      <c r="BF307" t="str">
        <f>HYPERLINK("http://dx.doi.org/10.3390/horticulturae9121254","http://dx.doi.org/10.3390/horticulturae9121254")</f>
        <v>http://dx.doi.org/10.3390/horticulturae9121254</v>
      </c>
      <c r="BG307" t="s">
        <v>74</v>
      </c>
      <c r="BH307" t="s">
        <v>74</v>
      </c>
      <c r="BI307">
        <v>13</v>
      </c>
      <c r="BJ307" t="s">
        <v>6048</v>
      </c>
      <c r="BK307" t="s">
        <v>100</v>
      </c>
      <c r="BL307" t="s">
        <v>6049</v>
      </c>
      <c r="BM307" t="s">
        <v>6050</v>
      </c>
      <c r="BN307" t="s">
        <v>74</v>
      </c>
      <c r="BO307" t="s">
        <v>131</v>
      </c>
      <c r="BP307" t="s">
        <v>74</v>
      </c>
      <c r="BQ307" t="s">
        <v>74</v>
      </c>
      <c r="BR307" t="s">
        <v>104</v>
      </c>
      <c r="BS307" t="s">
        <v>6051</v>
      </c>
      <c r="BT307" t="str">
        <f>HYPERLINK("https%3A%2F%2Fwww.webofscience.com%2Fwos%2Fwoscc%2Ffull-record%2FWOS:001132691000001","View Full Record in Web of Science")</f>
        <v>View Full Record in Web of Science</v>
      </c>
    </row>
    <row r="308" spans="1:72" x14ac:dyDescent="0.15">
      <c r="A308" t="s">
        <v>72</v>
      </c>
      <c r="B308" t="s">
        <v>6052</v>
      </c>
      <c r="C308" t="s">
        <v>74</v>
      </c>
      <c r="D308" t="s">
        <v>74</v>
      </c>
      <c r="E308" t="s">
        <v>74</v>
      </c>
      <c r="F308" t="s">
        <v>6053</v>
      </c>
      <c r="G308" t="s">
        <v>74</v>
      </c>
      <c r="H308" t="s">
        <v>74</v>
      </c>
      <c r="I308" t="s">
        <v>6054</v>
      </c>
      <c r="J308" t="s">
        <v>5706</v>
      </c>
      <c r="K308" t="s">
        <v>74</v>
      </c>
      <c r="L308" t="s">
        <v>74</v>
      </c>
      <c r="M308" t="s">
        <v>78</v>
      </c>
      <c r="N308" t="s">
        <v>79</v>
      </c>
      <c r="O308" t="s">
        <v>74</v>
      </c>
      <c r="P308" t="s">
        <v>74</v>
      </c>
      <c r="Q308" t="s">
        <v>74</v>
      </c>
      <c r="R308" t="s">
        <v>74</v>
      </c>
      <c r="S308" t="s">
        <v>74</v>
      </c>
      <c r="T308" t="s">
        <v>6055</v>
      </c>
      <c r="U308" t="s">
        <v>6056</v>
      </c>
      <c r="V308" t="s">
        <v>6057</v>
      </c>
      <c r="W308" t="s">
        <v>6058</v>
      </c>
      <c r="X308" t="s">
        <v>6059</v>
      </c>
      <c r="Y308" t="s">
        <v>6060</v>
      </c>
      <c r="Z308" t="s">
        <v>6061</v>
      </c>
      <c r="AA308" t="s">
        <v>6062</v>
      </c>
      <c r="AB308" t="s">
        <v>6063</v>
      </c>
      <c r="AC308" t="s">
        <v>6064</v>
      </c>
      <c r="AD308" t="s">
        <v>6064</v>
      </c>
      <c r="AE308" t="s">
        <v>6065</v>
      </c>
      <c r="AF308" t="s">
        <v>74</v>
      </c>
      <c r="AG308">
        <v>37</v>
      </c>
      <c r="AH308">
        <v>0</v>
      </c>
      <c r="AI308">
        <v>0</v>
      </c>
      <c r="AJ308">
        <v>0</v>
      </c>
      <c r="AK308">
        <v>0</v>
      </c>
      <c r="AL308" t="s">
        <v>5695</v>
      </c>
      <c r="AM308" t="s">
        <v>5696</v>
      </c>
      <c r="AN308" t="s">
        <v>5697</v>
      </c>
      <c r="AO308" t="s">
        <v>74</v>
      </c>
      <c r="AP308" t="s">
        <v>5719</v>
      </c>
      <c r="AQ308" t="s">
        <v>74</v>
      </c>
      <c r="AR308" t="s">
        <v>5720</v>
      </c>
      <c r="AS308" t="s">
        <v>5721</v>
      </c>
      <c r="AT308" t="s">
        <v>1947</v>
      </c>
      <c r="AU308">
        <v>2023</v>
      </c>
      <c r="AV308">
        <v>15</v>
      </c>
      <c r="AW308">
        <v>24</v>
      </c>
      <c r="AX308" t="s">
        <v>74</v>
      </c>
      <c r="AY308" t="s">
        <v>74</v>
      </c>
      <c r="AZ308" t="s">
        <v>74</v>
      </c>
      <c r="BA308" t="s">
        <v>74</v>
      </c>
      <c r="BB308" t="s">
        <v>74</v>
      </c>
      <c r="BC308" t="s">
        <v>74</v>
      </c>
      <c r="BD308">
        <v>5652</v>
      </c>
      <c r="BE308" t="s">
        <v>6066</v>
      </c>
      <c r="BF308" t="str">
        <f>HYPERLINK("http://dx.doi.org/10.3390/rs15245652","http://dx.doi.org/10.3390/rs15245652")</f>
        <v>http://dx.doi.org/10.3390/rs15245652</v>
      </c>
      <c r="BG308" t="s">
        <v>74</v>
      </c>
      <c r="BH308" t="s">
        <v>74</v>
      </c>
      <c r="BI308">
        <v>15</v>
      </c>
      <c r="BJ308" t="s">
        <v>5723</v>
      </c>
      <c r="BK308" t="s">
        <v>100</v>
      </c>
      <c r="BL308" t="s">
        <v>5724</v>
      </c>
      <c r="BM308" t="s">
        <v>6067</v>
      </c>
      <c r="BN308" t="s">
        <v>74</v>
      </c>
      <c r="BO308" t="s">
        <v>131</v>
      </c>
      <c r="BP308" t="s">
        <v>74</v>
      </c>
      <c r="BQ308" t="s">
        <v>74</v>
      </c>
      <c r="BR308" t="s">
        <v>104</v>
      </c>
      <c r="BS308" t="s">
        <v>6068</v>
      </c>
      <c r="BT308" t="str">
        <f>HYPERLINK("https%3A%2F%2Fwww.webofscience.com%2Fwos%2Fwoscc%2Ffull-record%2FWOS:001132401600001","View Full Record in Web of Science")</f>
        <v>View Full Record in Web of Science</v>
      </c>
    </row>
    <row r="309" spans="1:72" x14ac:dyDescent="0.15">
      <c r="A309" t="s">
        <v>72</v>
      </c>
      <c r="B309" t="s">
        <v>6069</v>
      </c>
      <c r="C309" t="s">
        <v>74</v>
      </c>
      <c r="D309" t="s">
        <v>74</v>
      </c>
      <c r="E309" t="s">
        <v>74</v>
      </c>
      <c r="F309" t="s">
        <v>6070</v>
      </c>
      <c r="G309" t="s">
        <v>74</v>
      </c>
      <c r="H309" t="s">
        <v>74</v>
      </c>
      <c r="I309" t="s">
        <v>6071</v>
      </c>
      <c r="J309" t="s">
        <v>5749</v>
      </c>
      <c r="K309" t="s">
        <v>74</v>
      </c>
      <c r="L309" t="s">
        <v>74</v>
      </c>
      <c r="M309" t="s">
        <v>78</v>
      </c>
      <c r="N309" t="s">
        <v>79</v>
      </c>
      <c r="O309" t="s">
        <v>74</v>
      </c>
      <c r="P309" t="s">
        <v>74</v>
      </c>
      <c r="Q309" t="s">
        <v>74</v>
      </c>
      <c r="R309" t="s">
        <v>74</v>
      </c>
      <c r="S309" t="s">
        <v>74</v>
      </c>
      <c r="T309" t="s">
        <v>6072</v>
      </c>
      <c r="U309" t="s">
        <v>6073</v>
      </c>
      <c r="V309" t="s">
        <v>6074</v>
      </c>
      <c r="W309" t="s">
        <v>6075</v>
      </c>
      <c r="X309" t="s">
        <v>6076</v>
      </c>
      <c r="Y309" t="s">
        <v>6077</v>
      </c>
      <c r="Z309" t="s">
        <v>6078</v>
      </c>
      <c r="AA309" t="s">
        <v>74</v>
      </c>
      <c r="AB309" t="s">
        <v>6079</v>
      </c>
      <c r="AC309" t="s">
        <v>6080</v>
      </c>
      <c r="AD309" t="s">
        <v>6081</v>
      </c>
      <c r="AE309" t="s">
        <v>6082</v>
      </c>
      <c r="AF309" t="s">
        <v>74</v>
      </c>
      <c r="AG309">
        <v>83</v>
      </c>
      <c r="AH309">
        <v>0</v>
      </c>
      <c r="AI309">
        <v>0</v>
      </c>
      <c r="AJ309">
        <v>4</v>
      </c>
      <c r="AK309">
        <v>4</v>
      </c>
      <c r="AL309" t="s">
        <v>1208</v>
      </c>
      <c r="AM309" t="s">
        <v>1209</v>
      </c>
      <c r="AN309" t="s">
        <v>1210</v>
      </c>
      <c r="AO309" t="s">
        <v>5762</v>
      </c>
      <c r="AP309" t="s">
        <v>5763</v>
      </c>
      <c r="AQ309" t="s">
        <v>74</v>
      </c>
      <c r="AR309" t="s">
        <v>5764</v>
      </c>
      <c r="AS309" t="s">
        <v>5765</v>
      </c>
      <c r="AT309" t="s">
        <v>1947</v>
      </c>
      <c r="AU309">
        <v>2023</v>
      </c>
      <c r="AV309">
        <v>128</v>
      </c>
      <c r="AW309">
        <v>12</v>
      </c>
      <c r="AX309" t="s">
        <v>74</v>
      </c>
      <c r="AY309" t="s">
        <v>74</v>
      </c>
      <c r="AZ309" t="s">
        <v>74</v>
      </c>
      <c r="BA309" t="s">
        <v>74</v>
      </c>
      <c r="BB309" t="s">
        <v>74</v>
      </c>
      <c r="BC309" t="s">
        <v>74</v>
      </c>
      <c r="BD309" t="s">
        <v>6083</v>
      </c>
      <c r="BE309" t="s">
        <v>6084</v>
      </c>
      <c r="BF309" t="str">
        <f>HYPERLINK("http://dx.doi.org/10.1029/2023JC020337","http://dx.doi.org/10.1029/2023JC020337")</f>
        <v>http://dx.doi.org/10.1029/2023JC020337</v>
      </c>
      <c r="BG309" t="s">
        <v>74</v>
      </c>
      <c r="BH309" t="s">
        <v>74</v>
      </c>
      <c r="BI309">
        <v>18</v>
      </c>
      <c r="BJ309" t="s">
        <v>5060</v>
      </c>
      <c r="BK309" t="s">
        <v>100</v>
      </c>
      <c r="BL309" t="s">
        <v>5060</v>
      </c>
      <c r="BM309" t="s">
        <v>6085</v>
      </c>
      <c r="BN309" t="s">
        <v>74</v>
      </c>
      <c r="BO309" t="s">
        <v>103</v>
      </c>
      <c r="BP309" t="s">
        <v>74</v>
      </c>
      <c r="BQ309" t="s">
        <v>74</v>
      </c>
      <c r="BR309" t="s">
        <v>104</v>
      </c>
      <c r="BS309" t="s">
        <v>6086</v>
      </c>
      <c r="BT309" t="str">
        <f>HYPERLINK("https%3A%2F%2Fwww.webofscience.com%2Fwos%2Fwoscc%2Ffull-record%2FWOS:001129978600001","View Full Record in Web of Science")</f>
        <v>View Full Record in Web of Science</v>
      </c>
    </row>
    <row r="310" spans="1:72" x14ac:dyDescent="0.15">
      <c r="A310" t="s">
        <v>72</v>
      </c>
      <c r="B310" t="s">
        <v>6087</v>
      </c>
      <c r="C310" t="s">
        <v>74</v>
      </c>
      <c r="D310" t="s">
        <v>74</v>
      </c>
      <c r="E310" t="s">
        <v>74</v>
      </c>
      <c r="F310" t="s">
        <v>6088</v>
      </c>
      <c r="G310" t="s">
        <v>74</v>
      </c>
      <c r="H310" t="s">
        <v>74</v>
      </c>
      <c r="I310" t="s">
        <v>6089</v>
      </c>
      <c r="J310" t="s">
        <v>6090</v>
      </c>
      <c r="K310" t="s">
        <v>74</v>
      </c>
      <c r="L310" t="s">
        <v>74</v>
      </c>
      <c r="M310" t="s">
        <v>78</v>
      </c>
      <c r="N310" t="s">
        <v>79</v>
      </c>
      <c r="O310" t="s">
        <v>74</v>
      </c>
      <c r="P310" t="s">
        <v>74</v>
      </c>
      <c r="Q310" t="s">
        <v>74</v>
      </c>
      <c r="R310" t="s">
        <v>74</v>
      </c>
      <c r="S310" t="s">
        <v>74</v>
      </c>
      <c r="T310" t="s">
        <v>6091</v>
      </c>
      <c r="U310" t="s">
        <v>6092</v>
      </c>
      <c r="V310" t="s">
        <v>6093</v>
      </c>
      <c r="W310" t="s">
        <v>6094</v>
      </c>
      <c r="X310" t="s">
        <v>6095</v>
      </c>
      <c r="Y310" t="s">
        <v>6096</v>
      </c>
      <c r="Z310" t="s">
        <v>6097</v>
      </c>
      <c r="AA310" t="s">
        <v>6098</v>
      </c>
      <c r="AB310" t="s">
        <v>74</v>
      </c>
      <c r="AC310" t="s">
        <v>6099</v>
      </c>
      <c r="AD310" t="s">
        <v>6100</v>
      </c>
      <c r="AE310" t="s">
        <v>6101</v>
      </c>
      <c r="AF310" t="s">
        <v>74</v>
      </c>
      <c r="AG310">
        <v>55</v>
      </c>
      <c r="AH310">
        <v>0</v>
      </c>
      <c r="AI310">
        <v>0</v>
      </c>
      <c r="AJ310">
        <v>2</v>
      </c>
      <c r="AK310">
        <v>2</v>
      </c>
      <c r="AL310" t="s">
        <v>947</v>
      </c>
      <c r="AM310" t="s">
        <v>948</v>
      </c>
      <c r="AN310" t="s">
        <v>949</v>
      </c>
      <c r="AO310" t="s">
        <v>6102</v>
      </c>
      <c r="AP310" t="s">
        <v>6103</v>
      </c>
      <c r="AQ310" t="s">
        <v>74</v>
      </c>
      <c r="AR310" t="s">
        <v>6104</v>
      </c>
      <c r="AS310" t="s">
        <v>6105</v>
      </c>
      <c r="AT310" t="s">
        <v>1082</v>
      </c>
      <c r="AU310">
        <v>2024</v>
      </c>
      <c r="AV310">
        <v>243</v>
      </c>
      <c r="AW310" t="s">
        <v>74</v>
      </c>
      <c r="AX310" t="s">
        <v>74</v>
      </c>
      <c r="AY310" t="s">
        <v>74</v>
      </c>
      <c r="AZ310" t="s">
        <v>74</v>
      </c>
      <c r="BA310" t="s">
        <v>74</v>
      </c>
      <c r="BB310" t="s">
        <v>74</v>
      </c>
      <c r="BC310" t="s">
        <v>74</v>
      </c>
      <c r="BD310">
        <v>103949</v>
      </c>
      <c r="BE310" t="s">
        <v>6106</v>
      </c>
      <c r="BF310" t="str">
        <f>HYPERLINK("http://dx.doi.org/10.1016/j.jmarsys.2023.103949","http://dx.doi.org/10.1016/j.jmarsys.2023.103949")</f>
        <v>http://dx.doi.org/10.1016/j.jmarsys.2023.103949</v>
      </c>
      <c r="BG310" t="s">
        <v>74</v>
      </c>
      <c r="BH310" t="s">
        <v>98</v>
      </c>
      <c r="BI310">
        <v>12</v>
      </c>
      <c r="BJ310" t="s">
        <v>6107</v>
      </c>
      <c r="BK310" t="s">
        <v>100</v>
      </c>
      <c r="BL310" t="s">
        <v>6108</v>
      </c>
      <c r="BM310" t="s">
        <v>6109</v>
      </c>
      <c r="BN310" t="s">
        <v>74</v>
      </c>
      <c r="BO310" t="s">
        <v>74</v>
      </c>
      <c r="BP310" t="s">
        <v>74</v>
      </c>
      <c r="BQ310" t="s">
        <v>74</v>
      </c>
      <c r="BR310" t="s">
        <v>104</v>
      </c>
      <c r="BS310" t="s">
        <v>6110</v>
      </c>
      <c r="BT310" t="str">
        <f>HYPERLINK("https%3A%2F%2Fwww.webofscience.com%2Fwos%2Fwoscc%2Ffull-record%2FWOS:001129986100001","View Full Record in Web of Science")</f>
        <v>View Full Record in Web of Science</v>
      </c>
    </row>
    <row r="311" spans="1:72" x14ac:dyDescent="0.15">
      <c r="A311" t="s">
        <v>72</v>
      </c>
      <c r="B311" t="s">
        <v>6111</v>
      </c>
      <c r="C311" t="s">
        <v>74</v>
      </c>
      <c r="D311" t="s">
        <v>74</v>
      </c>
      <c r="E311" t="s">
        <v>74</v>
      </c>
      <c r="F311" t="s">
        <v>6112</v>
      </c>
      <c r="G311" t="s">
        <v>74</v>
      </c>
      <c r="H311" t="s">
        <v>74</v>
      </c>
      <c r="I311" t="s">
        <v>6113</v>
      </c>
      <c r="J311" t="s">
        <v>5706</v>
      </c>
      <c r="K311" t="s">
        <v>74</v>
      </c>
      <c r="L311" t="s">
        <v>74</v>
      </c>
      <c r="M311" t="s">
        <v>78</v>
      </c>
      <c r="N311" t="s">
        <v>79</v>
      </c>
      <c r="O311" t="s">
        <v>74</v>
      </c>
      <c r="P311" t="s">
        <v>74</v>
      </c>
      <c r="Q311" t="s">
        <v>74</v>
      </c>
      <c r="R311" t="s">
        <v>74</v>
      </c>
      <c r="S311" t="s">
        <v>74</v>
      </c>
      <c r="T311" t="s">
        <v>6114</v>
      </c>
      <c r="U311" t="s">
        <v>6115</v>
      </c>
      <c r="V311" t="s">
        <v>6116</v>
      </c>
      <c r="W311" t="s">
        <v>6117</v>
      </c>
      <c r="X311" t="s">
        <v>2211</v>
      </c>
      <c r="Y311" t="s">
        <v>6118</v>
      </c>
      <c r="Z311" t="s">
        <v>6119</v>
      </c>
      <c r="AA311" t="s">
        <v>74</v>
      </c>
      <c r="AB311" t="s">
        <v>74</v>
      </c>
      <c r="AC311" t="s">
        <v>6120</v>
      </c>
      <c r="AD311" t="s">
        <v>6120</v>
      </c>
      <c r="AE311" t="s">
        <v>6121</v>
      </c>
      <c r="AF311" t="s">
        <v>74</v>
      </c>
      <c r="AG311">
        <v>60</v>
      </c>
      <c r="AH311">
        <v>1</v>
      </c>
      <c r="AI311">
        <v>1</v>
      </c>
      <c r="AJ311">
        <v>3</v>
      </c>
      <c r="AK311">
        <v>3</v>
      </c>
      <c r="AL311" t="s">
        <v>5695</v>
      </c>
      <c r="AM311" t="s">
        <v>5696</v>
      </c>
      <c r="AN311" t="s">
        <v>5697</v>
      </c>
      <c r="AO311" t="s">
        <v>74</v>
      </c>
      <c r="AP311" t="s">
        <v>5719</v>
      </c>
      <c r="AQ311" t="s">
        <v>74</v>
      </c>
      <c r="AR311" t="s">
        <v>5720</v>
      </c>
      <c r="AS311" t="s">
        <v>5721</v>
      </c>
      <c r="AT311" t="s">
        <v>1947</v>
      </c>
      <c r="AU311">
        <v>2023</v>
      </c>
      <c r="AV311">
        <v>15</v>
      </c>
      <c r="AW311">
        <v>24</v>
      </c>
      <c r="AX311" t="s">
        <v>74</v>
      </c>
      <c r="AY311" t="s">
        <v>74</v>
      </c>
      <c r="AZ311" t="s">
        <v>74</v>
      </c>
      <c r="BA311" t="s">
        <v>74</v>
      </c>
      <c r="BB311" t="s">
        <v>74</v>
      </c>
      <c r="BC311" t="s">
        <v>74</v>
      </c>
      <c r="BD311">
        <v>5676</v>
      </c>
      <c r="BE311" t="s">
        <v>6122</v>
      </c>
      <c r="BF311" t="str">
        <f>HYPERLINK("http://dx.doi.org/10.3390/rs15245676","http://dx.doi.org/10.3390/rs15245676")</f>
        <v>http://dx.doi.org/10.3390/rs15245676</v>
      </c>
      <c r="BG311" t="s">
        <v>74</v>
      </c>
      <c r="BH311" t="s">
        <v>74</v>
      </c>
      <c r="BI311">
        <v>21</v>
      </c>
      <c r="BJ311" t="s">
        <v>5723</v>
      </c>
      <c r="BK311" t="s">
        <v>100</v>
      </c>
      <c r="BL311" t="s">
        <v>5724</v>
      </c>
      <c r="BM311" t="s">
        <v>6123</v>
      </c>
      <c r="BN311" t="s">
        <v>74</v>
      </c>
      <c r="BO311" t="s">
        <v>349</v>
      </c>
      <c r="BP311" t="s">
        <v>74</v>
      </c>
      <c r="BQ311" t="s">
        <v>74</v>
      </c>
      <c r="BR311" t="s">
        <v>104</v>
      </c>
      <c r="BS311" t="s">
        <v>6124</v>
      </c>
      <c r="BT311" t="str">
        <f>HYPERLINK("https%3A%2F%2Fwww.webofscience.com%2Fwos%2Fwoscc%2Ffull-record%2FWOS:001130645200001","View Full Record in Web of Science")</f>
        <v>View Full Record in Web of Science</v>
      </c>
    </row>
    <row r="312" spans="1:72" x14ac:dyDescent="0.15">
      <c r="A312" t="s">
        <v>72</v>
      </c>
      <c r="B312" t="s">
        <v>6125</v>
      </c>
      <c r="C312" t="s">
        <v>74</v>
      </c>
      <c r="D312" t="s">
        <v>74</v>
      </c>
      <c r="E312" t="s">
        <v>74</v>
      </c>
      <c r="F312" t="s">
        <v>6126</v>
      </c>
      <c r="G312" t="s">
        <v>74</v>
      </c>
      <c r="H312" t="s">
        <v>74</v>
      </c>
      <c r="I312" t="s">
        <v>6127</v>
      </c>
      <c r="J312" t="s">
        <v>6128</v>
      </c>
      <c r="K312" t="s">
        <v>74</v>
      </c>
      <c r="L312" t="s">
        <v>74</v>
      </c>
      <c r="M312" t="s">
        <v>78</v>
      </c>
      <c r="N312" t="s">
        <v>79</v>
      </c>
      <c r="O312" t="s">
        <v>74</v>
      </c>
      <c r="P312" t="s">
        <v>74</v>
      </c>
      <c r="Q312" t="s">
        <v>74</v>
      </c>
      <c r="R312" t="s">
        <v>74</v>
      </c>
      <c r="S312" t="s">
        <v>74</v>
      </c>
      <c r="T312" t="s">
        <v>74</v>
      </c>
      <c r="U312" t="s">
        <v>6129</v>
      </c>
      <c r="V312" t="s">
        <v>6130</v>
      </c>
      <c r="W312" t="s">
        <v>6131</v>
      </c>
      <c r="X312" t="s">
        <v>5180</v>
      </c>
      <c r="Y312" t="s">
        <v>6132</v>
      </c>
      <c r="Z312" t="s">
        <v>6133</v>
      </c>
      <c r="AA312" t="s">
        <v>6134</v>
      </c>
      <c r="AB312" t="s">
        <v>74</v>
      </c>
      <c r="AC312" t="s">
        <v>5445</v>
      </c>
      <c r="AD312" t="s">
        <v>1450</v>
      </c>
      <c r="AE312" t="s">
        <v>6135</v>
      </c>
      <c r="AF312" t="s">
        <v>74</v>
      </c>
      <c r="AG312">
        <v>23</v>
      </c>
      <c r="AH312">
        <v>0</v>
      </c>
      <c r="AI312">
        <v>0</v>
      </c>
      <c r="AJ312">
        <v>1</v>
      </c>
      <c r="AK312">
        <v>1</v>
      </c>
      <c r="AL312" t="s">
        <v>5183</v>
      </c>
      <c r="AM312" t="s">
        <v>1076</v>
      </c>
      <c r="AN312" t="s">
        <v>5184</v>
      </c>
      <c r="AO312" t="s">
        <v>6136</v>
      </c>
      <c r="AP312" t="s">
        <v>6137</v>
      </c>
      <c r="AQ312" t="s">
        <v>74</v>
      </c>
      <c r="AR312" t="s">
        <v>6138</v>
      </c>
      <c r="AS312" t="s">
        <v>6139</v>
      </c>
      <c r="AT312" t="s">
        <v>1947</v>
      </c>
      <c r="AU312">
        <v>2023</v>
      </c>
      <c r="AV312">
        <v>61</v>
      </c>
      <c r="AW312">
        <v>6</v>
      </c>
      <c r="AX312" t="s">
        <v>74</v>
      </c>
      <c r="AY312" t="s">
        <v>74</v>
      </c>
      <c r="AZ312" t="s">
        <v>74</v>
      </c>
      <c r="BA312" t="s">
        <v>74</v>
      </c>
      <c r="BB312">
        <v>501</v>
      </c>
      <c r="BC312">
        <v>509</v>
      </c>
      <c r="BD312" t="s">
        <v>74</v>
      </c>
      <c r="BE312" t="s">
        <v>6140</v>
      </c>
      <c r="BF312" t="str">
        <f>HYPERLINK("http://dx.doi.org/10.1134/S0010952523700478","http://dx.doi.org/10.1134/S0010952523700478")</f>
        <v>http://dx.doi.org/10.1134/S0010952523700478</v>
      </c>
      <c r="BG312" t="s">
        <v>74</v>
      </c>
      <c r="BH312" t="s">
        <v>74</v>
      </c>
      <c r="BI312">
        <v>9</v>
      </c>
      <c r="BJ312" t="s">
        <v>6141</v>
      </c>
      <c r="BK312" t="s">
        <v>100</v>
      </c>
      <c r="BL312" t="s">
        <v>6142</v>
      </c>
      <c r="BM312" t="s">
        <v>6143</v>
      </c>
      <c r="BN312" t="s">
        <v>74</v>
      </c>
      <c r="BO312" t="s">
        <v>74</v>
      </c>
      <c r="BP312" t="s">
        <v>74</v>
      </c>
      <c r="BQ312" t="s">
        <v>74</v>
      </c>
      <c r="BR312" t="s">
        <v>104</v>
      </c>
      <c r="BS312" t="s">
        <v>6144</v>
      </c>
      <c r="BT312" t="str">
        <f>HYPERLINK("https%3A%2F%2Fwww.webofscience.com%2Fwos%2Fwoscc%2Ffull-record%2FWOS:001107302900004","View Full Record in Web of Science")</f>
        <v>View Full Record in Web of Science</v>
      </c>
    </row>
    <row r="313" spans="1:72" x14ac:dyDescent="0.15">
      <c r="A313" t="s">
        <v>72</v>
      </c>
      <c r="B313" t="s">
        <v>6145</v>
      </c>
      <c r="C313" t="s">
        <v>74</v>
      </c>
      <c r="D313" t="s">
        <v>74</v>
      </c>
      <c r="E313" t="s">
        <v>74</v>
      </c>
      <c r="F313" t="s">
        <v>6146</v>
      </c>
      <c r="G313" t="s">
        <v>74</v>
      </c>
      <c r="H313" t="s">
        <v>74</v>
      </c>
      <c r="I313" t="s">
        <v>6147</v>
      </c>
      <c r="J313" t="s">
        <v>6148</v>
      </c>
      <c r="K313" t="s">
        <v>74</v>
      </c>
      <c r="L313" t="s">
        <v>74</v>
      </c>
      <c r="M313" t="s">
        <v>78</v>
      </c>
      <c r="N313" t="s">
        <v>79</v>
      </c>
      <c r="O313" t="s">
        <v>74</v>
      </c>
      <c r="P313" t="s">
        <v>74</v>
      </c>
      <c r="Q313" t="s">
        <v>74</v>
      </c>
      <c r="R313" t="s">
        <v>74</v>
      </c>
      <c r="S313" t="s">
        <v>74</v>
      </c>
      <c r="T313" t="s">
        <v>6149</v>
      </c>
      <c r="U313" t="s">
        <v>6150</v>
      </c>
      <c r="V313" t="s">
        <v>6151</v>
      </c>
      <c r="W313" t="s">
        <v>6152</v>
      </c>
      <c r="X313" t="s">
        <v>6153</v>
      </c>
      <c r="Y313" t="s">
        <v>6154</v>
      </c>
      <c r="Z313" t="s">
        <v>6155</v>
      </c>
      <c r="AA313" t="s">
        <v>6156</v>
      </c>
      <c r="AB313" t="s">
        <v>6157</v>
      </c>
      <c r="AC313" t="s">
        <v>74</v>
      </c>
      <c r="AD313" t="s">
        <v>74</v>
      </c>
      <c r="AE313" t="s">
        <v>74</v>
      </c>
      <c r="AF313" t="s">
        <v>74</v>
      </c>
      <c r="AG313">
        <v>42</v>
      </c>
      <c r="AH313">
        <v>0</v>
      </c>
      <c r="AI313">
        <v>0</v>
      </c>
      <c r="AJ313">
        <v>8</v>
      </c>
      <c r="AK313">
        <v>8</v>
      </c>
      <c r="AL313" t="s">
        <v>5695</v>
      </c>
      <c r="AM313" t="s">
        <v>5696</v>
      </c>
      <c r="AN313" t="s">
        <v>5697</v>
      </c>
      <c r="AO313" t="s">
        <v>6158</v>
      </c>
      <c r="AP313" t="s">
        <v>6159</v>
      </c>
      <c r="AQ313" t="s">
        <v>74</v>
      </c>
      <c r="AR313" t="s">
        <v>6160</v>
      </c>
      <c r="AS313" t="s">
        <v>6161</v>
      </c>
      <c r="AT313" t="s">
        <v>1947</v>
      </c>
      <c r="AU313">
        <v>2023</v>
      </c>
      <c r="AV313">
        <v>24</v>
      </c>
      <c r="AW313">
        <v>24</v>
      </c>
      <c r="AX313" t="s">
        <v>74</v>
      </c>
      <c r="AY313" t="s">
        <v>74</v>
      </c>
      <c r="AZ313" t="s">
        <v>74</v>
      </c>
      <c r="BA313" t="s">
        <v>74</v>
      </c>
      <c r="BB313" t="s">
        <v>74</v>
      </c>
      <c r="BC313" t="s">
        <v>74</v>
      </c>
      <c r="BD313">
        <v>17440</v>
      </c>
      <c r="BE313" t="s">
        <v>6162</v>
      </c>
      <c r="BF313" t="str">
        <f>HYPERLINK("http://dx.doi.org/10.3390/ijms242417440","http://dx.doi.org/10.3390/ijms242417440")</f>
        <v>http://dx.doi.org/10.3390/ijms242417440</v>
      </c>
      <c r="BG313" t="s">
        <v>74</v>
      </c>
      <c r="BH313" t="s">
        <v>74</v>
      </c>
      <c r="BI313">
        <v>18</v>
      </c>
      <c r="BJ313" t="s">
        <v>6163</v>
      </c>
      <c r="BK313" t="s">
        <v>100</v>
      </c>
      <c r="BL313" t="s">
        <v>6164</v>
      </c>
      <c r="BM313" t="s">
        <v>6165</v>
      </c>
      <c r="BN313">
        <v>38139268</v>
      </c>
      <c r="BO313" t="s">
        <v>265</v>
      </c>
      <c r="BP313" t="s">
        <v>74</v>
      </c>
      <c r="BQ313" t="s">
        <v>74</v>
      </c>
      <c r="BR313" t="s">
        <v>104</v>
      </c>
      <c r="BS313" t="s">
        <v>6166</v>
      </c>
      <c r="BT313" t="str">
        <f>HYPERLINK("https%3A%2F%2Fwww.webofscience.com%2Fwos%2Fwoscc%2Ffull-record%2FWOS:001132124100001","View Full Record in Web of Science")</f>
        <v>View Full Record in Web of Science</v>
      </c>
    </row>
    <row r="314" spans="1:72" x14ac:dyDescent="0.15">
      <c r="A314" t="s">
        <v>72</v>
      </c>
      <c r="B314" t="s">
        <v>6167</v>
      </c>
      <c r="C314" t="s">
        <v>74</v>
      </c>
      <c r="D314" t="s">
        <v>74</v>
      </c>
      <c r="E314" t="s">
        <v>74</v>
      </c>
      <c r="F314" t="s">
        <v>6168</v>
      </c>
      <c r="G314" t="s">
        <v>74</v>
      </c>
      <c r="H314" t="s">
        <v>74</v>
      </c>
      <c r="I314" t="s">
        <v>6169</v>
      </c>
      <c r="J314" t="s">
        <v>3287</v>
      </c>
      <c r="K314" t="s">
        <v>74</v>
      </c>
      <c r="L314" t="s">
        <v>74</v>
      </c>
      <c r="M314" t="s">
        <v>78</v>
      </c>
      <c r="N314" t="s">
        <v>79</v>
      </c>
      <c r="O314" t="s">
        <v>74</v>
      </c>
      <c r="P314" t="s">
        <v>74</v>
      </c>
      <c r="Q314" t="s">
        <v>74</v>
      </c>
      <c r="R314" t="s">
        <v>74</v>
      </c>
      <c r="S314" t="s">
        <v>74</v>
      </c>
      <c r="T314" t="s">
        <v>74</v>
      </c>
      <c r="U314" t="s">
        <v>6170</v>
      </c>
      <c r="V314" t="s">
        <v>6171</v>
      </c>
      <c r="W314" t="s">
        <v>6172</v>
      </c>
      <c r="X314" t="s">
        <v>6173</v>
      </c>
      <c r="Y314" t="s">
        <v>6174</v>
      </c>
      <c r="Z314" t="s">
        <v>6175</v>
      </c>
      <c r="AA314" t="s">
        <v>6176</v>
      </c>
      <c r="AB314" t="s">
        <v>6177</v>
      </c>
      <c r="AC314" t="s">
        <v>6178</v>
      </c>
      <c r="AD314" t="s">
        <v>6179</v>
      </c>
      <c r="AE314" t="s">
        <v>6180</v>
      </c>
      <c r="AF314" t="s">
        <v>74</v>
      </c>
      <c r="AG314">
        <v>108</v>
      </c>
      <c r="AH314">
        <v>1</v>
      </c>
      <c r="AI314">
        <v>1</v>
      </c>
      <c r="AJ314">
        <v>9</v>
      </c>
      <c r="AK314">
        <v>9</v>
      </c>
      <c r="AL314" t="s">
        <v>1710</v>
      </c>
      <c r="AM314" t="s">
        <v>1209</v>
      </c>
      <c r="AN314" t="s">
        <v>1711</v>
      </c>
      <c r="AO314" t="s">
        <v>3297</v>
      </c>
      <c r="AP314" t="s">
        <v>74</v>
      </c>
      <c r="AQ314" t="s">
        <v>74</v>
      </c>
      <c r="AR314" t="s">
        <v>3298</v>
      </c>
      <c r="AS314" t="s">
        <v>3299</v>
      </c>
      <c r="AT314" t="s">
        <v>5341</v>
      </c>
      <c r="AU314">
        <v>2023</v>
      </c>
      <c r="AV314">
        <v>9</v>
      </c>
      <c r="AW314">
        <v>48</v>
      </c>
      <c r="AX314" t="s">
        <v>74</v>
      </c>
      <c r="AY314" t="s">
        <v>74</v>
      </c>
      <c r="AZ314" t="s">
        <v>74</v>
      </c>
      <c r="BA314" t="s">
        <v>74</v>
      </c>
      <c r="BB314" t="s">
        <v>74</v>
      </c>
      <c r="BC314" t="s">
        <v>74</v>
      </c>
      <c r="BD314" t="s">
        <v>6181</v>
      </c>
      <c r="BE314" t="s">
        <v>6182</v>
      </c>
      <c r="BF314" t="str">
        <f>HYPERLINK("http://dx.doi.org/10.1126/sciadv.adi3059","http://dx.doi.org/10.1126/sciadv.adi3059")</f>
        <v>http://dx.doi.org/10.1126/sciadv.adi3059</v>
      </c>
      <c r="BG314" t="s">
        <v>74</v>
      </c>
      <c r="BH314" t="s">
        <v>74</v>
      </c>
      <c r="BI314">
        <v>17</v>
      </c>
      <c r="BJ314" t="s">
        <v>1035</v>
      </c>
      <c r="BK314" t="s">
        <v>100</v>
      </c>
      <c r="BL314" t="s">
        <v>1036</v>
      </c>
      <c r="BM314" t="s">
        <v>6183</v>
      </c>
      <c r="BN314">
        <v>38039363</v>
      </c>
      <c r="BO314" t="s">
        <v>131</v>
      </c>
      <c r="BP314" t="s">
        <v>74</v>
      </c>
      <c r="BQ314" t="s">
        <v>74</v>
      </c>
      <c r="BR314" t="s">
        <v>104</v>
      </c>
      <c r="BS314" t="s">
        <v>6184</v>
      </c>
      <c r="BT314" t="str">
        <f>HYPERLINK("https%3A%2F%2Fwww.webofscience.com%2Fwos%2Fwoscc%2Ffull-record%2FWOS:001120198200002","View Full Record in Web of Science")</f>
        <v>View Full Record in Web of Science</v>
      </c>
    </row>
    <row r="315" spans="1:72" x14ac:dyDescent="0.15">
      <c r="A315" t="s">
        <v>72</v>
      </c>
      <c r="B315" t="s">
        <v>6185</v>
      </c>
      <c r="C315" t="s">
        <v>74</v>
      </c>
      <c r="D315" t="s">
        <v>74</v>
      </c>
      <c r="E315" t="s">
        <v>74</v>
      </c>
      <c r="F315" t="s">
        <v>6186</v>
      </c>
      <c r="G315" t="s">
        <v>74</v>
      </c>
      <c r="H315" t="s">
        <v>74</v>
      </c>
      <c r="I315" t="s">
        <v>6187</v>
      </c>
      <c r="J315" t="s">
        <v>5795</v>
      </c>
      <c r="K315" t="s">
        <v>74</v>
      </c>
      <c r="L315" t="s">
        <v>74</v>
      </c>
      <c r="M315" t="s">
        <v>78</v>
      </c>
      <c r="N315" t="s">
        <v>79</v>
      </c>
      <c r="O315" t="s">
        <v>74</v>
      </c>
      <c r="P315" t="s">
        <v>74</v>
      </c>
      <c r="Q315" t="s">
        <v>74</v>
      </c>
      <c r="R315" t="s">
        <v>74</v>
      </c>
      <c r="S315" t="s">
        <v>74</v>
      </c>
      <c r="T315" t="s">
        <v>6188</v>
      </c>
      <c r="U315" t="s">
        <v>74</v>
      </c>
      <c r="V315" t="s">
        <v>6189</v>
      </c>
      <c r="W315" t="s">
        <v>6190</v>
      </c>
      <c r="X315" t="s">
        <v>6191</v>
      </c>
      <c r="Y315" t="s">
        <v>6192</v>
      </c>
      <c r="Z315" t="s">
        <v>6193</v>
      </c>
      <c r="AA315" t="s">
        <v>74</v>
      </c>
      <c r="AB315" t="s">
        <v>6194</v>
      </c>
      <c r="AC315" t="s">
        <v>6195</v>
      </c>
      <c r="AD315" t="s">
        <v>6195</v>
      </c>
      <c r="AE315" t="s">
        <v>6196</v>
      </c>
      <c r="AF315" t="s">
        <v>74</v>
      </c>
      <c r="AG315">
        <v>34</v>
      </c>
      <c r="AH315">
        <v>0</v>
      </c>
      <c r="AI315">
        <v>0</v>
      </c>
      <c r="AJ315">
        <v>3</v>
      </c>
      <c r="AK315">
        <v>3</v>
      </c>
      <c r="AL315" t="s">
        <v>5695</v>
      </c>
      <c r="AM315" t="s">
        <v>5696</v>
      </c>
      <c r="AN315" t="s">
        <v>5697</v>
      </c>
      <c r="AO315" t="s">
        <v>74</v>
      </c>
      <c r="AP315" t="s">
        <v>5805</v>
      </c>
      <c r="AQ315" t="s">
        <v>74</v>
      </c>
      <c r="AR315" t="s">
        <v>5806</v>
      </c>
      <c r="AS315" t="s">
        <v>5807</v>
      </c>
      <c r="AT315" t="s">
        <v>1947</v>
      </c>
      <c r="AU315">
        <v>2023</v>
      </c>
      <c r="AV315">
        <v>14</v>
      </c>
      <c r="AW315">
        <v>12</v>
      </c>
      <c r="AX315" t="s">
        <v>74</v>
      </c>
      <c r="AY315" t="s">
        <v>74</v>
      </c>
      <c r="AZ315" t="s">
        <v>74</v>
      </c>
      <c r="BA315" t="s">
        <v>74</v>
      </c>
      <c r="BB315" t="s">
        <v>74</v>
      </c>
      <c r="BC315" t="s">
        <v>74</v>
      </c>
      <c r="BD315">
        <v>1732</v>
      </c>
      <c r="BE315" t="s">
        <v>6197</v>
      </c>
      <c r="BF315" t="str">
        <f>HYPERLINK("http://dx.doi.org/10.3390/atmos14121732","http://dx.doi.org/10.3390/atmos14121732")</f>
        <v>http://dx.doi.org/10.3390/atmos14121732</v>
      </c>
      <c r="BG315" t="s">
        <v>74</v>
      </c>
      <c r="BH315" t="s">
        <v>74</v>
      </c>
      <c r="BI315">
        <v>22</v>
      </c>
      <c r="BJ315" t="s">
        <v>2382</v>
      </c>
      <c r="BK315" t="s">
        <v>100</v>
      </c>
      <c r="BL315" t="s">
        <v>2383</v>
      </c>
      <c r="BM315" t="s">
        <v>6198</v>
      </c>
      <c r="BN315" t="s">
        <v>74</v>
      </c>
      <c r="BO315" t="s">
        <v>131</v>
      </c>
      <c r="BP315" t="s">
        <v>74</v>
      </c>
      <c r="BQ315" t="s">
        <v>74</v>
      </c>
      <c r="BR315" t="s">
        <v>104</v>
      </c>
      <c r="BS315" t="s">
        <v>6199</v>
      </c>
      <c r="BT315" t="str">
        <f>HYPERLINK("https%3A%2F%2Fwww.webofscience.com%2Fwos%2Fwoscc%2Ffull-record%2FWOS:001130963300001","View Full Record in Web of Science")</f>
        <v>View Full Record in Web of Science</v>
      </c>
    </row>
    <row r="316" spans="1:72" x14ac:dyDescent="0.15">
      <c r="A316" t="s">
        <v>72</v>
      </c>
      <c r="B316" t="s">
        <v>6200</v>
      </c>
      <c r="C316" t="s">
        <v>74</v>
      </c>
      <c r="D316" t="s">
        <v>74</v>
      </c>
      <c r="E316" t="s">
        <v>74</v>
      </c>
      <c r="F316" t="s">
        <v>6201</v>
      </c>
      <c r="G316" t="s">
        <v>74</v>
      </c>
      <c r="H316" t="s">
        <v>6202</v>
      </c>
      <c r="I316" t="s">
        <v>6203</v>
      </c>
      <c r="J316" t="s">
        <v>6204</v>
      </c>
      <c r="K316" t="s">
        <v>74</v>
      </c>
      <c r="L316" t="s">
        <v>74</v>
      </c>
      <c r="M316" t="s">
        <v>78</v>
      </c>
      <c r="N316" t="s">
        <v>79</v>
      </c>
      <c r="O316" t="s">
        <v>74</v>
      </c>
      <c r="P316" t="s">
        <v>74</v>
      </c>
      <c r="Q316" t="s">
        <v>74</v>
      </c>
      <c r="R316" t="s">
        <v>74</v>
      </c>
      <c r="S316" t="s">
        <v>74</v>
      </c>
      <c r="T316" t="s">
        <v>6205</v>
      </c>
      <c r="U316" t="s">
        <v>6206</v>
      </c>
      <c r="V316" t="s">
        <v>6207</v>
      </c>
      <c r="W316" t="s">
        <v>74</v>
      </c>
      <c r="X316" t="s">
        <v>74</v>
      </c>
      <c r="Y316" t="s">
        <v>74</v>
      </c>
      <c r="Z316" t="s">
        <v>6208</v>
      </c>
      <c r="AA316" t="s">
        <v>74</v>
      </c>
      <c r="AB316" t="s">
        <v>6209</v>
      </c>
      <c r="AC316" t="s">
        <v>74</v>
      </c>
      <c r="AD316" t="s">
        <v>74</v>
      </c>
      <c r="AE316" t="s">
        <v>74</v>
      </c>
      <c r="AF316" t="s">
        <v>74</v>
      </c>
      <c r="AG316">
        <v>128</v>
      </c>
      <c r="AH316">
        <v>2</v>
      </c>
      <c r="AI316">
        <v>2</v>
      </c>
      <c r="AJ316">
        <v>7</v>
      </c>
      <c r="AK316">
        <v>7</v>
      </c>
      <c r="AL316" t="s">
        <v>1101</v>
      </c>
      <c r="AM316" t="s">
        <v>1102</v>
      </c>
      <c r="AN316" t="s">
        <v>6210</v>
      </c>
      <c r="AO316" t="s">
        <v>74</v>
      </c>
      <c r="AP316" t="s">
        <v>6211</v>
      </c>
      <c r="AQ316" t="s">
        <v>74</v>
      </c>
      <c r="AR316" t="s">
        <v>6212</v>
      </c>
      <c r="AS316" t="s">
        <v>6213</v>
      </c>
      <c r="AT316" t="s">
        <v>1947</v>
      </c>
      <c r="AU316">
        <v>2023</v>
      </c>
      <c r="AV316">
        <v>21</v>
      </c>
      <c r="AW316">
        <v>12</v>
      </c>
      <c r="AX316" t="s">
        <v>74</v>
      </c>
      <c r="AY316" t="s">
        <v>74</v>
      </c>
      <c r="AZ316" t="s">
        <v>74</v>
      </c>
      <c r="BA316" t="s">
        <v>74</v>
      </c>
      <c r="BB316" t="s">
        <v>74</v>
      </c>
      <c r="BC316" t="s">
        <v>74</v>
      </c>
      <c r="BD316" t="s">
        <v>6214</v>
      </c>
      <c r="BE316" t="s">
        <v>6215</v>
      </c>
      <c r="BF316" t="str">
        <f>HYPERLINK("http://dx.doi.org/10.2903/j.efsa.2023.8539","http://dx.doi.org/10.2903/j.efsa.2023.8539")</f>
        <v>http://dx.doi.org/10.2903/j.efsa.2023.8539</v>
      </c>
      <c r="BG316" t="s">
        <v>74</v>
      </c>
      <c r="BH316" t="s">
        <v>74</v>
      </c>
      <c r="BI316">
        <v>61</v>
      </c>
      <c r="BJ316" t="s">
        <v>6029</v>
      </c>
      <c r="BK316" t="s">
        <v>100</v>
      </c>
      <c r="BL316" t="s">
        <v>6029</v>
      </c>
      <c r="BM316" t="s">
        <v>6216</v>
      </c>
      <c r="BN316">
        <v>38116102</v>
      </c>
      <c r="BO316" t="s">
        <v>131</v>
      </c>
      <c r="BP316" t="s">
        <v>74</v>
      </c>
      <c r="BQ316" t="s">
        <v>74</v>
      </c>
      <c r="BR316" t="s">
        <v>104</v>
      </c>
      <c r="BS316" t="s">
        <v>6217</v>
      </c>
      <c r="BT316" t="str">
        <f>HYPERLINK("https%3A%2F%2Fwww.webofscience.com%2Fwos%2Fwoscc%2Ffull-record%2FWOS:001127664700001","View Full Record in Web of Science")</f>
        <v>View Full Record in Web of Science</v>
      </c>
    </row>
    <row r="317" spans="1:72" x14ac:dyDescent="0.15">
      <c r="A317" t="s">
        <v>72</v>
      </c>
      <c r="B317" t="s">
        <v>6218</v>
      </c>
      <c r="C317" t="s">
        <v>74</v>
      </c>
      <c r="D317" t="s">
        <v>74</v>
      </c>
      <c r="E317" t="s">
        <v>74</v>
      </c>
      <c r="F317" t="s">
        <v>6219</v>
      </c>
      <c r="G317" t="s">
        <v>74</v>
      </c>
      <c r="H317" t="s">
        <v>74</v>
      </c>
      <c r="I317" t="s">
        <v>6220</v>
      </c>
      <c r="J317" t="s">
        <v>5706</v>
      </c>
      <c r="K317" t="s">
        <v>74</v>
      </c>
      <c r="L317" t="s">
        <v>74</v>
      </c>
      <c r="M317" t="s">
        <v>78</v>
      </c>
      <c r="N317" t="s">
        <v>79</v>
      </c>
      <c r="O317" t="s">
        <v>74</v>
      </c>
      <c r="P317" t="s">
        <v>74</v>
      </c>
      <c r="Q317" t="s">
        <v>74</v>
      </c>
      <c r="R317" t="s">
        <v>74</v>
      </c>
      <c r="S317" t="s">
        <v>74</v>
      </c>
      <c r="T317" t="s">
        <v>6221</v>
      </c>
      <c r="U317" t="s">
        <v>6222</v>
      </c>
      <c r="V317" t="s">
        <v>6223</v>
      </c>
      <c r="W317" t="s">
        <v>6224</v>
      </c>
      <c r="X317" t="s">
        <v>6225</v>
      </c>
      <c r="Y317" t="s">
        <v>6226</v>
      </c>
      <c r="Z317" t="s">
        <v>6227</v>
      </c>
      <c r="AA317" t="s">
        <v>6228</v>
      </c>
      <c r="AB317" t="s">
        <v>6229</v>
      </c>
      <c r="AC317" t="s">
        <v>3098</v>
      </c>
      <c r="AD317" t="s">
        <v>3099</v>
      </c>
      <c r="AE317" t="s">
        <v>2553</v>
      </c>
      <c r="AF317" t="s">
        <v>74</v>
      </c>
      <c r="AG317">
        <v>53</v>
      </c>
      <c r="AH317">
        <v>0</v>
      </c>
      <c r="AI317">
        <v>0</v>
      </c>
      <c r="AJ317">
        <v>23</v>
      </c>
      <c r="AK317">
        <v>23</v>
      </c>
      <c r="AL317" t="s">
        <v>5695</v>
      </c>
      <c r="AM317" t="s">
        <v>5696</v>
      </c>
      <c r="AN317" t="s">
        <v>5697</v>
      </c>
      <c r="AO317" t="s">
        <v>74</v>
      </c>
      <c r="AP317" t="s">
        <v>5719</v>
      </c>
      <c r="AQ317" t="s">
        <v>74</v>
      </c>
      <c r="AR317" t="s">
        <v>5720</v>
      </c>
      <c r="AS317" t="s">
        <v>5721</v>
      </c>
      <c r="AT317" t="s">
        <v>1947</v>
      </c>
      <c r="AU317">
        <v>2023</v>
      </c>
      <c r="AV317">
        <v>15</v>
      </c>
      <c r="AW317">
        <v>24</v>
      </c>
      <c r="AX317" t="s">
        <v>74</v>
      </c>
      <c r="AY317" t="s">
        <v>74</v>
      </c>
      <c r="AZ317" t="s">
        <v>74</v>
      </c>
      <c r="BA317" t="s">
        <v>74</v>
      </c>
      <c r="BB317" t="s">
        <v>74</v>
      </c>
      <c r="BC317" t="s">
        <v>74</v>
      </c>
      <c r="BD317">
        <v>5726</v>
      </c>
      <c r="BE317" t="s">
        <v>6230</v>
      </c>
      <c r="BF317" t="str">
        <f>HYPERLINK("http://dx.doi.org/10.3390/rs15245726","http://dx.doi.org/10.3390/rs15245726")</f>
        <v>http://dx.doi.org/10.3390/rs15245726</v>
      </c>
      <c r="BG317" t="s">
        <v>74</v>
      </c>
      <c r="BH317" t="s">
        <v>74</v>
      </c>
      <c r="BI317">
        <v>16</v>
      </c>
      <c r="BJ317" t="s">
        <v>5723</v>
      </c>
      <c r="BK317" t="s">
        <v>100</v>
      </c>
      <c r="BL317" t="s">
        <v>5724</v>
      </c>
      <c r="BM317" t="s">
        <v>6231</v>
      </c>
      <c r="BN317" t="s">
        <v>74</v>
      </c>
      <c r="BO317" t="s">
        <v>131</v>
      </c>
      <c r="BP317" t="s">
        <v>74</v>
      </c>
      <c r="BQ317" t="s">
        <v>74</v>
      </c>
      <c r="BR317" t="s">
        <v>104</v>
      </c>
      <c r="BS317" t="s">
        <v>6232</v>
      </c>
      <c r="BT317" t="str">
        <f>HYPERLINK("https%3A%2F%2Fwww.webofscience.com%2Fwos%2Fwoscc%2Ffull-record%2FWOS:001130533300001","View Full Record in Web of Science")</f>
        <v>View Full Record in Web of Science</v>
      </c>
    </row>
    <row r="318" spans="1:72" x14ac:dyDescent="0.15">
      <c r="A318" t="s">
        <v>72</v>
      </c>
      <c r="B318" t="s">
        <v>6233</v>
      </c>
      <c r="C318" t="s">
        <v>74</v>
      </c>
      <c r="D318" t="s">
        <v>74</v>
      </c>
      <c r="E318" t="s">
        <v>74</v>
      </c>
      <c r="F318" t="s">
        <v>6234</v>
      </c>
      <c r="G318" t="s">
        <v>74</v>
      </c>
      <c r="H318" t="s">
        <v>74</v>
      </c>
      <c r="I318" t="s">
        <v>6235</v>
      </c>
      <c r="J318" t="s">
        <v>6236</v>
      </c>
      <c r="K318" t="s">
        <v>74</v>
      </c>
      <c r="L318" t="s">
        <v>74</v>
      </c>
      <c r="M318" t="s">
        <v>78</v>
      </c>
      <c r="N318" t="s">
        <v>79</v>
      </c>
      <c r="O318" t="s">
        <v>74</v>
      </c>
      <c r="P318" t="s">
        <v>74</v>
      </c>
      <c r="Q318" t="s">
        <v>74</v>
      </c>
      <c r="R318" t="s">
        <v>74</v>
      </c>
      <c r="S318" t="s">
        <v>74</v>
      </c>
      <c r="T318" t="s">
        <v>6237</v>
      </c>
      <c r="U318" t="s">
        <v>6238</v>
      </c>
      <c r="V318" t="s">
        <v>6239</v>
      </c>
      <c r="W318" t="s">
        <v>6240</v>
      </c>
      <c r="X318" t="s">
        <v>6241</v>
      </c>
      <c r="Y318" t="s">
        <v>6242</v>
      </c>
      <c r="Z318" t="s">
        <v>6243</v>
      </c>
      <c r="AA318" t="s">
        <v>6244</v>
      </c>
      <c r="AB318" t="s">
        <v>6245</v>
      </c>
      <c r="AC318" t="s">
        <v>6246</v>
      </c>
      <c r="AD318" t="s">
        <v>6247</v>
      </c>
      <c r="AE318" t="s">
        <v>6248</v>
      </c>
      <c r="AF318" t="s">
        <v>74</v>
      </c>
      <c r="AG318">
        <v>39</v>
      </c>
      <c r="AH318">
        <v>0</v>
      </c>
      <c r="AI318">
        <v>0</v>
      </c>
      <c r="AJ318">
        <v>3</v>
      </c>
      <c r="AK318">
        <v>3</v>
      </c>
      <c r="AL318" t="s">
        <v>1208</v>
      </c>
      <c r="AM318" t="s">
        <v>1209</v>
      </c>
      <c r="AN318" t="s">
        <v>1210</v>
      </c>
      <c r="AO318" t="s">
        <v>74</v>
      </c>
      <c r="AP318" t="s">
        <v>6249</v>
      </c>
      <c r="AQ318" t="s">
        <v>74</v>
      </c>
      <c r="AR318" t="s">
        <v>6250</v>
      </c>
      <c r="AS318" t="s">
        <v>6251</v>
      </c>
      <c r="AT318" t="s">
        <v>1947</v>
      </c>
      <c r="AU318">
        <v>2023</v>
      </c>
      <c r="AV318">
        <v>21</v>
      </c>
      <c r="AW318">
        <v>12</v>
      </c>
      <c r="AX318" t="s">
        <v>74</v>
      </c>
      <c r="AY318" t="s">
        <v>74</v>
      </c>
      <c r="AZ318" t="s">
        <v>74</v>
      </c>
      <c r="BA318" t="s">
        <v>74</v>
      </c>
      <c r="BB318" t="s">
        <v>74</v>
      </c>
      <c r="BC318" t="s">
        <v>74</v>
      </c>
      <c r="BD318" t="s">
        <v>6252</v>
      </c>
      <c r="BE318" t="s">
        <v>6253</v>
      </c>
      <c r="BF318" t="str">
        <f>HYPERLINK("http://dx.doi.org/10.1029/2023SW003651","http://dx.doi.org/10.1029/2023SW003651")</f>
        <v>http://dx.doi.org/10.1029/2023SW003651</v>
      </c>
      <c r="BG318" t="s">
        <v>74</v>
      </c>
      <c r="BH318" t="s">
        <v>74</v>
      </c>
      <c r="BI318">
        <v>11</v>
      </c>
      <c r="BJ318" t="s">
        <v>6254</v>
      </c>
      <c r="BK318" t="s">
        <v>100</v>
      </c>
      <c r="BL318" t="s">
        <v>6254</v>
      </c>
      <c r="BM318" t="s">
        <v>6255</v>
      </c>
      <c r="BN318" t="s">
        <v>74</v>
      </c>
      <c r="BO318" t="s">
        <v>103</v>
      </c>
      <c r="BP318" t="s">
        <v>74</v>
      </c>
      <c r="BQ318" t="s">
        <v>74</v>
      </c>
      <c r="BR318" t="s">
        <v>104</v>
      </c>
      <c r="BS318" t="s">
        <v>6256</v>
      </c>
      <c r="BT318" t="str">
        <f>HYPERLINK("https%3A%2F%2Fwww.webofscience.com%2Fwos%2Fwoscc%2Ffull-record%2FWOS:001131501700001","View Full Record in Web of Science")</f>
        <v>View Full Record in Web of Science</v>
      </c>
    </row>
    <row r="319" spans="1:72" x14ac:dyDescent="0.15">
      <c r="A319" t="s">
        <v>72</v>
      </c>
      <c r="B319" t="s">
        <v>6257</v>
      </c>
      <c r="C319" t="s">
        <v>74</v>
      </c>
      <c r="D319" t="s">
        <v>74</v>
      </c>
      <c r="E319" t="s">
        <v>74</v>
      </c>
      <c r="F319" t="s">
        <v>6258</v>
      </c>
      <c r="G319" t="s">
        <v>74</v>
      </c>
      <c r="H319" t="s">
        <v>74</v>
      </c>
      <c r="I319" t="s">
        <v>6259</v>
      </c>
      <c r="J319" t="s">
        <v>6260</v>
      </c>
      <c r="K319" t="s">
        <v>74</v>
      </c>
      <c r="L319" t="s">
        <v>74</v>
      </c>
      <c r="M319" t="s">
        <v>78</v>
      </c>
      <c r="N319" t="s">
        <v>79</v>
      </c>
      <c r="O319" t="s">
        <v>74</v>
      </c>
      <c r="P319" t="s">
        <v>74</v>
      </c>
      <c r="Q319" t="s">
        <v>74</v>
      </c>
      <c r="R319" t="s">
        <v>74</v>
      </c>
      <c r="S319" t="s">
        <v>74</v>
      </c>
      <c r="T319" t="s">
        <v>6261</v>
      </c>
      <c r="U319" t="s">
        <v>6262</v>
      </c>
      <c r="V319" t="s">
        <v>6263</v>
      </c>
      <c r="W319" t="s">
        <v>6264</v>
      </c>
      <c r="X319" t="s">
        <v>6265</v>
      </c>
      <c r="Y319" t="s">
        <v>6266</v>
      </c>
      <c r="Z319" t="s">
        <v>6267</v>
      </c>
      <c r="AA319" t="s">
        <v>6268</v>
      </c>
      <c r="AB319" t="s">
        <v>6269</v>
      </c>
      <c r="AC319" t="s">
        <v>6270</v>
      </c>
      <c r="AD319" t="s">
        <v>6271</v>
      </c>
      <c r="AE319" t="s">
        <v>6272</v>
      </c>
      <c r="AF319" t="s">
        <v>74</v>
      </c>
      <c r="AG319">
        <v>100</v>
      </c>
      <c r="AH319">
        <v>0</v>
      </c>
      <c r="AI319">
        <v>0</v>
      </c>
      <c r="AJ319">
        <v>6</v>
      </c>
      <c r="AK319">
        <v>6</v>
      </c>
      <c r="AL319" t="s">
        <v>1208</v>
      </c>
      <c r="AM319" t="s">
        <v>1209</v>
      </c>
      <c r="AN319" t="s">
        <v>1210</v>
      </c>
      <c r="AO319" t="s">
        <v>74</v>
      </c>
      <c r="AP319" t="s">
        <v>6273</v>
      </c>
      <c r="AQ319" t="s">
        <v>74</v>
      </c>
      <c r="AR319" t="s">
        <v>6274</v>
      </c>
      <c r="AS319" t="s">
        <v>6275</v>
      </c>
      <c r="AT319" t="s">
        <v>1947</v>
      </c>
      <c r="AU319">
        <v>2023</v>
      </c>
      <c r="AV319">
        <v>4</v>
      </c>
      <c r="AW319">
        <v>6</v>
      </c>
      <c r="AX319" t="s">
        <v>74</v>
      </c>
      <c r="AY319" t="s">
        <v>74</v>
      </c>
      <c r="AZ319" t="s">
        <v>74</v>
      </c>
      <c r="BA319" t="s">
        <v>74</v>
      </c>
      <c r="BB319" t="s">
        <v>74</v>
      </c>
      <c r="BC319" t="s">
        <v>74</v>
      </c>
      <c r="BD319" t="s">
        <v>6276</v>
      </c>
      <c r="BE319" t="s">
        <v>6277</v>
      </c>
      <c r="BF319" t="str">
        <f>HYPERLINK("http://dx.doi.org/10.1029/2023AV000973","http://dx.doi.org/10.1029/2023AV000973")</f>
        <v>http://dx.doi.org/10.1029/2023AV000973</v>
      </c>
      <c r="BG319" t="s">
        <v>74</v>
      </c>
      <c r="BH319" t="s">
        <v>74</v>
      </c>
      <c r="BI319">
        <v>14</v>
      </c>
      <c r="BJ319" t="s">
        <v>535</v>
      </c>
      <c r="BK319" t="s">
        <v>100</v>
      </c>
      <c r="BL319" t="s">
        <v>536</v>
      </c>
      <c r="BM319" t="s">
        <v>6278</v>
      </c>
      <c r="BN319" t="s">
        <v>74</v>
      </c>
      <c r="BO319" t="s">
        <v>131</v>
      </c>
      <c r="BP319" t="s">
        <v>74</v>
      </c>
      <c r="BQ319" t="s">
        <v>74</v>
      </c>
      <c r="BR319" t="s">
        <v>104</v>
      </c>
      <c r="BS319" t="s">
        <v>6279</v>
      </c>
      <c r="BT319" t="str">
        <f>HYPERLINK("https%3A%2F%2Fwww.webofscience.com%2Fwos%2Fwoscc%2Ffull-record%2FWOS:001125936000001","View Full Record in Web of Science")</f>
        <v>View Full Record in Web of Science</v>
      </c>
    </row>
    <row r="320" spans="1:72" x14ac:dyDescent="0.15">
      <c r="A320" t="s">
        <v>72</v>
      </c>
      <c r="B320" t="s">
        <v>6280</v>
      </c>
      <c r="C320" t="s">
        <v>74</v>
      </c>
      <c r="D320" t="s">
        <v>74</v>
      </c>
      <c r="E320" t="s">
        <v>74</v>
      </c>
      <c r="F320" t="s">
        <v>6281</v>
      </c>
      <c r="G320" t="s">
        <v>74</v>
      </c>
      <c r="H320" t="s">
        <v>74</v>
      </c>
      <c r="I320" t="s">
        <v>6282</v>
      </c>
      <c r="J320" t="s">
        <v>6283</v>
      </c>
      <c r="K320" t="s">
        <v>74</v>
      </c>
      <c r="L320" t="s">
        <v>74</v>
      </c>
      <c r="M320" t="s">
        <v>78</v>
      </c>
      <c r="N320" t="s">
        <v>79</v>
      </c>
      <c r="O320" t="s">
        <v>74</v>
      </c>
      <c r="P320" t="s">
        <v>74</v>
      </c>
      <c r="Q320" t="s">
        <v>74</v>
      </c>
      <c r="R320" t="s">
        <v>74</v>
      </c>
      <c r="S320" t="s">
        <v>74</v>
      </c>
      <c r="T320" t="s">
        <v>6284</v>
      </c>
      <c r="U320" t="s">
        <v>6285</v>
      </c>
      <c r="V320" t="s">
        <v>6286</v>
      </c>
      <c r="W320" t="s">
        <v>6287</v>
      </c>
      <c r="X320" t="s">
        <v>6288</v>
      </c>
      <c r="Y320" t="s">
        <v>6289</v>
      </c>
      <c r="Z320" t="s">
        <v>6290</v>
      </c>
      <c r="AA320" t="s">
        <v>6291</v>
      </c>
      <c r="AB320" t="s">
        <v>6292</v>
      </c>
      <c r="AC320" t="s">
        <v>6293</v>
      </c>
      <c r="AD320" t="s">
        <v>6294</v>
      </c>
      <c r="AE320" t="s">
        <v>6295</v>
      </c>
      <c r="AF320" t="s">
        <v>74</v>
      </c>
      <c r="AG320">
        <v>52</v>
      </c>
      <c r="AH320">
        <v>0</v>
      </c>
      <c r="AI320">
        <v>0</v>
      </c>
      <c r="AJ320">
        <v>2</v>
      </c>
      <c r="AK320">
        <v>2</v>
      </c>
      <c r="AL320" t="s">
        <v>5117</v>
      </c>
      <c r="AM320" t="s">
        <v>5118</v>
      </c>
      <c r="AN320" t="s">
        <v>5119</v>
      </c>
      <c r="AO320" t="s">
        <v>6296</v>
      </c>
      <c r="AP320" t="s">
        <v>6297</v>
      </c>
      <c r="AQ320" t="s">
        <v>74</v>
      </c>
      <c r="AR320" t="s">
        <v>6298</v>
      </c>
      <c r="AS320" t="s">
        <v>6299</v>
      </c>
      <c r="AT320" t="s">
        <v>1947</v>
      </c>
      <c r="AU320">
        <v>2023</v>
      </c>
      <c r="AV320">
        <v>104</v>
      </c>
      <c r="AW320">
        <v>12</v>
      </c>
      <c r="AX320" t="s">
        <v>74</v>
      </c>
      <c r="AY320" t="s">
        <v>74</v>
      </c>
      <c r="AZ320" t="s">
        <v>74</v>
      </c>
      <c r="BA320" t="s">
        <v>74</v>
      </c>
      <c r="BB320" t="s">
        <v>6300</v>
      </c>
      <c r="BC320" t="s">
        <v>6301</v>
      </c>
      <c r="BD320" t="s">
        <v>74</v>
      </c>
      <c r="BE320" t="s">
        <v>6302</v>
      </c>
      <c r="BF320" t="str">
        <f>HYPERLINK("http://dx.doi.org/10.1175/BAMS-D-22-0272.1","http://dx.doi.org/10.1175/BAMS-D-22-0272.1")</f>
        <v>http://dx.doi.org/10.1175/BAMS-D-22-0272.1</v>
      </c>
      <c r="BG320" t="s">
        <v>74</v>
      </c>
      <c r="BH320" t="s">
        <v>74</v>
      </c>
      <c r="BI320">
        <v>21</v>
      </c>
      <c r="BJ320" t="s">
        <v>1522</v>
      </c>
      <c r="BK320" t="s">
        <v>100</v>
      </c>
      <c r="BL320" t="s">
        <v>1522</v>
      </c>
      <c r="BM320" t="s">
        <v>6303</v>
      </c>
      <c r="BN320" t="s">
        <v>74</v>
      </c>
      <c r="BO320" t="s">
        <v>1794</v>
      </c>
      <c r="BP320" t="s">
        <v>74</v>
      </c>
      <c r="BQ320" t="s">
        <v>74</v>
      </c>
      <c r="BR320" t="s">
        <v>104</v>
      </c>
      <c r="BS320" t="s">
        <v>6304</v>
      </c>
      <c r="BT320" t="str">
        <f>HYPERLINK("https%3A%2F%2Fwww.webofscience.com%2Fwos%2Fwoscc%2Ffull-record%2FWOS:001126691800001","View Full Record in Web of Science")</f>
        <v>View Full Record in Web of Science</v>
      </c>
    </row>
    <row r="321" spans="1:72" x14ac:dyDescent="0.15">
      <c r="A321" t="s">
        <v>72</v>
      </c>
      <c r="B321" t="s">
        <v>6305</v>
      </c>
      <c r="C321" t="s">
        <v>74</v>
      </c>
      <c r="D321" t="s">
        <v>74</v>
      </c>
      <c r="E321" t="s">
        <v>74</v>
      </c>
      <c r="F321" t="s">
        <v>6306</v>
      </c>
      <c r="G321" t="s">
        <v>74</v>
      </c>
      <c r="H321" t="s">
        <v>74</v>
      </c>
      <c r="I321" t="s">
        <v>6307</v>
      </c>
      <c r="J321" t="s">
        <v>5749</v>
      </c>
      <c r="K321" t="s">
        <v>74</v>
      </c>
      <c r="L321" t="s">
        <v>74</v>
      </c>
      <c r="M321" t="s">
        <v>78</v>
      </c>
      <c r="N321" t="s">
        <v>79</v>
      </c>
      <c r="O321" t="s">
        <v>74</v>
      </c>
      <c r="P321" t="s">
        <v>74</v>
      </c>
      <c r="Q321" t="s">
        <v>74</v>
      </c>
      <c r="R321" t="s">
        <v>74</v>
      </c>
      <c r="S321" t="s">
        <v>74</v>
      </c>
      <c r="T321" t="s">
        <v>6308</v>
      </c>
      <c r="U321" t="s">
        <v>6309</v>
      </c>
      <c r="V321" t="s">
        <v>6310</v>
      </c>
      <c r="W321" t="s">
        <v>6311</v>
      </c>
      <c r="X321" t="s">
        <v>6312</v>
      </c>
      <c r="Y321" t="s">
        <v>6313</v>
      </c>
      <c r="Z321" t="s">
        <v>6314</v>
      </c>
      <c r="AA321" t="s">
        <v>6315</v>
      </c>
      <c r="AB321" t="s">
        <v>6316</v>
      </c>
      <c r="AC321" t="s">
        <v>6317</v>
      </c>
      <c r="AD321" t="s">
        <v>6318</v>
      </c>
      <c r="AE321" t="s">
        <v>6319</v>
      </c>
      <c r="AF321" t="s">
        <v>74</v>
      </c>
      <c r="AG321">
        <v>69</v>
      </c>
      <c r="AH321">
        <v>0</v>
      </c>
      <c r="AI321">
        <v>0</v>
      </c>
      <c r="AJ321">
        <v>6</v>
      </c>
      <c r="AK321">
        <v>6</v>
      </c>
      <c r="AL321" t="s">
        <v>1208</v>
      </c>
      <c r="AM321" t="s">
        <v>1209</v>
      </c>
      <c r="AN321" t="s">
        <v>1210</v>
      </c>
      <c r="AO321" t="s">
        <v>5762</v>
      </c>
      <c r="AP321" t="s">
        <v>5763</v>
      </c>
      <c r="AQ321" t="s">
        <v>74</v>
      </c>
      <c r="AR321" t="s">
        <v>5764</v>
      </c>
      <c r="AS321" t="s">
        <v>5765</v>
      </c>
      <c r="AT321" t="s">
        <v>1947</v>
      </c>
      <c r="AU321">
        <v>2023</v>
      </c>
      <c r="AV321">
        <v>128</v>
      </c>
      <c r="AW321">
        <v>12</v>
      </c>
      <c r="AX321" t="s">
        <v>74</v>
      </c>
      <c r="AY321" t="s">
        <v>74</v>
      </c>
      <c r="AZ321" t="s">
        <v>74</v>
      </c>
      <c r="BA321" t="s">
        <v>74</v>
      </c>
      <c r="BB321" t="s">
        <v>74</v>
      </c>
      <c r="BC321" t="s">
        <v>74</v>
      </c>
      <c r="BD321" t="s">
        <v>6320</v>
      </c>
      <c r="BE321" t="s">
        <v>6321</v>
      </c>
      <c r="BF321" t="str">
        <f>HYPERLINK("http://dx.doi.org/10.1029/2023JC019925","http://dx.doi.org/10.1029/2023JC019925")</f>
        <v>http://dx.doi.org/10.1029/2023JC019925</v>
      </c>
      <c r="BG321" t="s">
        <v>74</v>
      </c>
      <c r="BH321" t="s">
        <v>74</v>
      </c>
      <c r="BI321">
        <v>15</v>
      </c>
      <c r="BJ321" t="s">
        <v>5060</v>
      </c>
      <c r="BK321" t="s">
        <v>100</v>
      </c>
      <c r="BL321" t="s">
        <v>5060</v>
      </c>
      <c r="BM321" t="s">
        <v>6322</v>
      </c>
      <c r="BN321" t="s">
        <v>74</v>
      </c>
      <c r="BO321" t="s">
        <v>103</v>
      </c>
      <c r="BP321" t="s">
        <v>74</v>
      </c>
      <c r="BQ321" t="s">
        <v>74</v>
      </c>
      <c r="BR321" t="s">
        <v>104</v>
      </c>
      <c r="BS321" t="s">
        <v>6323</v>
      </c>
      <c r="BT321" t="str">
        <f>HYPERLINK("https%3A%2F%2Fwww.webofscience.com%2Fwos%2Fwoscc%2Ffull-record%2FWOS:001128315600001","View Full Record in Web of Science")</f>
        <v>View Full Record in Web of Science</v>
      </c>
    </row>
    <row r="322" spans="1:72" x14ac:dyDescent="0.15">
      <c r="A322" t="s">
        <v>72</v>
      </c>
      <c r="B322" t="s">
        <v>6324</v>
      </c>
      <c r="C322" t="s">
        <v>74</v>
      </c>
      <c r="D322" t="s">
        <v>74</v>
      </c>
      <c r="E322" t="s">
        <v>74</v>
      </c>
      <c r="F322" t="s">
        <v>6325</v>
      </c>
      <c r="G322" t="s">
        <v>74</v>
      </c>
      <c r="H322" t="s">
        <v>74</v>
      </c>
      <c r="I322" t="s">
        <v>6326</v>
      </c>
      <c r="J322" t="s">
        <v>6327</v>
      </c>
      <c r="K322" t="s">
        <v>74</v>
      </c>
      <c r="L322" t="s">
        <v>74</v>
      </c>
      <c r="M322" t="s">
        <v>78</v>
      </c>
      <c r="N322" t="s">
        <v>79</v>
      </c>
      <c r="O322" t="s">
        <v>74</v>
      </c>
      <c r="P322" t="s">
        <v>74</v>
      </c>
      <c r="Q322" t="s">
        <v>74</v>
      </c>
      <c r="R322" t="s">
        <v>74</v>
      </c>
      <c r="S322" t="s">
        <v>74</v>
      </c>
      <c r="T322" t="s">
        <v>74</v>
      </c>
      <c r="U322" t="s">
        <v>6328</v>
      </c>
      <c r="V322" t="s">
        <v>6329</v>
      </c>
      <c r="W322" t="s">
        <v>6330</v>
      </c>
      <c r="X322" t="s">
        <v>6331</v>
      </c>
      <c r="Y322" t="s">
        <v>6332</v>
      </c>
      <c r="Z322" t="s">
        <v>6333</v>
      </c>
      <c r="AA322" t="s">
        <v>6334</v>
      </c>
      <c r="AB322" t="s">
        <v>6335</v>
      </c>
      <c r="AC322" t="s">
        <v>6336</v>
      </c>
      <c r="AD322" t="s">
        <v>6337</v>
      </c>
      <c r="AE322" t="s">
        <v>6338</v>
      </c>
      <c r="AF322" t="s">
        <v>74</v>
      </c>
      <c r="AG322">
        <v>130</v>
      </c>
      <c r="AH322">
        <v>0</v>
      </c>
      <c r="AI322">
        <v>0</v>
      </c>
      <c r="AJ322">
        <v>5</v>
      </c>
      <c r="AK322">
        <v>5</v>
      </c>
      <c r="AL322" t="s">
        <v>1208</v>
      </c>
      <c r="AM322" t="s">
        <v>1209</v>
      </c>
      <c r="AN322" t="s">
        <v>1210</v>
      </c>
      <c r="AO322" t="s">
        <v>6339</v>
      </c>
      <c r="AP322" t="s">
        <v>6340</v>
      </c>
      <c r="AQ322" t="s">
        <v>74</v>
      </c>
      <c r="AR322" t="s">
        <v>6341</v>
      </c>
      <c r="AS322" t="s">
        <v>6342</v>
      </c>
      <c r="AT322" t="s">
        <v>1947</v>
      </c>
      <c r="AU322">
        <v>2023</v>
      </c>
      <c r="AV322">
        <v>38</v>
      </c>
      <c r="AW322">
        <v>12</v>
      </c>
      <c r="AX322" t="s">
        <v>74</v>
      </c>
      <c r="AY322" t="s">
        <v>74</v>
      </c>
      <c r="AZ322" t="s">
        <v>74</v>
      </c>
      <c r="BA322" t="s">
        <v>74</v>
      </c>
      <c r="BB322" t="s">
        <v>74</v>
      </c>
      <c r="BC322" t="s">
        <v>74</v>
      </c>
      <c r="BD322" t="s">
        <v>6343</v>
      </c>
      <c r="BE322" t="s">
        <v>6344</v>
      </c>
      <c r="BF322" t="str">
        <f>HYPERLINK("http://dx.doi.org/10.1029/2023PA004690","http://dx.doi.org/10.1029/2023PA004690")</f>
        <v>http://dx.doi.org/10.1029/2023PA004690</v>
      </c>
      <c r="BG322" t="s">
        <v>74</v>
      </c>
      <c r="BH322" t="s">
        <v>74</v>
      </c>
      <c r="BI322">
        <v>23</v>
      </c>
      <c r="BJ322" t="s">
        <v>6345</v>
      </c>
      <c r="BK322" t="s">
        <v>100</v>
      </c>
      <c r="BL322" t="s">
        <v>6346</v>
      </c>
      <c r="BM322" t="s">
        <v>6347</v>
      </c>
      <c r="BN322" t="s">
        <v>74</v>
      </c>
      <c r="BO322" t="s">
        <v>103</v>
      </c>
      <c r="BP322" t="s">
        <v>74</v>
      </c>
      <c r="BQ322" t="s">
        <v>74</v>
      </c>
      <c r="BR322" t="s">
        <v>104</v>
      </c>
      <c r="BS322" t="s">
        <v>6348</v>
      </c>
      <c r="BT322" t="str">
        <f>HYPERLINK("https%3A%2F%2Fwww.webofscience.com%2Fwos%2Fwoscc%2Ffull-record%2FWOS:001128952100001","View Full Record in Web of Science")</f>
        <v>View Full Record in Web of Science</v>
      </c>
    </row>
    <row r="323" spans="1:72" x14ac:dyDescent="0.15">
      <c r="A323" t="s">
        <v>72</v>
      </c>
      <c r="B323" t="s">
        <v>6349</v>
      </c>
      <c r="C323" t="s">
        <v>74</v>
      </c>
      <c r="D323" t="s">
        <v>74</v>
      </c>
      <c r="E323" t="s">
        <v>74</v>
      </c>
      <c r="F323" t="s">
        <v>6350</v>
      </c>
      <c r="G323" t="s">
        <v>74</v>
      </c>
      <c r="H323" t="s">
        <v>74</v>
      </c>
      <c r="I323" t="s">
        <v>6351</v>
      </c>
      <c r="J323" t="s">
        <v>5749</v>
      </c>
      <c r="K323" t="s">
        <v>74</v>
      </c>
      <c r="L323" t="s">
        <v>74</v>
      </c>
      <c r="M323" t="s">
        <v>78</v>
      </c>
      <c r="N323" t="s">
        <v>79</v>
      </c>
      <c r="O323" t="s">
        <v>74</v>
      </c>
      <c r="P323" t="s">
        <v>74</v>
      </c>
      <c r="Q323" t="s">
        <v>74</v>
      </c>
      <c r="R323" t="s">
        <v>74</v>
      </c>
      <c r="S323" t="s">
        <v>74</v>
      </c>
      <c r="T323" t="s">
        <v>6352</v>
      </c>
      <c r="U323" t="s">
        <v>6353</v>
      </c>
      <c r="V323" t="s">
        <v>6354</v>
      </c>
      <c r="W323" t="s">
        <v>6355</v>
      </c>
      <c r="X323" t="s">
        <v>6356</v>
      </c>
      <c r="Y323" t="s">
        <v>6357</v>
      </c>
      <c r="Z323" t="s">
        <v>6358</v>
      </c>
      <c r="AA323" t="s">
        <v>6359</v>
      </c>
      <c r="AB323" t="s">
        <v>6360</v>
      </c>
      <c r="AC323" t="s">
        <v>6361</v>
      </c>
      <c r="AD323" t="s">
        <v>6362</v>
      </c>
      <c r="AE323" t="s">
        <v>6363</v>
      </c>
      <c r="AF323" t="s">
        <v>74</v>
      </c>
      <c r="AG323">
        <v>136</v>
      </c>
      <c r="AH323">
        <v>0</v>
      </c>
      <c r="AI323">
        <v>0</v>
      </c>
      <c r="AJ323">
        <v>4</v>
      </c>
      <c r="AK323">
        <v>4</v>
      </c>
      <c r="AL323" t="s">
        <v>1208</v>
      </c>
      <c r="AM323" t="s">
        <v>1209</v>
      </c>
      <c r="AN323" t="s">
        <v>1210</v>
      </c>
      <c r="AO323" t="s">
        <v>5762</v>
      </c>
      <c r="AP323" t="s">
        <v>5763</v>
      </c>
      <c r="AQ323" t="s">
        <v>74</v>
      </c>
      <c r="AR323" t="s">
        <v>5764</v>
      </c>
      <c r="AS323" t="s">
        <v>5765</v>
      </c>
      <c r="AT323" t="s">
        <v>1947</v>
      </c>
      <c r="AU323">
        <v>2023</v>
      </c>
      <c r="AV323">
        <v>128</v>
      </c>
      <c r="AW323">
        <v>12</v>
      </c>
      <c r="AX323" t="s">
        <v>74</v>
      </c>
      <c r="AY323" t="s">
        <v>74</v>
      </c>
      <c r="AZ323" t="s">
        <v>74</v>
      </c>
      <c r="BA323" t="s">
        <v>74</v>
      </c>
      <c r="BB323" t="s">
        <v>74</v>
      </c>
      <c r="BC323" t="s">
        <v>74</v>
      </c>
      <c r="BD323" t="s">
        <v>6364</v>
      </c>
      <c r="BE323" t="s">
        <v>6365</v>
      </c>
      <c r="BF323" t="str">
        <f>HYPERLINK("http://dx.doi.org/10.1029/2023JC019671","http://dx.doi.org/10.1029/2023JC019671")</f>
        <v>http://dx.doi.org/10.1029/2023JC019671</v>
      </c>
      <c r="BG323" t="s">
        <v>74</v>
      </c>
      <c r="BH323" t="s">
        <v>74</v>
      </c>
      <c r="BI323">
        <v>33</v>
      </c>
      <c r="BJ323" t="s">
        <v>5060</v>
      </c>
      <c r="BK323" t="s">
        <v>100</v>
      </c>
      <c r="BL323" t="s">
        <v>5060</v>
      </c>
      <c r="BM323" t="s">
        <v>6366</v>
      </c>
      <c r="BN323" t="s">
        <v>74</v>
      </c>
      <c r="BO323" t="s">
        <v>103</v>
      </c>
      <c r="BP323" t="s">
        <v>74</v>
      </c>
      <c r="BQ323" t="s">
        <v>74</v>
      </c>
      <c r="BR323" t="s">
        <v>104</v>
      </c>
      <c r="BS323" t="s">
        <v>6367</v>
      </c>
      <c r="BT323" t="str">
        <f>HYPERLINK("https%3A%2F%2Fwww.webofscience.com%2Fwos%2Fwoscc%2Ffull-record%2FWOS:001125706500001","View Full Record in Web of Science")</f>
        <v>View Full Record in Web of Science</v>
      </c>
    </row>
    <row r="324" spans="1:72" x14ac:dyDescent="0.15">
      <c r="A324" t="s">
        <v>72</v>
      </c>
      <c r="B324" t="s">
        <v>6368</v>
      </c>
      <c r="C324" t="s">
        <v>74</v>
      </c>
      <c r="D324" t="s">
        <v>74</v>
      </c>
      <c r="E324" t="s">
        <v>74</v>
      </c>
      <c r="F324" t="s">
        <v>6369</v>
      </c>
      <c r="G324" t="s">
        <v>74</v>
      </c>
      <c r="H324" t="s">
        <v>74</v>
      </c>
      <c r="I324" t="s">
        <v>6370</v>
      </c>
      <c r="J324" t="s">
        <v>6371</v>
      </c>
      <c r="K324" t="s">
        <v>74</v>
      </c>
      <c r="L324" t="s">
        <v>74</v>
      </c>
      <c r="M324" t="s">
        <v>78</v>
      </c>
      <c r="N324" t="s">
        <v>79</v>
      </c>
      <c r="O324" t="s">
        <v>74</v>
      </c>
      <c r="P324" t="s">
        <v>74</v>
      </c>
      <c r="Q324" t="s">
        <v>74</v>
      </c>
      <c r="R324" t="s">
        <v>74</v>
      </c>
      <c r="S324" t="s">
        <v>74</v>
      </c>
      <c r="T324" t="s">
        <v>6372</v>
      </c>
      <c r="U324" t="s">
        <v>6373</v>
      </c>
      <c r="V324" t="s">
        <v>6374</v>
      </c>
      <c r="W324" t="s">
        <v>6375</v>
      </c>
      <c r="X324" t="s">
        <v>6376</v>
      </c>
      <c r="Y324" t="s">
        <v>6377</v>
      </c>
      <c r="Z324" t="s">
        <v>6378</v>
      </c>
      <c r="AA324" t="s">
        <v>6379</v>
      </c>
      <c r="AB324" t="s">
        <v>6380</v>
      </c>
      <c r="AC324" t="s">
        <v>6381</v>
      </c>
      <c r="AD324" t="s">
        <v>6382</v>
      </c>
      <c r="AE324" t="s">
        <v>6383</v>
      </c>
      <c r="AF324" t="s">
        <v>74</v>
      </c>
      <c r="AG324">
        <v>83</v>
      </c>
      <c r="AH324">
        <v>0</v>
      </c>
      <c r="AI324">
        <v>0</v>
      </c>
      <c r="AJ324">
        <v>4</v>
      </c>
      <c r="AK324">
        <v>4</v>
      </c>
      <c r="AL324" t="s">
        <v>1101</v>
      </c>
      <c r="AM324" t="s">
        <v>1102</v>
      </c>
      <c r="AN324" t="s">
        <v>1103</v>
      </c>
      <c r="AO324" t="s">
        <v>6384</v>
      </c>
      <c r="AP324" t="s">
        <v>74</v>
      </c>
      <c r="AQ324" t="s">
        <v>74</v>
      </c>
      <c r="AR324" t="s">
        <v>6385</v>
      </c>
      <c r="AS324" t="s">
        <v>6386</v>
      </c>
      <c r="AT324" t="s">
        <v>1947</v>
      </c>
      <c r="AU324">
        <v>2023</v>
      </c>
      <c r="AV324">
        <v>13</v>
      </c>
      <c r="AW324">
        <v>12</v>
      </c>
      <c r="AX324" t="s">
        <v>74</v>
      </c>
      <c r="AY324" t="s">
        <v>74</v>
      </c>
      <c r="AZ324" t="s">
        <v>74</v>
      </c>
      <c r="BA324" t="s">
        <v>74</v>
      </c>
      <c r="BB324" t="s">
        <v>74</v>
      </c>
      <c r="BC324" t="s">
        <v>74</v>
      </c>
      <c r="BD324" t="s">
        <v>6387</v>
      </c>
      <c r="BE324" t="s">
        <v>6388</v>
      </c>
      <c r="BF324" t="str">
        <f>HYPERLINK("http://dx.doi.org/10.1002/ece3.10796","http://dx.doi.org/10.1002/ece3.10796")</f>
        <v>http://dx.doi.org/10.1002/ece3.10796</v>
      </c>
      <c r="BG324" t="s">
        <v>74</v>
      </c>
      <c r="BH324" t="s">
        <v>74</v>
      </c>
      <c r="BI324">
        <v>21</v>
      </c>
      <c r="BJ324" t="s">
        <v>6389</v>
      </c>
      <c r="BK324" t="s">
        <v>100</v>
      </c>
      <c r="BL324" t="s">
        <v>6390</v>
      </c>
      <c r="BM324" t="s">
        <v>6391</v>
      </c>
      <c r="BN324">
        <v>38089897</v>
      </c>
      <c r="BO324" t="s">
        <v>200</v>
      </c>
      <c r="BP324" t="s">
        <v>74</v>
      </c>
      <c r="BQ324" t="s">
        <v>74</v>
      </c>
      <c r="BR324" t="s">
        <v>104</v>
      </c>
      <c r="BS324" t="s">
        <v>6392</v>
      </c>
      <c r="BT324" t="str">
        <f>HYPERLINK("https%3A%2F%2Fwww.webofscience.com%2Fwos%2Fwoscc%2Ffull-record%2FWOS:001123615200001","View Full Record in Web of Science")</f>
        <v>View Full Record in Web of Science</v>
      </c>
    </row>
    <row r="325" spans="1:72" x14ac:dyDescent="0.15">
      <c r="A325" t="s">
        <v>72</v>
      </c>
      <c r="B325" t="s">
        <v>6393</v>
      </c>
      <c r="C325" t="s">
        <v>74</v>
      </c>
      <c r="D325" t="s">
        <v>74</v>
      </c>
      <c r="E325" t="s">
        <v>74</v>
      </c>
      <c r="F325" t="s">
        <v>6394</v>
      </c>
      <c r="G325" t="s">
        <v>74</v>
      </c>
      <c r="H325" t="s">
        <v>74</v>
      </c>
      <c r="I325" t="s">
        <v>6395</v>
      </c>
      <c r="J325" t="s">
        <v>5749</v>
      </c>
      <c r="K325" t="s">
        <v>74</v>
      </c>
      <c r="L325" t="s">
        <v>74</v>
      </c>
      <c r="M325" t="s">
        <v>78</v>
      </c>
      <c r="N325" t="s">
        <v>79</v>
      </c>
      <c r="O325" t="s">
        <v>74</v>
      </c>
      <c r="P325" t="s">
        <v>74</v>
      </c>
      <c r="Q325" t="s">
        <v>74</v>
      </c>
      <c r="R325" t="s">
        <v>74</v>
      </c>
      <c r="S325" t="s">
        <v>74</v>
      </c>
      <c r="T325" t="s">
        <v>74</v>
      </c>
      <c r="U325" t="s">
        <v>6396</v>
      </c>
      <c r="V325" t="s">
        <v>6397</v>
      </c>
      <c r="W325" t="s">
        <v>6398</v>
      </c>
      <c r="X325" t="s">
        <v>6399</v>
      </c>
      <c r="Y325" t="s">
        <v>6400</v>
      </c>
      <c r="Z325" t="s">
        <v>6401</v>
      </c>
      <c r="AA325" t="s">
        <v>74</v>
      </c>
      <c r="AB325" t="s">
        <v>74</v>
      </c>
      <c r="AC325" t="s">
        <v>6402</v>
      </c>
      <c r="AD325" t="s">
        <v>6403</v>
      </c>
      <c r="AE325" t="s">
        <v>6404</v>
      </c>
      <c r="AF325" t="s">
        <v>74</v>
      </c>
      <c r="AG325">
        <v>40</v>
      </c>
      <c r="AH325">
        <v>0</v>
      </c>
      <c r="AI325">
        <v>0</v>
      </c>
      <c r="AJ325">
        <v>5</v>
      </c>
      <c r="AK325">
        <v>5</v>
      </c>
      <c r="AL325" t="s">
        <v>1208</v>
      </c>
      <c r="AM325" t="s">
        <v>1209</v>
      </c>
      <c r="AN325" t="s">
        <v>1210</v>
      </c>
      <c r="AO325" t="s">
        <v>5762</v>
      </c>
      <c r="AP325" t="s">
        <v>5763</v>
      </c>
      <c r="AQ325" t="s">
        <v>74</v>
      </c>
      <c r="AR325" t="s">
        <v>5764</v>
      </c>
      <c r="AS325" t="s">
        <v>5765</v>
      </c>
      <c r="AT325" t="s">
        <v>1947</v>
      </c>
      <c r="AU325">
        <v>2023</v>
      </c>
      <c r="AV325">
        <v>128</v>
      </c>
      <c r="AW325">
        <v>12</v>
      </c>
      <c r="AX325" t="s">
        <v>74</v>
      </c>
      <c r="AY325" t="s">
        <v>74</v>
      </c>
      <c r="AZ325" t="s">
        <v>74</v>
      </c>
      <c r="BA325" t="s">
        <v>74</v>
      </c>
      <c r="BB325" t="s">
        <v>74</v>
      </c>
      <c r="BC325" t="s">
        <v>74</v>
      </c>
      <c r="BD325" t="s">
        <v>6405</v>
      </c>
      <c r="BE325" t="s">
        <v>6406</v>
      </c>
      <c r="BF325" t="str">
        <f>HYPERLINK("http://dx.doi.org/10.1029/2023JC020138","http://dx.doi.org/10.1029/2023JC020138")</f>
        <v>http://dx.doi.org/10.1029/2023JC020138</v>
      </c>
      <c r="BG325" t="s">
        <v>74</v>
      </c>
      <c r="BH325" t="s">
        <v>74</v>
      </c>
      <c r="BI325">
        <v>35</v>
      </c>
      <c r="BJ325" t="s">
        <v>5060</v>
      </c>
      <c r="BK325" t="s">
        <v>100</v>
      </c>
      <c r="BL325" t="s">
        <v>5060</v>
      </c>
      <c r="BM325" t="s">
        <v>6407</v>
      </c>
      <c r="BN325" t="s">
        <v>74</v>
      </c>
      <c r="BO325" t="s">
        <v>103</v>
      </c>
      <c r="BP325" t="s">
        <v>74</v>
      </c>
      <c r="BQ325" t="s">
        <v>74</v>
      </c>
      <c r="BR325" t="s">
        <v>104</v>
      </c>
      <c r="BS325" t="s">
        <v>6408</v>
      </c>
      <c r="BT325" t="str">
        <f>HYPERLINK("https%3A%2F%2Fwww.webofscience.com%2Fwos%2Fwoscc%2Ffull-record%2FWOS:001123124100001","View Full Record in Web of Science")</f>
        <v>View Full Record in Web of Science</v>
      </c>
    </row>
    <row r="326" spans="1:72" x14ac:dyDescent="0.15">
      <c r="A326" t="s">
        <v>72</v>
      </c>
      <c r="B326" t="s">
        <v>6409</v>
      </c>
      <c r="C326" t="s">
        <v>74</v>
      </c>
      <c r="D326" t="s">
        <v>74</v>
      </c>
      <c r="E326" t="s">
        <v>74</v>
      </c>
      <c r="F326" t="s">
        <v>6410</v>
      </c>
      <c r="G326" t="s">
        <v>74</v>
      </c>
      <c r="H326" t="s">
        <v>74</v>
      </c>
      <c r="I326" t="s">
        <v>6411</v>
      </c>
      <c r="J326" t="s">
        <v>6412</v>
      </c>
      <c r="K326" t="s">
        <v>74</v>
      </c>
      <c r="L326" t="s">
        <v>74</v>
      </c>
      <c r="M326" t="s">
        <v>78</v>
      </c>
      <c r="N326" t="s">
        <v>79</v>
      </c>
      <c r="O326" t="s">
        <v>74</v>
      </c>
      <c r="P326" t="s">
        <v>74</v>
      </c>
      <c r="Q326" t="s">
        <v>74</v>
      </c>
      <c r="R326" t="s">
        <v>74</v>
      </c>
      <c r="S326" t="s">
        <v>74</v>
      </c>
      <c r="T326" t="s">
        <v>6413</v>
      </c>
      <c r="U326" t="s">
        <v>6414</v>
      </c>
      <c r="V326" t="s">
        <v>6415</v>
      </c>
      <c r="W326" t="s">
        <v>6416</v>
      </c>
      <c r="X326" t="s">
        <v>6417</v>
      </c>
      <c r="Y326" t="s">
        <v>6418</v>
      </c>
      <c r="Z326" t="s">
        <v>6419</v>
      </c>
      <c r="AA326" t="s">
        <v>6420</v>
      </c>
      <c r="AB326" t="s">
        <v>6421</v>
      </c>
      <c r="AC326" t="s">
        <v>6422</v>
      </c>
      <c r="AD326" t="s">
        <v>6423</v>
      </c>
      <c r="AE326" t="s">
        <v>6424</v>
      </c>
      <c r="AF326" t="s">
        <v>74</v>
      </c>
      <c r="AG326">
        <v>113</v>
      </c>
      <c r="AH326">
        <v>0</v>
      </c>
      <c r="AI326">
        <v>0</v>
      </c>
      <c r="AJ326">
        <v>1</v>
      </c>
      <c r="AK326">
        <v>1</v>
      </c>
      <c r="AL326" t="s">
        <v>1208</v>
      </c>
      <c r="AM326" t="s">
        <v>1209</v>
      </c>
      <c r="AN326" t="s">
        <v>1210</v>
      </c>
      <c r="AO326" t="s">
        <v>6425</v>
      </c>
      <c r="AP326" t="s">
        <v>6426</v>
      </c>
      <c r="AQ326" t="s">
        <v>74</v>
      </c>
      <c r="AR326" t="s">
        <v>6427</v>
      </c>
      <c r="AS326" t="s">
        <v>6428</v>
      </c>
      <c r="AT326" t="s">
        <v>1947</v>
      </c>
      <c r="AU326">
        <v>2023</v>
      </c>
      <c r="AV326">
        <v>128</v>
      </c>
      <c r="AW326">
        <v>12</v>
      </c>
      <c r="AX326" t="s">
        <v>74</v>
      </c>
      <c r="AY326" t="s">
        <v>74</v>
      </c>
      <c r="AZ326" t="s">
        <v>74</v>
      </c>
      <c r="BA326" t="s">
        <v>74</v>
      </c>
      <c r="BB326" t="s">
        <v>74</v>
      </c>
      <c r="BC326" t="s">
        <v>74</v>
      </c>
      <c r="BD326" t="s">
        <v>6429</v>
      </c>
      <c r="BE326" t="s">
        <v>6430</v>
      </c>
      <c r="BF326" t="str">
        <f>HYPERLINK("http://dx.doi.org/10.1029/2023JA031946","http://dx.doi.org/10.1029/2023JA031946")</f>
        <v>http://dx.doi.org/10.1029/2023JA031946</v>
      </c>
      <c r="BG326" t="s">
        <v>74</v>
      </c>
      <c r="BH326" t="s">
        <v>74</v>
      </c>
      <c r="BI326">
        <v>16</v>
      </c>
      <c r="BJ326" t="s">
        <v>4706</v>
      </c>
      <c r="BK326" t="s">
        <v>100</v>
      </c>
      <c r="BL326" t="s">
        <v>4706</v>
      </c>
      <c r="BM326" t="s">
        <v>6431</v>
      </c>
      <c r="BN326" t="s">
        <v>74</v>
      </c>
      <c r="BO326" t="s">
        <v>103</v>
      </c>
      <c r="BP326" t="s">
        <v>74</v>
      </c>
      <c r="BQ326" t="s">
        <v>74</v>
      </c>
      <c r="BR326" t="s">
        <v>104</v>
      </c>
      <c r="BS326" t="s">
        <v>6432</v>
      </c>
      <c r="BT326" t="str">
        <f>HYPERLINK("https%3A%2F%2Fwww.webofscience.com%2Fwos%2Fwoscc%2Ffull-record%2FWOS:001121576300001","View Full Record in Web of Science")</f>
        <v>View Full Record in Web of Science</v>
      </c>
    </row>
    <row r="327" spans="1:72" x14ac:dyDescent="0.15">
      <c r="A327" t="s">
        <v>72</v>
      </c>
      <c r="B327" t="s">
        <v>6433</v>
      </c>
      <c r="C327" t="s">
        <v>74</v>
      </c>
      <c r="D327" t="s">
        <v>74</v>
      </c>
      <c r="E327" t="s">
        <v>74</v>
      </c>
      <c r="F327" t="s">
        <v>6434</v>
      </c>
      <c r="G327" t="s">
        <v>74</v>
      </c>
      <c r="H327" t="s">
        <v>74</v>
      </c>
      <c r="I327" t="s">
        <v>6435</v>
      </c>
      <c r="J327" t="s">
        <v>6327</v>
      </c>
      <c r="K327" t="s">
        <v>74</v>
      </c>
      <c r="L327" t="s">
        <v>74</v>
      </c>
      <c r="M327" t="s">
        <v>78</v>
      </c>
      <c r="N327" t="s">
        <v>79</v>
      </c>
      <c r="O327" t="s">
        <v>74</v>
      </c>
      <c r="P327" t="s">
        <v>74</v>
      </c>
      <c r="Q327" t="s">
        <v>74</v>
      </c>
      <c r="R327" t="s">
        <v>74</v>
      </c>
      <c r="S327" t="s">
        <v>74</v>
      </c>
      <c r="T327" t="s">
        <v>6436</v>
      </c>
      <c r="U327" t="s">
        <v>6437</v>
      </c>
      <c r="V327" t="s">
        <v>6438</v>
      </c>
      <c r="W327" t="s">
        <v>6439</v>
      </c>
      <c r="X327" t="s">
        <v>6440</v>
      </c>
      <c r="Y327" t="s">
        <v>6441</v>
      </c>
      <c r="Z327" t="s">
        <v>6442</v>
      </c>
      <c r="AA327" t="s">
        <v>74</v>
      </c>
      <c r="AB327" t="s">
        <v>6443</v>
      </c>
      <c r="AC327" t="s">
        <v>6444</v>
      </c>
      <c r="AD327" t="s">
        <v>6445</v>
      </c>
      <c r="AE327" t="s">
        <v>6446</v>
      </c>
      <c r="AF327" t="s">
        <v>74</v>
      </c>
      <c r="AG327">
        <v>71</v>
      </c>
      <c r="AH327">
        <v>0</v>
      </c>
      <c r="AI327">
        <v>0</v>
      </c>
      <c r="AJ327">
        <v>4</v>
      </c>
      <c r="AK327">
        <v>4</v>
      </c>
      <c r="AL327" t="s">
        <v>1208</v>
      </c>
      <c r="AM327" t="s">
        <v>1209</v>
      </c>
      <c r="AN327" t="s">
        <v>1210</v>
      </c>
      <c r="AO327" t="s">
        <v>6339</v>
      </c>
      <c r="AP327" t="s">
        <v>6340</v>
      </c>
      <c r="AQ327" t="s">
        <v>74</v>
      </c>
      <c r="AR327" t="s">
        <v>6341</v>
      </c>
      <c r="AS327" t="s">
        <v>6342</v>
      </c>
      <c r="AT327" t="s">
        <v>1947</v>
      </c>
      <c r="AU327">
        <v>2023</v>
      </c>
      <c r="AV327">
        <v>38</v>
      </c>
      <c r="AW327">
        <v>12</v>
      </c>
      <c r="AX327" t="s">
        <v>74</v>
      </c>
      <c r="AY327" t="s">
        <v>74</v>
      </c>
      <c r="AZ327" t="s">
        <v>74</v>
      </c>
      <c r="BA327" t="s">
        <v>74</v>
      </c>
      <c r="BB327" t="s">
        <v>74</v>
      </c>
      <c r="BC327" t="s">
        <v>74</v>
      </c>
      <c r="BD327" t="s">
        <v>6447</v>
      </c>
      <c r="BE327" t="s">
        <v>6448</v>
      </c>
      <c r="BF327" t="str">
        <f>HYPERLINK("http://dx.doi.org/10.1029/2023PA004761","http://dx.doi.org/10.1029/2023PA004761")</f>
        <v>http://dx.doi.org/10.1029/2023PA004761</v>
      </c>
      <c r="BG327" t="s">
        <v>74</v>
      </c>
      <c r="BH327" t="s">
        <v>74</v>
      </c>
      <c r="BI327">
        <v>15</v>
      </c>
      <c r="BJ327" t="s">
        <v>6345</v>
      </c>
      <c r="BK327" t="s">
        <v>100</v>
      </c>
      <c r="BL327" t="s">
        <v>6346</v>
      </c>
      <c r="BM327" t="s">
        <v>6449</v>
      </c>
      <c r="BN327" t="s">
        <v>74</v>
      </c>
      <c r="BO327" t="s">
        <v>1356</v>
      </c>
      <c r="BP327" t="s">
        <v>74</v>
      </c>
      <c r="BQ327" t="s">
        <v>74</v>
      </c>
      <c r="BR327" t="s">
        <v>104</v>
      </c>
      <c r="BS327" t="s">
        <v>6450</v>
      </c>
      <c r="BT327" t="str">
        <f>HYPERLINK("https%3A%2F%2Fwww.webofscience.com%2Fwos%2Fwoscc%2Ffull-record%2FWOS:001121578100001","View Full Record in Web of Science")</f>
        <v>View Full Record in Web of Science</v>
      </c>
    </row>
    <row r="328" spans="1:72" x14ac:dyDescent="0.15">
      <c r="A328" t="s">
        <v>72</v>
      </c>
      <c r="B328" t="s">
        <v>6451</v>
      </c>
      <c r="C328" t="s">
        <v>74</v>
      </c>
      <c r="D328" t="s">
        <v>74</v>
      </c>
      <c r="E328" t="s">
        <v>74</v>
      </c>
      <c r="F328" t="s">
        <v>6452</v>
      </c>
      <c r="G328" t="s">
        <v>74</v>
      </c>
      <c r="H328" t="s">
        <v>74</v>
      </c>
      <c r="I328" t="s">
        <v>6453</v>
      </c>
      <c r="J328" t="s">
        <v>6454</v>
      </c>
      <c r="K328" t="s">
        <v>74</v>
      </c>
      <c r="L328" t="s">
        <v>74</v>
      </c>
      <c r="M328" t="s">
        <v>78</v>
      </c>
      <c r="N328" t="s">
        <v>79</v>
      </c>
      <c r="O328" t="s">
        <v>74</v>
      </c>
      <c r="P328" t="s">
        <v>74</v>
      </c>
      <c r="Q328" t="s">
        <v>74</v>
      </c>
      <c r="R328" t="s">
        <v>74</v>
      </c>
      <c r="S328" t="s">
        <v>74</v>
      </c>
      <c r="T328" t="s">
        <v>6455</v>
      </c>
      <c r="U328" t="s">
        <v>6456</v>
      </c>
      <c r="V328" t="s">
        <v>6457</v>
      </c>
      <c r="W328" t="s">
        <v>6458</v>
      </c>
      <c r="X328" t="s">
        <v>6459</v>
      </c>
      <c r="Y328" t="s">
        <v>6460</v>
      </c>
      <c r="Z328" t="s">
        <v>6461</v>
      </c>
      <c r="AA328" t="s">
        <v>6462</v>
      </c>
      <c r="AB328" t="s">
        <v>6463</v>
      </c>
      <c r="AC328" t="s">
        <v>6464</v>
      </c>
      <c r="AD328" t="s">
        <v>6465</v>
      </c>
      <c r="AE328" t="s">
        <v>6466</v>
      </c>
      <c r="AF328" t="s">
        <v>74</v>
      </c>
      <c r="AG328">
        <v>52</v>
      </c>
      <c r="AH328">
        <v>0</v>
      </c>
      <c r="AI328">
        <v>0</v>
      </c>
      <c r="AJ328">
        <v>0</v>
      </c>
      <c r="AK328">
        <v>0</v>
      </c>
      <c r="AL328" t="s">
        <v>1208</v>
      </c>
      <c r="AM328" t="s">
        <v>1209</v>
      </c>
      <c r="AN328" t="s">
        <v>1210</v>
      </c>
      <c r="AO328" t="s">
        <v>6467</v>
      </c>
      <c r="AP328" t="s">
        <v>6468</v>
      </c>
      <c r="AQ328" t="s">
        <v>74</v>
      </c>
      <c r="AR328" t="s">
        <v>6469</v>
      </c>
      <c r="AS328" t="s">
        <v>6470</v>
      </c>
      <c r="AT328" t="s">
        <v>1947</v>
      </c>
      <c r="AU328">
        <v>2023</v>
      </c>
      <c r="AV328">
        <v>58</v>
      </c>
      <c r="AW328">
        <v>12</v>
      </c>
      <c r="AX328" t="s">
        <v>74</v>
      </c>
      <c r="AY328" t="s">
        <v>74</v>
      </c>
      <c r="AZ328" t="s">
        <v>74</v>
      </c>
      <c r="BA328" t="s">
        <v>74</v>
      </c>
      <c r="BB328" t="s">
        <v>74</v>
      </c>
      <c r="BC328" t="s">
        <v>74</v>
      </c>
      <c r="BD328" t="s">
        <v>6471</v>
      </c>
      <c r="BE328" t="s">
        <v>6472</v>
      </c>
      <c r="BF328" t="str">
        <f>HYPERLINK("http://dx.doi.org/10.1029/2023RS007833","http://dx.doi.org/10.1029/2023RS007833")</f>
        <v>http://dx.doi.org/10.1029/2023RS007833</v>
      </c>
      <c r="BG328" t="s">
        <v>74</v>
      </c>
      <c r="BH328" t="s">
        <v>74</v>
      </c>
      <c r="BI328">
        <v>18</v>
      </c>
      <c r="BJ328" t="s">
        <v>6473</v>
      </c>
      <c r="BK328" t="s">
        <v>100</v>
      </c>
      <c r="BL328" t="s">
        <v>6473</v>
      </c>
      <c r="BM328" t="s">
        <v>6474</v>
      </c>
      <c r="BN328" t="s">
        <v>74</v>
      </c>
      <c r="BO328" t="s">
        <v>74</v>
      </c>
      <c r="BP328" t="s">
        <v>74</v>
      </c>
      <c r="BQ328" t="s">
        <v>74</v>
      </c>
      <c r="BR328" t="s">
        <v>104</v>
      </c>
      <c r="BS328" t="s">
        <v>6475</v>
      </c>
      <c r="BT328" t="str">
        <f>HYPERLINK("https%3A%2F%2Fwww.webofscience.com%2Fwos%2Fwoscc%2Ffull-record%2FWOS:001122488000001","View Full Record in Web of Science")</f>
        <v>View Full Record in Web of Science</v>
      </c>
    </row>
    <row r="329" spans="1:72" x14ac:dyDescent="0.15">
      <c r="A329" t="s">
        <v>72</v>
      </c>
      <c r="B329" t="s">
        <v>6476</v>
      </c>
      <c r="C329" t="s">
        <v>74</v>
      </c>
      <c r="D329" t="s">
        <v>74</v>
      </c>
      <c r="E329" t="s">
        <v>74</v>
      </c>
      <c r="F329" t="s">
        <v>6477</v>
      </c>
      <c r="G329" t="s">
        <v>74</v>
      </c>
      <c r="H329" t="s">
        <v>74</v>
      </c>
      <c r="I329" t="s">
        <v>6478</v>
      </c>
      <c r="J329" t="s">
        <v>5749</v>
      </c>
      <c r="K329" t="s">
        <v>74</v>
      </c>
      <c r="L329" t="s">
        <v>74</v>
      </c>
      <c r="M329" t="s">
        <v>78</v>
      </c>
      <c r="N329" t="s">
        <v>79</v>
      </c>
      <c r="O329" t="s">
        <v>74</v>
      </c>
      <c r="P329" t="s">
        <v>74</v>
      </c>
      <c r="Q329" t="s">
        <v>74</v>
      </c>
      <c r="R329" t="s">
        <v>74</v>
      </c>
      <c r="S329" t="s">
        <v>74</v>
      </c>
      <c r="T329" t="s">
        <v>6479</v>
      </c>
      <c r="U329" t="s">
        <v>6480</v>
      </c>
      <c r="V329" t="s">
        <v>6481</v>
      </c>
      <c r="W329" t="s">
        <v>6482</v>
      </c>
      <c r="X329" t="s">
        <v>6483</v>
      </c>
      <c r="Y329" t="s">
        <v>6484</v>
      </c>
      <c r="Z329" t="s">
        <v>6485</v>
      </c>
      <c r="AA329" t="s">
        <v>6486</v>
      </c>
      <c r="AB329" t="s">
        <v>6487</v>
      </c>
      <c r="AC329" t="s">
        <v>6488</v>
      </c>
      <c r="AD329" t="s">
        <v>6489</v>
      </c>
      <c r="AE329" t="s">
        <v>6490</v>
      </c>
      <c r="AF329" t="s">
        <v>74</v>
      </c>
      <c r="AG329">
        <v>64</v>
      </c>
      <c r="AH329">
        <v>0</v>
      </c>
      <c r="AI329">
        <v>0</v>
      </c>
      <c r="AJ329">
        <v>7</v>
      </c>
      <c r="AK329">
        <v>7</v>
      </c>
      <c r="AL329" t="s">
        <v>1208</v>
      </c>
      <c r="AM329" t="s">
        <v>1209</v>
      </c>
      <c r="AN329" t="s">
        <v>1210</v>
      </c>
      <c r="AO329" t="s">
        <v>5762</v>
      </c>
      <c r="AP329" t="s">
        <v>5763</v>
      </c>
      <c r="AQ329" t="s">
        <v>74</v>
      </c>
      <c r="AR329" t="s">
        <v>5764</v>
      </c>
      <c r="AS329" t="s">
        <v>5765</v>
      </c>
      <c r="AT329" t="s">
        <v>1947</v>
      </c>
      <c r="AU329">
        <v>2023</v>
      </c>
      <c r="AV329">
        <v>128</v>
      </c>
      <c r="AW329">
        <v>12</v>
      </c>
      <c r="AX329" t="s">
        <v>74</v>
      </c>
      <c r="AY329" t="s">
        <v>74</v>
      </c>
      <c r="AZ329" t="s">
        <v>74</v>
      </c>
      <c r="BA329" t="s">
        <v>74</v>
      </c>
      <c r="BB329" t="s">
        <v>74</v>
      </c>
      <c r="BC329" t="s">
        <v>74</v>
      </c>
      <c r="BD329" t="s">
        <v>6491</v>
      </c>
      <c r="BE329" t="s">
        <v>6492</v>
      </c>
      <c r="BF329" t="str">
        <f>HYPERLINK("http://dx.doi.org/10.1029/2023JC019935","http://dx.doi.org/10.1029/2023JC019935")</f>
        <v>http://dx.doi.org/10.1029/2023JC019935</v>
      </c>
      <c r="BG329" t="s">
        <v>74</v>
      </c>
      <c r="BH329" t="s">
        <v>74</v>
      </c>
      <c r="BI329">
        <v>13</v>
      </c>
      <c r="BJ329" t="s">
        <v>5060</v>
      </c>
      <c r="BK329" t="s">
        <v>100</v>
      </c>
      <c r="BL329" t="s">
        <v>5060</v>
      </c>
      <c r="BM329" t="s">
        <v>6493</v>
      </c>
      <c r="BN329" t="s">
        <v>74</v>
      </c>
      <c r="BO329" t="s">
        <v>74</v>
      </c>
      <c r="BP329" t="s">
        <v>74</v>
      </c>
      <c r="BQ329" t="s">
        <v>74</v>
      </c>
      <c r="BR329" t="s">
        <v>104</v>
      </c>
      <c r="BS329" t="s">
        <v>6494</v>
      </c>
      <c r="BT329" t="str">
        <f>HYPERLINK("https%3A%2F%2Fwww.webofscience.com%2Fwos%2Fwoscc%2Ffull-record%2FWOS:001118946900001","View Full Record in Web of Science")</f>
        <v>View Full Record in Web of Science</v>
      </c>
    </row>
    <row r="330" spans="1:72" x14ac:dyDescent="0.15">
      <c r="A330" t="s">
        <v>72</v>
      </c>
      <c r="B330" t="s">
        <v>6495</v>
      </c>
      <c r="C330" t="s">
        <v>74</v>
      </c>
      <c r="D330" t="s">
        <v>74</v>
      </c>
      <c r="E330" t="s">
        <v>74</v>
      </c>
      <c r="F330" t="s">
        <v>6496</v>
      </c>
      <c r="G330" t="s">
        <v>74</v>
      </c>
      <c r="H330" t="s">
        <v>74</v>
      </c>
      <c r="I330" t="s">
        <v>6497</v>
      </c>
      <c r="J330" t="s">
        <v>5853</v>
      </c>
      <c r="K330" t="s">
        <v>74</v>
      </c>
      <c r="L330" t="s">
        <v>74</v>
      </c>
      <c r="M330" t="s">
        <v>78</v>
      </c>
      <c r="N330" t="s">
        <v>79</v>
      </c>
      <c r="O330" t="s">
        <v>74</v>
      </c>
      <c r="P330" t="s">
        <v>74</v>
      </c>
      <c r="Q330" t="s">
        <v>74</v>
      </c>
      <c r="R330" t="s">
        <v>74</v>
      </c>
      <c r="S330" t="s">
        <v>74</v>
      </c>
      <c r="T330" t="s">
        <v>6498</v>
      </c>
      <c r="U330" t="s">
        <v>6499</v>
      </c>
      <c r="V330" t="s">
        <v>6500</v>
      </c>
      <c r="W330" t="s">
        <v>6501</v>
      </c>
      <c r="X330" t="s">
        <v>6502</v>
      </c>
      <c r="Y330" t="s">
        <v>6503</v>
      </c>
      <c r="Z330" t="s">
        <v>6504</v>
      </c>
      <c r="AA330" t="s">
        <v>6505</v>
      </c>
      <c r="AB330" t="s">
        <v>6506</v>
      </c>
      <c r="AC330" t="s">
        <v>6507</v>
      </c>
      <c r="AD330" t="s">
        <v>6508</v>
      </c>
      <c r="AE330" t="s">
        <v>6509</v>
      </c>
      <c r="AF330" t="s">
        <v>74</v>
      </c>
      <c r="AG330">
        <v>32</v>
      </c>
      <c r="AH330">
        <v>0</v>
      </c>
      <c r="AI330">
        <v>0</v>
      </c>
      <c r="AJ330">
        <v>3</v>
      </c>
      <c r="AK330">
        <v>3</v>
      </c>
      <c r="AL330" t="s">
        <v>5117</v>
      </c>
      <c r="AM330" t="s">
        <v>5118</v>
      </c>
      <c r="AN330" t="s">
        <v>5119</v>
      </c>
      <c r="AO330" t="s">
        <v>5864</v>
      </c>
      <c r="AP330" t="s">
        <v>5865</v>
      </c>
      <c r="AQ330" t="s">
        <v>74</v>
      </c>
      <c r="AR330" t="s">
        <v>5866</v>
      </c>
      <c r="AS330" t="s">
        <v>5867</v>
      </c>
      <c r="AT330" t="s">
        <v>1947</v>
      </c>
      <c r="AU330">
        <v>2023</v>
      </c>
      <c r="AV330">
        <v>53</v>
      </c>
      <c r="AW330">
        <v>12</v>
      </c>
      <c r="AX330" t="s">
        <v>74</v>
      </c>
      <c r="AY330" t="s">
        <v>74</v>
      </c>
      <c r="AZ330" t="s">
        <v>74</v>
      </c>
      <c r="BA330" t="s">
        <v>74</v>
      </c>
      <c r="BB330">
        <v>2787</v>
      </c>
      <c r="BC330">
        <v>2796</v>
      </c>
      <c r="BD330" t="s">
        <v>74</v>
      </c>
      <c r="BE330" t="s">
        <v>6510</v>
      </c>
      <c r="BF330" t="str">
        <f>HYPERLINK("http://dx.doi.org/10.1175/JPO-D-23-0127.1","http://dx.doi.org/10.1175/JPO-D-23-0127.1")</f>
        <v>http://dx.doi.org/10.1175/JPO-D-23-0127.1</v>
      </c>
      <c r="BG330" t="s">
        <v>74</v>
      </c>
      <c r="BH330" t="s">
        <v>74</v>
      </c>
      <c r="BI330">
        <v>10</v>
      </c>
      <c r="BJ330" t="s">
        <v>5060</v>
      </c>
      <c r="BK330" t="s">
        <v>100</v>
      </c>
      <c r="BL330" t="s">
        <v>5060</v>
      </c>
      <c r="BM330" t="s">
        <v>6511</v>
      </c>
      <c r="BN330" t="s">
        <v>74</v>
      </c>
      <c r="BO330" t="s">
        <v>74</v>
      </c>
      <c r="BP330" t="s">
        <v>74</v>
      </c>
      <c r="BQ330" t="s">
        <v>74</v>
      </c>
      <c r="BR330" t="s">
        <v>104</v>
      </c>
      <c r="BS330" t="s">
        <v>6512</v>
      </c>
      <c r="BT330" t="str">
        <f>HYPERLINK("https%3A%2F%2Fwww.webofscience.com%2Fwos%2Fwoscc%2Ffull-record%2FWOS:001120172300001","View Full Record in Web of Science")</f>
        <v>View Full Record in Web of Science</v>
      </c>
    </row>
    <row r="331" spans="1:72" x14ac:dyDescent="0.15">
      <c r="A331" t="s">
        <v>72</v>
      </c>
      <c r="B331" t="s">
        <v>6513</v>
      </c>
      <c r="C331" t="s">
        <v>74</v>
      </c>
      <c r="D331" t="s">
        <v>74</v>
      </c>
      <c r="E331" t="s">
        <v>74</v>
      </c>
      <c r="F331" t="s">
        <v>6514</v>
      </c>
      <c r="G331" t="s">
        <v>74</v>
      </c>
      <c r="H331" t="s">
        <v>74</v>
      </c>
      <c r="I331" t="s">
        <v>6515</v>
      </c>
      <c r="J331" t="s">
        <v>6516</v>
      </c>
      <c r="K331" t="s">
        <v>74</v>
      </c>
      <c r="L331" t="s">
        <v>74</v>
      </c>
      <c r="M331" t="s">
        <v>78</v>
      </c>
      <c r="N331" t="s">
        <v>79</v>
      </c>
      <c r="O331" t="s">
        <v>74</v>
      </c>
      <c r="P331" t="s">
        <v>74</v>
      </c>
      <c r="Q331" t="s">
        <v>74</v>
      </c>
      <c r="R331" t="s">
        <v>74</v>
      </c>
      <c r="S331" t="s">
        <v>74</v>
      </c>
      <c r="T331" t="s">
        <v>74</v>
      </c>
      <c r="U331" t="s">
        <v>6517</v>
      </c>
      <c r="V331" t="s">
        <v>6518</v>
      </c>
      <c r="W331" t="s">
        <v>6519</v>
      </c>
      <c r="X331" t="s">
        <v>6520</v>
      </c>
      <c r="Y331" t="s">
        <v>6521</v>
      </c>
      <c r="Z331" t="s">
        <v>6522</v>
      </c>
      <c r="AA331" t="s">
        <v>74</v>
      </c>
      <c r="AB331" t="s">
        <v>74</v>
      </c>
      <c r="AC331" t="s">
        <v>6523</v>
      </c>
      <c r="AD331" t="s">
        <v>6523</v>
      </c>
      <c r="AE331" t="s">
        <v>6524</v>
      </c>
      <c r="AF331" t="s">
        <v>74</v>
      </c>
      <c r="AG331">
        <v>113</v>
      </c>
      <c r="AH331">
        <v>2</v>
      </c>
      <c r="AI331">
        <v>2</v>
      </c>
      <c r="AJ331">
        <v>4</v>
      </c>
      <c r="AK331">
        <v>4</v>
      </c>
      <c r="AL331" t="s">
        <v>6525</v>
      </c>
      <c r="AM331" t="s">
        <v>6526</v>
      </c>
      <c r="AN331" t="s">
        <v>6527</v>
      </c>
      <c r="AO331" t="s">
        <v>6528</v>
      </c>
      <c r="AP331" t="s">
        <v>6529</v>
      </c>
      <c r="AQ331" t="s">
        <v>74</v>
      </c>
      <c r="AR331" t="s">
        <v>6530</v>
      </c>
      <c r="AS331" t="s">
        <v>6531</v>
      </c>
      <c r="AT331" t="s">
        <v>1947</v>
      </c>
      <c r="AU331">
        <v>2023</v>
      </c>
      <c r="AV331">
        <v>113</v>
      </c>
      <c r="AW331">
        <v>6</v>
      </c>
      <c r="AX331" t="s">
        <v>74</v>
      </c>
      <c r="AY331" t="s">
        <v>74</v>
      </c>
      <c r="AZ331" t="s">
        <v>74</v>
      </c>
      <c r="BA331" t="s">
        <v>74</v>
      </c>
      <c r="BB331">
        <v>2377</v>
      </c>
      <c r="BC331">
        <v>2415</v>
      </c>
      <c r="BD331" t="s">
        <v>74</v>
      </c>
      <c r="BE331" t="s">
        <v>6532</v>
      </c>
      <c r="BF331" t="str">
        <f>HYPERLINK("http://dx.doi.org/10.1785/0120220229","http://dx.doi.org/10.1785/0120220229")</f>
        <v>http://dx.doi.org/10.1785/0120220229</v>
      </c>
      <c r="BG331" t="s">
        <v>74</v>
      </c>
      <c r="BH331" t="s">
        <v>74</v>
      </c>
      <c r="BI331">
        <v>39</v>
      </c>
      <c r="BJ331" t="s">
        <v>4252</v>
      </c>
      <c r="BK331" t="s">
        <v>100</v>
      </c>
      <c r="BL331" t="s">
        <v>4252</v>
      </c>
      <c r="BM331" t="s">
        <v>6533</v>
      </c>
      <c r="BN331" t="s">
        <v>74</v>
      </c>
      <c r="BO331" t="s">
        <v>74</v>
      </c>
      <c r="BP331" t="s">
        <v>74</v>
      </c>
      <c r="BQ331" t="s">
        <v>74</v>
      </c>
      <c r="BR331" t="s">
        <v>104</v>
      </c>
      <c r="BS331" t="s">
        <v>6534</v>
      </c>
      <c r="BT331" t="str">
        <f>HYPERLINK("https%3A%2F%2Fwww.webofscience.com%2Fwos%2Fwoscc%2Ffull-record%2FWOS:001116108500001","View Full Record in Web of Science")</f>
        <v>View Full Record in Web of Science</v>
      </c>
    </row>
    <row r="332" spans="1:72" x14ac:dyDescent="0.15">
      <c r="A332" t="s">
        <v>72</v>
      </c>
      <c r="B332" t="s">
        <v>6535</v>
      </c>
      <c r="C332" t="s">
        <v>74</v>
      </c>
      <c r="D332" t="s">
        <v>74</v>
      </c>
      <c r="E332" t="s">
        <v>74</v>
      </c>
      <c r="F332" t="s">
        <v>6536</v>
      </c>
      <c r="G332" t="s">
        <v>74</v>
      </c>
      <c r="H332" t="s">
        <v>74</v>
      </c>
      <c r="I332" t="s">
        <v>6537</v>
      </c>
      <c r="J332" t="s">
        <v>6538</v>
      </c>
      <c r="K332" t="s">
        <v>74</v>
      </c>
      <c r="L332" t="s">
        <v>74</v>
      </c>
      <c r="M332" t="s">
        <v>78</v>
      </c>
      <c r="N332" t="s">
        <v>79</v>
      </c>
      <c r="O332" t="s">
        <v>74</v>
      </c>
      <c r="P332" t="s">
        <v>74</v>
      </c>
      <c r="Q332" t="s">
        <v>74</v>
      </c>
      <c r="R332" t="s">
        <v>74</v>
      </c>
      <c r="S332" t="s">
        <v>74</v>
      </c>
      <c r="T332" t="s">
        <v>6539</v>
      </c>
      <c r="U332" t="s">
        <v>6540</v>
      </c>
      <c r="V332" t="s">
        <v>6541</v>
      </c>
      <c r="W332" t="s">
        <v>6542</v>
      </c>
      <c r="X332" t="s">
        <v>6543</v>
      </c>
      <c r="Y332" t="s">
        <v>6544</v>
      </c>
      <c r="Z332" t="s">
        <v>6545</v>
      </c>
      <c r="AA332" t="s">
        <v>6546</v>
      </c>
      <c r="AB332" t="s">
        <v>6547</v>
      </c>
      <c r="AC332" t="s">
        <v>6548</v>
      </c>
      <c r="AD332" t="s">
        <v>6549</v>
      </c>
      <c r="AE332" t="s">
        <v>6550</v>
      </c>
      <c r="AF332" t="s">
        <v>74</v>
      </c>
      <c r="AG332">
        <v>134</v>
      </c>
      <c r="AH332">
        <v>0</v>
      </c>
      <c r="AI332">
        <v>0</v>
      </c>
      <c r="AJ332">
        <v>12</v>
      </c>
      <c r="AK332">
        <v>12</v>
      </c>
      <c r="AL332" t="s">
        <v>1208</v>
      </c>
      <c r="AM332" t="s">
        <v>1209</v>
      </c>
      <c r="AN332" t="s">
        <v>1210</v>
      </c>
      <c r="AO332" t="s">
        <v>6551</v>
      </c>
      <c r="AP332" t="s">
        <v>6552</v>
      </c>
      <c r="AQ332" t="s">
        <v>74</v>
      </c>
      <c r="AR332" t="s">
        <v>6553</v>
      </c>
      <c r="AS332" t="s">
        <v>6554</v>
      </c>
      <c r="AT332" t="s">
        <v>1947</v>
      </c>
      <c r="AU332">
        <v>2023</v>
      </c>
      <c r="AV332">
        <v>37</v>
      </c>
      <c r="AW332">
        <v>12</v>
      </c>
      <c r="AX332" t="s">
        <v>74</v>
      </c>
      <c r="AY332" t="s">
        <v>74</v>
      </c>
      <c r="AZ332" t="s">
        <v>74</v>
      </c>
      <c r="BA332" t="s">
        <v>74</v>
      </c>
      <c r="BB332" t="s">
        <v>74</v>
      </c>
      <c r="BC332" t="s">
        <v>74</v>
      </c>
      <c r="BD332" t="s">
        <v>6555</v>
      </c>
      <c r="BE332" t="s">
        <v>6556</v>
      </c>
      <c r="BF332" t="str">
        <f>HYPERLINK("http://dx.doi.org/10.1029/2023GB007921","http://dx.doi.org/10.1029/2023GB007921")</f>
        <v>http://dx.doi.org/10.1029/2023GB007921</v>
      </c>
      <c r="BG332" t="s">
        <v>74</v>
      </c>
      <c r="BH332" t="s">
        <v>74</v>
      </c>
      <c r="BI332">
        <v>16</v>
      </c>
      <c r="BJ332" t="s">
        <v>2535</v>
      </c>
      <c r="BK332" t="s">
        <v>100</v>
      </c>
      <c r="BL332" t="s">
        <v>2536</v>
      </c>
      <c r="BM332" t="s">
        <v>6557</v>
      </c>
      <c r="BN332" t="s">
        <v>74</v>
      </c>
      <c r="BO332" t="s">
        <v>1717</v>
      </c>
      <c r="BP332" t="s">
        <v>74</v>
      </c>
      <c r="BQ332" t="s">
        <v>74</v>
      </c>
      <c r="BR332" t="s">
        <v>104</v>
      </c>
      <c r="BS332" t="s">
        <v>6558</v>
      </c>
      <c r="BT332" t="str">
        <f>HYPERLINK("https%3A%2F%2Fwww.webofscience.com%2Fwos%2Fwoscc%2Ffull-record%2FWOS:001115119500001","View Full Record in Web of Science")</f>
        <v>View Full Record in Web of Science</v>
      </c>
    </row>
    <row r="333" spans="1:72" x14ac:dyDescent="0.15">
      <c r="A333" t="s">
        <v>72</v>
      </c>
      <c r="B333" t="s">
        <v>6559</v>
      </c>
      <c r="C333" t="s">
        <v>74</v>
      </c>
      <c r="D333" t="s">
        <v>74</v>
      </c>
      <c r="E333" t="s">
        <v>74</v>
      </c>
      <c r="F333" t="s">
        <v>6560</v>
      </c>
      <c r="G333" t="s">
        <v>74</v>
      </c>
      <c r="H333" t="s">
        <v>74</v>
      </c>
      <c r="I333" t="s">
        <v>6561</v>
      </c>
      <c r="J333" t="s">
        <v>5749</v>
      </c>
      <c r="K333" t="s">
        <v>74</v>
      </c>
      <c r="L333" t="s">
        <v>74</v>
      </c>
      <c r="M333" t="s">
        <v>78</v>
      </c>
      <c r="N333" t="s">
        <v>79</v>
      </c>
      <c r="O333" t="s">
        <v>74</v>
      </c>
      <c r="P333" t="s">
        <v>74</v>
      </c>
      <c r="Q333" t="s">
        <v>74</v>
      </c>
      <c r="R333" t="s">
        <v>74</v>
      </c>
      <c r="S333" t="s">
        <v>74</v>
      </c>
      <c r="T333" t="s">
        <v>74</v>
      </c>
      <c r="U333" t="s">
        <v>6562</v>
      </c>
      <c r="V333" t="s">
        <v>6563</v>
      </c>
      <c r="W333" t="s">
        <v>6564</v>
      </c>
      <c r="X333" t="s">
        <v>6565</v>
      </c>
      <c r="Y333" t="s">
        <v>6566</v>
      </c>
      <c r="Z333" t="s">
        <v>6567</v>
      </c>
      <c r="AA333" t="s">
        <v>74</v>
      </c>
      <c r="AB333" t="s">
        <v>74</v>
      </c>
      <c r="AC333" t="s">
        <v>6568</v>
      </c>
      <c r="AD333" t="s">
        <v>6569</v>
      </c>
      <c r="AE333" t="s">
        <v>6570</v>
      </c>
      <c r="AF333" t="s">
        <v>74</v>
      </c>
      <c r="AG333">
        <v>52</v>
      </c>
      <c r="AH333">
        <v>0</v>
      </c>
      <c r="AI333">
        <v>0</v>
      </c>
      <c r="AJ333">
        <v>4</v>
      </c>
      <c r="AK333">
        <v>4</v>
      </c>
      <c r="AL333" t="s">
        <v>1208</v>
      </c>
      <c r="AM333" t="s">
        <v>1209</v>
      </c>
      <c r="AN333" t="s">
        <v>1210</v>
      </c>
      <c r="AO333" t="s">
        <v>5762</v>
      </c>
      <c r="AP333" t="s">
        <v>5763</v>
      </c>
      <c r="AQ333" t="s">
        <v>74</v>
      </c>
      <c r="AR333" t="s">
        <v>5764</v>
      </c>
      <c r="AS333" t="s">
        <v>5765</v>
      </c>
      <c r="AT333" t="s">
        <v>1947</v>
      </c>
      <c r="AU333">
        <v>2023</v>
      </c>
      <c r="AV333">
        <v>128</v>
      </c>
      <c r="AW333">
        <v>12</v>
      </c>
      <c r="AX333" t="s">
        <v>74</v>
      </c>
      <c r="AY333" t="s">
        <v>74</v>
      </c>
      <c r="AZ333" t="s">
        <v>74</v>
      </c>
      <c r="BA333" t="s">
        <v>74</v>
      </c>
      <c r="BB333" t="s">
        <v>74</v>
      </c>
      <c r="BC333" t="s">
        <v>74</v>
      </c>
      <c r="BD333" t="s">
        <v>6571</v>
      </c>
      <c r="BE333" t="s">
        <v>6572</v>
      </c>
      <c r="BF333" t="str">
        <f>HYPERLINK("http://dx.doi.org/10.1029/2023JC020006","http://dx.doi.org/10.1029/2023JC020006")</f>
        <v>http://dx.doi.org/10.1029/2023JC020006</v>
      </c>
      <c r="BG333" t="s">
        <v>74</v>
      </c>
      <c r="BH333" t="s">
        <v>74</v>
      </c>
      <c r="BI333">
        <v>22</v>
      </c>
      <c r="BJ333" t="s">
        <v>5060</v>
      </c>
      <c r="BK333" t="s">
        <v>100</v>
      </c>
      <c r="BL333" t="s">
        <v>5060</v>
      </c>
      <c r="BM333" t="s">
        <v>6573</v>
      </c>
      <c r="BN333" t="s">
        <v>74</v>
      </c>
      <c r="BO333" t="s">
        <v>6574</v>
      </c>
      <c r="BP333" t="s">
        <v>74</v>
      </c>
      <c r="BQ333" t="s">
        <v>74</v>
      </c>
      <c r="BR333" t="s">
        <v>104</v>
      </c>
      <c r="BS333" t="s">
        <v>6575</v>
      </c>
      <c r="BT333" t="str">
        <f>HYPERLINK("https%3A%2F%2Fwww.webofscience.com%2Fwos%2Fwoscc%2Ffull-record%2FWOS:001115867100001","View Full Record in Web of Science")</f>
        <v>View Full Record in Web of Science</v>
      </c>
    </row>
    <row r="334" spans="1:72" x14ac:dyDescent="0.15">
      <c r="A334" t="s">
        <v>72</v>
      </c>
      <c r="B334" t="s">
        <v>6576</v>
      </c>
      <c r="C334" t="s">
        <v>74</v>
      </c>
      <c r="D334" t="s">
        <v>74</v>
      </c>
      <c r="E334" t="s">
        <v>74</v>
      </c>
      <c r="F334" t="s">
        <v>6577</v>
      </c>
      <c r="G334" t="s">
        <v>74</v>
      </c>
      <c r="H334" t="s">
        <v>74</v>
      </c>
      <c r="I334" t="s">
        <v>6578</v>
      </c>
      <c r="J334" t="s">
        <v>5706</v>
      </c>
      <c r="K334" t="s">
        <v>74</v>
      </c>
      <c r="L334" t="s">
        <v>74</v>
      </c>
      <c r="M334" t="s">
        <v>78</v>
      </c>
      <c r="N334" t="s">
        <v>79</v>
      </c>
      <c r="O334" t="s">
        <v>74</v>
      </c>
      <c r="P334" t="s">
        <v>74</v>
      </c>
      <c r="Q334" t="s">
        <v>74</v>
      </c>
      <c r="R334" t="s">
        <v>74</v>
      </c>
      <c r="S334" t="s">
        <v>74</v>
      </c>
      <c r="T334" t="s">
        <v>6579</v>
      </c>
      <c r="U334" t="s">
        <v>6580</v>
      </c>
      <c r="V334" t="s">
        <v>6581</v>
      </c>
      <c r="W334" t="s">
        <v>6582</v>
      </c>
      <c r="X334" t="s">
        <v>6583</v>
      </c>
      <c r="Y334" t="s">
        <v>6584</v>
      </c>
      <c r="Z334" t="s">
        <v>6585</v>
      </c>
      <c r="AA334" t="s">
        <v>74</v>
      </c>
      <c r="AB334" t="s">
        <v>6586</v>
      </c>
      <c r="AC334" t="s">
        <v>4293</v>
      </c>
      <c r="AD334" t="s">
        <v>511</v>
      </c>
      <c r="AE334" t="s">
        <v>2553</v>
      </c>
      <c r="AF334" t="s">
        <v>74</v>
      </c>
      <c r="AG334">
        <v>37</v>
      </c>
      <c r="AH334">
        <v>0</v>
      </c>
      <c r="AI334">
        <v>0</v>
      </c>
      <c r="AJ334">
        <v>3</v>
      </c>
      <c r="AK334">
        <v>3</v>
      </c>
      <c r="AL334" t="s">
        <v>5695</v>
      </c>
      <c r="AM334" t="s">
        <v>5696</v>
      </c>
      <c r="AN334" t="s">
        <v>5697</v>
      </c>
      <c r="AO334" t="s">
        <v>74</v>
      </c>
      <c r="AP334" t="s">
        <v>5719</v>
      </c>
      <c r="AQ334" t="s">
        <v>74</v>
      </c>
      <c r="AR334" t="s">
        <v>5720</v>
      </c>
      <c r="AS334" t="s">
        <v>5721</v>
      </c>
      <c r="AT334" t="s">
        <v>1947</v>
      </c>
      <c r="AU334">
        <v>2023</v>
      </c>
      <c r="AV334">
        <v>15</v>
      </c>
      <c r="AW334">
        <v>23</v>
      </c>
      <c r="AX334" t="s">
        <v>74</v>
      </c>
      <c r="AY334" t="s">
        <v>74</v>
      </c>
      <c r="AZ334" t="s">
        <v>74</v>
      </c>
      <c r="BA334" t="s">
        <v>74</v>
      </c>
      <c r="BB334" t="s">
        <v>74</v>
      </c>
      <c r="BC334" t="s">
        <v>74</v>
      </c>
      <c r="BD334">
        <v>5568</v>
      </c>
      <c r="BE334" t="s">
        <v>6587</v>
      </c>
      <c r="BF334" t="str">
        <f>HYPERLINK("http://dx.doi.org/10.3390/rs15235568","http://dx.doi.org/10.3390/rs15235568")</f>
        <v>http://dx.doi.org/10.3390/rs15235568</v>
      </c>
      <c r="BG334" t="s">
        <v>74</v>
      </c>
      <c r="BH334" t="s">
        <v>74</v>
      </c>
      <c r="BI334">
        <v>18</v>
      </c>
      <c r="BJ334" t="s">
        <v>5723</v>
      </c>
      <c r="BK334" t="s">
        <v>100</v>
      </c>
      <c r="BL334" t="s">
        <v>5724</v>
      </c>
      <c r="BM334" t="s">
        <v>6588</v>
      </c>
      <c r="BN334" t="s">
        <v>74</v>
      </c>
      <c r="BO334" t="s">
        <v>131</v>
      </c>
      <c r="BP334" t="s">
        <v>74</v>
      </c>
      <c r="BQ334" t="s">
        <v>74</v>
      </c>
      <c r="BR334" t="s">
        <v>104</v>
      </c>
      <c r="BS334" t="s">
        <v>6589</v>
      </c>
      <c r="BT334" t="str">
        <f>HYPERLINK("https%3A%2F%2Fwww.webofscience.com%2Fwos%2Fwoscc%2Ffull-record%2FWOS:001117579800001","View Full Record in Web of Science")</f>
        <v>View Full Record in Web of Science</v>
      </c>
    </row>
    <row r="335" spans="1:72" x14ac:dyDescent="0.15">
      <c r="A335" t="s">
        <v>72</v>
      </c>
      <c r="B335" t="s">
        <v>6590</v>
      </c>
      <c r="C335" t="s">
        <v>74</v>
      </c>
      <c r="D335" t="s">
        <v>74</v>
      </c>
      <c r="E335" t="s">
        <v>74</v>
      </c>
      <c r="F335" t="s">
        <v>6591</v>
      </c>
      <c r="G335" t="s">
        <v>74</v>
      </c>
      <c r="H335" t="s">
        <v>74</v>
      </c>
      <c r="I335" t="s">
        <v>6592</v>
      </c>
      <c r="J335" t="s">
        <v>6593</v>
      </c>
      <c r="K335" t="s">
        <v>74</v>
      </c>
      <c r="L335" t="s">
        <v>74</v>
      </c>
      <c r="M335" t="s">
        <v>78</v>
      </c>
      <c r="N335" t="s">
        <v>79</v>
      </c>
      <c r="O335" t="s">
        <v>74</v>
      </c>
      <c r="P335" t="s">
        <v>74</v>
      </c>
      <c r="Q335" t="s">
        <v>74</v>
      </c>
      <c r="R335" t="s">
        <v>74</v>
      </c>
      <c r="S335" t="s">
        <v>74</v>
      </c>
      <c r="T335" t="s">
        <v>74</v>
      </c>
      <c r="U335" t="s">
        <v>6594</v>
      </c>
      <c r="V335" t="s">
        <v>6595</v>
      </c>
      <c r="W335" t="s">
        <v>6596</v>
      </c>
      <c r="X335" t="s">
        <v>6597</v>
      </c>
      <c r="Y335" t="s">
        <v>6598</v>
      </c>
      <c r="Z335" t="s">
        <v>6599</v>
      </c>
      <c r="AA335" t="s">
        <v>6600</v>
      </c>
      <c r="AB335" t="s">
        <v>6601</v>
      </c>
      <c r="AC335" t="s">
        <v>6602</v>
      </c>
      <c r="AD335" t="s">
        <v>6603</v>
      </c>
      <c r="AE335" t="s">
        <v>6604</v>
      </c>
      <c r="AF335" t="s">
        <v>74</v>
      </c>
      <c r="AG335">
        <v>69</v>
      </c>
      <c r="AH335">
        <v>1</v>
      </c>
      <c r="AI335">
        <v>1</v>
      </c>
      <c r="AJ335">
        <v>6</v>
      </c>
      <c r="AK335">
        <v>6</v>
      </c>
      <c r="AL335" t="s">
        <v>1208</v>
      </c>
      <c r="AM335" t="s">
        <v>1209</v>
      </c>
      <c r="AN335" t="s">
        <v>1210</v>
      </c>
      <c r="AO335" t="s">
        <v>74</v>
      </c>
      <c r="AP335" t="s">
        <v>6605</v>
      </c>
      <c r="AQ335" t="s">
        <v>74</v>
      </c>
      <c r="AR335" t="s">
        <v>6593</v>
      </c>
      <c r="AS335" t="s">
        <v>6606</v>
      </c>
      <c r="AT335" t="s">
        <v>1947</v>
      </c>
      <c r="AU335">
        <v>2023</v>
      </c>
      <c r="AV335">
        <v>11</v>
      </c>
      <c r="AW335">
        <v>12</v>
      </c>
      <c r="AX335" t="s">
        <v>74</v>
      </c>
      <c r="AY335" t="s">
        <v>74</v>
      </c>
      <c r="AZ335" t="s">
        <v>74</v>
      </c>
      <c r="BA335" t="s">
        <v>74</v>
      </c>
      <c r="BB335" t="s">
        <v>74</v>
      </c>
      <c r="BC335" t="s">
        <v>74</v>
      </c>
      <c r="BD335" t="s">
        <v>6607</v>
      </c>
      <c r="BE335" t="s">
        <v>6608</v>
      </c>
      <c r="BF335" t="str">
        <f>HYPERLINK("http://dx.doi.org/10.1029/2023EF003550","http://dx.doi.org/10.1029/2023EF003550")</f>
        <v>http://dx.doi.org/10.1029/2023EF003550</v>
      </c>
      <c r="BG335" t="s">
        <v>74</v>
      </c>
      <c r="BH335" t="s">
        <v>74</v>
      </c>
      <c r="BI335">
        <v>22</v>
      </c>
      <c r="BJ335" t="s">
        <v>2535</v>
      </c>
      <c r="BK335" t="s">
        <v>100</v>
      </c>
      <c r="BL335" t="s">
        <v>2536</v>
      </c>
      <c r="BM335" t="s">
        <v>6609</v>
      </c>
      <c r="BN335" t="s">
        <v>74</v>
      </c>
      <c r="BO335" t="s">
        <v>131</v>
      </c>
      <c r="BP335" t="s">
        <v>74</v>
      </c>
      <c r="BQ335" t="s">
        <v>74</v>
      </c>
      <c r="BR335" t="s">
        <v>104</v>
      </c>
      <c r="BS335" t="s">
        <v>6610</v>
      </c>
      <c r="BT335" t="str">
        <f>HYPERLINK("https%3A%2F%2Fwww.webofscience.com%2Fwos%2Fwoscc%2Ffull-record%2FWOS:001117879500001","View Full Record in Web of Science")</f>
        <v>View Full Record in Web of Science</v>
      </c>
    </row>
    <row r="336" spans="1:72" x14ac:dyDescent="0.15">
      <c r="A336" t="s">
        <v>72</v>
      </c>
      <c r="B336" t="s">
        <v>6611</v>
      </c>
      <c r="C336" t="s">
        <v>74</v>
      </c>
      <c r="D336" t="s">
        <v>74</v>
      </c>
      <c r="E336" t="s">
        <v>74</v>
      </c>
      <c r="F336" t="s">
        <v>6612</v>
      </c>
      <c r="G336" t="s">
        <v>74</v>
      </c>
      <c r="H336" t="s">
        <v>74</v>
      </c>
      <c r="I336" t="s">
        <v>6613</v>
      </c>
      <c r="J336" t="s">
        <v>5106</v>
      </c>
      <c r="K336" t="s">
        <v>74</v>
      </c>
      <c r="L336" t="s">
        <v>74</v>
      </c>
      <c r="M336" t="s">
        <v>78</v>
      </c>
      <c r="N336" t="s">
        <v>79</v>
      </c>
      <c r="O336" t="s">
        <v>74</v>
      </c>
      <c r="P336" t="s">
        <v>74</v>
      </c>
      <c r="Q336" t="s">
        <v>74</v>
      </c>
      <c r="R336" t="s">
        <v>74</v>
      </c>
      <c r="S336" t="s">
        <v>74</v>
      </c>
      <c r="T336" t="s">
        <v>6614</v>
      </c>
      <c r="U336" t="s">
        <v>6615</v>
      </c>
      <c r="V336" t="s">
        <v>6616</v>
      </c>
      <c r="W336" t="s">
        <v>6617</v>
      </c>
      <c r="X336" t="s">
        <v>6618</v>
      </c>
      <c r="Y336" t="s">
        <v>6619</v>
      </c>
      <c r="Z336" t="s">
        <v>6620</v>
      </c>
      <c r="AA336" t="s">
        <v>6621</v>
      </c>
      <c r="AB336" t="s">
        <v>6622</v>
      </c>
      <c r="AC336" t="s">
        <v>6623</v>
      </c>
      <c r="AD336" t="s">
        <v>6624</v>
      </c>
      <c r="AE336" t="s">
        <v>6625</v>
      </c>
      <c r="AF336" t="s">
        <v>74</v>
      </c>
      <c r="AG336">
        <v>98</v>
      </c>
      <c r="AH336">
        <v>0</v>
      </c>
      <c r="AI336">
        <v>0</v>
      </c>
      <c r="AJ336">
        <v>9</v>
      </c>
      <c r="AK336">
        <v>9</v>
      </c>
      <c r="AL336" t="s">
        <v>5117</v>
      </c>
      <c r="AM336" t="s">
        <v>5118</v>
      </c>
      <c r="AN336" t="s">
        <v>5119</v>
      </c>
      <c r="AO336" t="s">
        <v>5120</v>
      </c>
      <c r="AP336" t="s">
        <v>5121</v>
      </c>
      <c r="AQ336" t="s">
        <v>74</v>
      </c>
      <c r="AR336" t="s">
        <v>5122</v>
      </c>
      <c r="AS336" t="s">
        <v>5123</v>
      </c>
      <c r="AT336" t="s">
        <v>1947</v>
      </c>
      <c r="AU336">
        <v>2023</v>
      </c>
      <c r="AV336">
        <v>36</v>
      </c>
      <c r="AW336">
        <v>23</v>
      </c>
      <c r="AX336" t="s">
        <v>74</v>
      </c>
      <c r="AY336" t="s">
        <v>74</v>
      </c>
      <c r="AZ336" t="s">
        <v>74</v>
      </c>
      <c r="BA336" t="s">
        <v>74</v>
      </c>
      <c r="BB336">
        <v>8259</v>
      </c>
      <c r="BC336">
        <v>8275</v>
      </c>
      <c r="BD336" t="s">
        <v>74</v>
      </c>
      <c r="BE336" t="s">
        <v>6626</v>
      </c>
      <c r="BF336" t="str">
        <f>HYPERLINK("http://dx.doi.org/10.1175/JCLI-D-22-0655.1","http://dx.doi.org/10.1175/JCLI-D-22-0655.1")</f>
        <v>http://dx.doi.org/10.1175/JCLI-D-22-0655.1</v>
      </c>
      <c r="BG336" t="s">
        <v>74</v>
      </c>
      <c r="BH336" t="s">
        <v>74</v>
      </c>
      <c r="BI336">
        <v>17</v>
      </c>
      <c r="BJ336" t="s">
        <v>1522</v>
      </c>
      <c r="BK336" t="s">
        <v>100</v>
      </c>
      <c r="BL336" t="s">
        <v>1522</v>
      </c>
      <c r="BM336" t="s">
        <v>6627</v>
      </c>
      <c r="BN336" t="s">
        <v>74</v>
      </c>
      <c r="BO336" t="s">
        <v>1794</v>
      </c>
      <c r="BP336" t="s">
        <v>74</v>
      </c>
      <c r="BQ336" t="s">
        <v>74</v>
      </c>
      <c r="BR336" t="s">
        <v>104</v>
      </c>
      <c r="BS336" t="s">
        <v>6628</v>
      </c>
      <c r="BT336" t="str">
        <f>HYPERLINK("https%3A%2F%2Fwww.webofscience.com%2Fwos%2Fwoscc%2Ffull-record%2FWOS:001100797100001","View Full Record in Web of Science")</f>
        <v>View Full Record in Web of Science</v>
      </c>
    </row>
    <row r="337" spans="1:72" x14ac:dyDescent="0.15">
      <c r="A337" t="s">
        <v>72</v>
      </c>
      <c r="B337" t="s">
        <v>6629</v>
      </c>
      <c r="C337" t="s">
        <v>74</v>
      </c>
      <c r="D337" t="s">
        <v>74</v>
      </c>
      <c r="E337" t="s">
        <v>74</v>
      </c>
      <c r="F337" t="s">
        <v>6630</v>
      </c>
      <c r="G337" t="s">
        <v>74</v>
      </c>
      <c r="H337" t="s">
        <v>74</v>
      </c>
      <c r="I337" t="s">
        <v>6631</v>
      </c>
      <c r="J337" t="s">
        <v>6632</v>
      </c>
      <c r="K337" t="s">
        <v>74</v>
      </c>
      <c r="L337" t="s">
        <v>74</v>
      </c>
      <c r="M337" t="s">
        <v>78</v>
      </c>
      <c r="N337" t="s">
        <v>79</v>
      </c>
      <c r="O337" t="s">
        <v>74</v>
      </c>
      <c r="P337" t="s">
        <v>74</v>
      </c>
      <c r="Q337" t="s">
        <v>74</v>
      </c>
      <c r="R337" t="s">
        <v>74</v>
      </c>
      <c r="S337" t="s">
        <v>74</v>
      </c>
      <c r="T337" t="s">
        <v>6633</v>
      </c>
      <c r="U337" t="s">
        <v>6634</v>
      </c>
      <c r="V337" t="s">
        <v>6635</v>
      </c>
      <c r="W337" t="s">
        <v>6636</v>
      </c>
      <c r="X337" t="s">
        <v>6637</v>
      </c>
      <c r="Y337" t="s">
        <v>6638</v>
      </c>
      <c r="Z337" t="s">
        <v>6639</v>
      </c>
      <c r="AA337" t="s">
        <v>6640</v>
      </c>
      <c r="AB337" t="s">
        <v>6641</v>
      </c>
      <c r="AC337" t="s">
        <v>6642</v>
      </c>
      <c r="AD337" t="s">
        <v>6643</v>
      </c>
      <c r="AE337" t="s">
        <v>6644</v>
      </c>
      <c r="AF337" t="s">
        <v>74</v>
      </c>
      <c r="AG337">
        <v>168</v>
      </c>
      <c r="AH337">
        <v>0</v>
      </c>
      <c r="AI337">
        <v>0</v>
      </c>
      <c r="AJ337">
        <v>6</v>
      </c>
      <c r="AK337">
        <v>6</v>
      </c>
      <c r="AL337" t="s">
        <v>1208</v>
      </c>
      <c r="AM337" t="s">
        <v>1209</v>
      </c>
      <c r="AN337" t="s">
        <v>1210</v>
      </c>
      <c r="AO337" t="s">
        <v>6645</v>
      </c>
      <c r="AP337" t="s">
        <v>6646</v>
      </c>
      <c r="AQ337" t="s">
        <v>74</v>
      </c>
      <c r="AR337" t="s">
        <v>6647</v>
      </c>
      <c r="AS337" t="s">
        <v>6648</v>
      </c>
      <c r="AT337" t="s">
        <v>1947</v>
      </c>
      <c r="AU337">
        <v>2023</v>
      </c>
      <c r="AV337">
        <v>128</v>
      </c>
      <c r="AW337">
        <v>12</v>
      </c>
      <c r="AX337" t="s">
        <v>74</v>
      </c>
      <c r="AY337" t="s">
        <v>74</v>
      </c>
      <c r="AZ337" t="s">
        <v>74</v>
      </c>
      <c r="BA337" t="s">
        <v>74</v>
      </c>
      <c r="BB337" t="s">
        <v>74</v>
      </c>
      <c r="BC337" t="s">
        <v>74</v>
      </c>
      <c r="BD337" t="s">
        <v>6649</v>
      </c>
      <c r="BE337" t="s">
        <v>6650</v>
      </c>
      <c r="BF337" t="str">
        <f>HYPERLINK("http://dx.doi.org/10.1029/2023JB027367","http://dx.doi.org/10.1029/2023JB027367")</f>
        <v>http://dx.doi.org/10.1029/2023JB027367</v>
      </c>
      <c r="BG337" t="s">
        <v>74</v>
      </c>
      <c r="BH337" t="s">
        <v>74</v>
      </c>
      <c r="BI337">
        <v>42</v>
      </c>
      <c r="BJ337" t="s">
        <v>4252</v>
      </c>
      <c r="BK337" t="s">
        <v>100</v>
      </c>
      <c r="BL337" t="s">
        <v>4252</v>
      </c>
      <c r="BM337" t="s">
        <v>6651</v>
      </c>
      <c r="BN337" t="s">
        <v>74</v>
      </c>
      <c r="BO337" t="s">
        <v>74</v>
      </c>
      <c r="BP337" t="s">
        <v>74</v>
      </c>
      <c r="BQ337" t="s">
        <v>74</v>
      </c>
      <c r="BR337" t="s">
        <v>104</v>
      </c>
      <c r="BS337" t="s">
        <v>6652</v>
      </c>
      <c r="BT337" t="str">
        <f>HYPERLINK("https%3A%2F%2Fwww.webofscience.com%2Fwos%2Fwoscc%2Ffull-record%2FWOS:001110176200001","View Full Record in Web of Science")</f>
        <v>View Full Record in Web of Science</v>
      </c>
    </row>
    <row r="338" spans="1:72" x14ac:dyDescent="0.15">
      <c r="A338" t="s">
        <v>72</v>
      </c>
      <c r="B338" t="s">
        <v>6653</v>
      </c>
      <c r="C338" t="s">
        <v>74</v>
      </c>
      <c r="D338" t="s">
        <v>74</v>
      </c>
      <c r="E338" t="s">
        <v>74</v>
      </c>
      <c r="F338" t="s">
        <v>6654</v>
      </c>
      <c r="G338" t="s">
        <v>74</v>
      </c>
      <c r="H338" t="s">
        <v>74</v>
      </c>
      <c r="I338" t="s">
        <v>6655</v>
      </c>
      <c r="J338" t="s">
        <v>6412</v>
      </c>
      <c r="K338" t="s">
        <v>74</v>
      </c>
      <c r="L338" t="s">
        <v>74</v>
      </c>
      <c r="M338" t="s">
        <v>78</v>
      </c>
      <c r="N338" t="s">
        <v>79</v>
      </c>
      <c r="O338" t="s">
        <v>74</v>
      </c>
      <c r="P338" t="s">
        <v>74</v>
      </c>
      <c r="Q338" t="s">
        <v>74</v>
      </c>
      <c r="R338" t="s">
        <v>74</v>
      </c>
      <c r="S338" t="s">
        <v>74</v>
      </c>
      <c r="T338" t="s">
        <v>6656</v>
      </c>
      <c r="U338" t="s">
        <v>6657</v>
      </c>
      <c r="V338" t="s">
        <v>6658</v>
      </c>
      <c r="W338" t="s">
        <v>6659</v>
      </c>
      <c r="X338" t="s">
        <v>6660</v>
      </c>
      <c r="Y338" t="s">
        <v>6661</v>
      </c>
      <c r="Z338" t="s">
        <v>6662</v>
      </c>
      <c r="AA338" t="s">
        <v>6663</v>
      </c>
      <c r="AB338" t="s">
        <v>6664</v>
      </c>
      <c r="AC338" t="s">
        <v>6665</v>
      </c>
      <c r="AD338" t="s">
        <v>6666</v>
      </c>
      <c r="AE338" t="s">
        <v>6667</v>
      </c>
      <c r="AF338" t="s">
        <v>74</v>
      </c>
      <c r="AG338">
        <v>70</v>
      </c>
      <c r="AH338">
        <v>1</v>
      </c>
      <c r="AI338">
        <v>1</v>
      </c>
      <c r="AJ338">
        <v>1</v>
      </c>
      <c r="AK338">
        <v>1</v>
      </c>
      <c r="AL338" t="s">
        <v>1208</v>
      </c>
      <c r="AM338" t="s">
        <v>1209</v>
      </c>
      <c r="AN338" t="s">
        <v>1210</v>
      </c>
      <c r="AO338" t="s">
        <v>6425</v>
      </c>
      <c r="AP338" t="s">
        <v>6426</v>
      </c>
      <c r="AQ338" t="s">
        <v>74</v>
      </c>
      <c r="AR338" t="s">
        <v>6427</v>
      </c>
      <c r="AS338" t="s">
        <v>6428</v>
      </c>
      <c r="AT338" t="s">
        <v>1947</v>
      </c>
      <c r="AU338">
        <v>2023</v>
      </c>
      <c r="AV338">
        <v>128</v>
      </c>
      <c r="AW338">
        <v>12</v>
      </c>
      <c r="AX338" t="s">
        <v>74</v>
      </c>
      <c r="AY338" t="s">
        <v>74</v>
      </c>
      <c r="AZ338" t="s">
        <v>74</v>
      </c>
      <c r="BA338" t="s">
        <v>74</v>
      </c>
      <c r="BB338" t="s">
        <v>74</v>
      </c>
      <c r="BC338" t="s">
        <v>74</v>
      </c>
      <c r="BD338" t="s">
        <v>6668</v>
      </c>
      <c r="BE338" t="s">
        <v>6669</v>
      </c>
      <c r="BF338" t="str">
        <f>HYPERLINK("http://dx.doi.org/10.1029/2022JA031250","http://dx.doi.org/10.1029/2022JA031250")</f>
        <v>http://dx.doi.org/10.1029/2022JA031250</v>
      </c>
      <c r="BG338" t="s">
        <v>74</v>
      </c>
      <c r="BH338" t="s">
        <v>74</v>
      </c>
      <c r="BI338">
        <v>30</v>
      </c>
      <c r="BJ338" t="s">
        <v>4706</v>
      </c>
      <c r="BK338" t="s">
        <v>100</v>
      </c>
      <c r="BL338" t="s">
        <v>4706</v>
      </c>
      <c r="BM338" t="s">
        <v>6670</v>
      </c>
      <c r="BN338" t="s">
        <v>74</v>
      </c>
      <c r="BO338" t="s">
        <v>103</v>
      </c>
      <c r="BP338" t="s">
        <v>74</v>
      </c>
      <c r="BQ338" t="s">
        <v>74</v>
      </c>
      <c r="BR338" t="s">
        <v>104</v>
      </c>
      <c r="BS338" t="s">
        <v>6671</v>
      </c>
      <c r="BT338" t="str">
        <f>HYPERLINK("https%3A%2F%2Fwww.webofscience.com%2Fwos%2Fwoscc%2Ffull-record%2FWOS:001113567800001","View Full Record in Web of Science")</f>
        <v>View Full Record in Web of Science</v>
      </c>
    </row>
    <row r="339" spans="1:72" x14ac:dyDescent="0.15">
      <c r="A339" t="s">
        <v>72</v>
      </c>
      <c r="B339" t="s">
        <v>6672</v>
      </c>
      <c r="C339" t="s">
        <v>74</v>
      </c>
      <c r="D339" t="s">
        <v>74</v>
      </c>
      <c r="E339" t="s">
        <v>74</v>
      </c>
      <c r="F339" t="s">
        <v>6673</v>
      </c>
      <c r="G339" t="s">
        <v>74</v>
      </c>
      <c r="H339" t="s">
        <v>74</v>
      </c>
      <c r="I339" t="s">
        <v>6674</v>
      </c>
      <c r="J339" t="s">
        <v>6412</v>
      </c>
      <c r="K339" t="s">
        <v>74</v>
      </c>
      <c r="L339" t="s">
        <v>74</v>
      </c>
      <c r="M339" t="s">
        <v>78</v>
      </c>
      <c r="N339" t="s">
        <v>79</v>
      </c>
      <c r="O339" t="s">
        <v>74</v>
      </c>
      <c r="P339" t="s">
        <v>74</v>
      </c>
      <c r="Q339" t="s">
        <v>74</v>
      </c>
      <c r="R339" t="s">
        <v>74</v>
      </c>
      <c r="S339" t="s">
        <v>74</v>
      </c>
      <c r="T339" t="s">
        <v>6675</v>
      </c>
      <c r="U339" t="s">
        <v>6676</v>
      </c>
      <c r="V339" t="s">
        <v>6677</v>
      </c>
      <c r="W339" t="s">
        <v>6678</v>
      </c>
      <c r="X339" t="s">
        <v>6679</v>
      </c>
      <c r="Y339" t="s">
        <v>6680</v>
      </c>
      <c r="Z339" t="s">
        <v>6681</v>
      </c>
      <c r="AA339" t="s">
        <v>6682</v>
      </c>
      <c r="AB339" t="s">
        <v>6683</v>
      </c>
      <c r="AC339" t="s">
        <v>6684</v>
      </c>
      <c r="AD339" t="s">
        <v>6685</v>
      </c>
      <c r="AE339" t="s">
        <v>6686</v>
      </c>
      <c r="AF339" t="s">
        <v>74</v>
      </c>
      <c r="AG339">
        <v>64</v>
      </c>
      <c r="AH339">
        <v>0</v>
      </c>
      <c r="AI339">
        <v>0</v>
      </c>
      <c r="AJ339">
        <v>7</v>
      </c>
      <c r="AK339">
        <v>7</v>
      </c>
      <c r="AL339" t="s">
        <v>1208</v>
      </c>
      <c r="AM339" t="s">
        <v>1209</v>
      </c>
      <c r="AN339" t="s">
        <v>1210</v>
      </c>
      <c r="AO339" t="s">
        <v>6425</v>
      </c>
      <c r="AP339" t="s">
        <v>6426</v>
      </c>
      <c r="AQ339" t="s">
        <v>74</v>
      </c>
      <c r="AR339" t="s">
        <v>6427</v>
      </c>
      <c r="AS339" t="s">
        <v>6428</v>
      </c>
      <c r="AT339" t="s">
        <v>1947</v>
      </c>
      <c r="AU339">
        <v>2023</v>
      </c>
      <c r="AV339">
        <v>128</v>
      </c>
      <c r="AW339">
        <v>12</v>
      </c>
      <c r="AX339" t="s">
        <v>74</v>
      </c>
      <c r="AY339" t="s">
        <v>74</v>
      </c>
      <c r="AZ339" t="s">
        <v>74</v>
      </c>
      <c r="BA339" t="s">
        <v>74</v>
      </c>
      <c r="BB339" t="s">
        <v>74</v>
      </c>
      <c r="BC339" t="s">
        <v>74</v>
      </c>
      <c r="BD339" t="s">
        <v>6687</v>
      </c>
      <c r="BE339" t="s">
        <v>6688</v>
      </c>
      <c r="BF339" t="str">
        <f>HYPERLINK("http://dx.doi.org/10.1029/2023JA031725","http://dx.doi.org/10.1029/2023JA031725")</f>
        <v>http://dx.doi.org/10.1029/2023JA031725</v>
      </c>
      <c r="BG339" t="s">
        <v>74</v>
      </c>
      <c r="BH339" t="s">
        <v>74</v>
      </c>
      <c r="BI339">
        <v>17</v>
      </c>
      <c r="BJ339" t="s">
        <v>4706</v>
      </c>
      <c r="BK339" t="s">
        <v>100</v>
      </c>
      <c r="BL339" t="s">
        <v>4706</v>
      </c>
      <c r="BM339" t="s">
        <v>6689</v>
      </c>
      <c r="BN339" t="s">
        <v>74</v>
      </c>
      <c r="BO339" t="s">
        <v>74</v>
      </c>
      <c r="BP339" t="s">
        <v>74</v>
      </c>
      <c r="BQ339" t="s">
        <v>74</v>
      </c>
      <c r="BR339" t="s">
        <v>104</v>
      </c>
      <c r="BS339" t="s">
        <v>6690</v>
      </c>
      <c r="BT339" t="str">
        <f>HYPERLINK("https%3A%2F%2Fwww.webofscience.com%2Fwos%2Fwoscc%2Ffull-record%2FWOS:001117145900001","View Full Record in Web of Science")</f>
        <v>View Full Record in Web of Science</v>
      </c>
    </row>
    <row r="340" spans="1:72" x14ac:dyDescent="0.15">
      <c r="A340" t="s">
        <v>72</v>
      </c>
      <c r="B340" t="s">
        <v>6691</v>
      </c>
      <c r="C340" t="s">
        <v>74</v>
      </c>
      <c r="D340" t="s">
        <v>74</v>
      </c>
      <c r="E340" t="s">
        <v>74</v>
      </c>
      <c r="F340" t="s">
        <v>6692</v>
      </c>
      <c r="G340" t="s">
        <v>74</v>
      </c>
      <c r="H340" t="s">
        <v>74</v>
      </c>
      <c r="I340" t="s">
        <v>6693</v>
      </c>
      <c r="J340" t="s">
        <v>6327</v>
      </c>
      <c r="K340" t="s">
        <v>74</v>
      </c>
      <c r="L340" t="s">
        <v>74</v>
      </c>
      <c r="M340" t="s">
        <v>78</v>
      </c>
      <c r="N340" t="s">
        <v>79</v>
      </c>
      <c r="O340" t="s">
        <v>74</v>
      </c>
      <c r="P340" t="s">
        <v>74</v>
      </c>
      <c r="Q340" t="s">
        <v>74</v>
      </c>
      <c r="R340" t="s">
        <v>74</v>
      </c>
      <c r="S340" t="s">
        <v>74</v>
      </c>
      <c r="T340" t="s">
        <v>6694</v>
      </c>
      <c r="U340" t="s">
        <v>6695</v>
      </c>
      <c r="V340" t="s">
        <v>6696</v>
      </c>
      <c r="W340" t="s">
        <v>6697</v>
      </c>
      <c r="X340" t="s">
        <v>6698</v>
      </c>
      <c r="Y340" t="s">
        <v>6699</v>
      </c>
      <c r="Z340" t="s">
        <v>6700</v>
      </c>
      <c r="AA340" t="s">
        <v>74</v>
      </c>
      <c r="AB340" t="s">
        <v>6701</v>
      </c>
      <c r="AC340" t="s">
        <v>6702</v>
      </c>
      <c r="AD340" t="s">
        <v>6703</v>
      </c>
      <c r="AE340" t="s">
        <v>6704</v>
      </c>
      <c r="AF340" t="s">
        <v>74</v>
      </c>
      <c r="AG340">
        <v>124</v>
      </c>
      <c r="AH340">
        <v>1</v>
      </c>
      <c r="AI340">
        <v>1</v>
      </c>
      <c r="AJ340">
        <v>14</v>
      </c>
      <c r="AK340">
        <v>14</v>
      </c>
      <c r="AL340" t="s">
        <v>1208</v>
      </c>
      <c r="AM340" t="s">
        <v>1209</v>
      </c>
      <c r="AN340" t="s">
        <v>1210</v>
      </c>
      <c r="AO340" t="s">
        <v>6339</v>
      </c>
      <c r="AP340" t="s">
        <v>6340</v>
      </c>
      <c r="AQ340" t="s">
        <v>74</v>
      </c>
      <c r="AR340" t="s">
        <v>6341</v>
      </c>
      <c r="AS340" t="s">
        <v>6342</v>
      </c>
      <c r="AT340" t="s">
        <v>1947</v>
      </c>
      <c r="AU340">
        <v>2023</v>
      </c>
      <c r="AV340">
        <v>38</v>
      </c>
      <c r="AW340">
        <v>12</v>
      </c>
      <c r="AX340" t="s">
        <v>74</v>
      </c>
      <c r="AY340" t="s">
        <v>74</v>
      </c>
      <c r="AZ340" t="s">
        <v>74</v>
      </c>
      <c r="BA340" t="s">
        <v>74</v>
      </c>
      <c r="BB340" t="s">
        <v>74</v>
      </c>
      <c r="BC340" t="s">
        <v>74</v>
      </c>
      <c r="BD340" t="s">
        <v>6705</v>
      </c>
      <c r="BE340" t="s">
        <v>6706</v>
      </c>
      <c r="BF340" t="str">
        <f>HYPERLINK("http://dx.doi.org/10.1029/2022PA004570","http://dx.doi.org/10.1029/2022PA004570")</f>
        <v>http://dx.doi.org/10.1029/2022PA004570</v>
      </c>
      <c r="BG340" t="s">
        <v>74</v>
      </c>
      <c r="BH340" t="s">
        <v>74</v>
      </c>
      <c r="BI340">
        <v>18</v>
      </c>
      <c r="BJ340" t="s">
        <v>6345</v>
      </c>
      <c r="BK340" t="s">
        <v>100</v>
      </c>
      <c r="BL340" t="s">
        <v>6346</v>
      </c>
      <c r="BM340" t="s">
        <v>6707</v>
      </c>
      <c r="BN340" t="s">
        <v>74</v>
      </c>
      <c r="BO340" t="s">
        <v>74</v>
      </c>
      <c r="BP340" t="s">
        <v>74</v>
      </c>
      <c r="BQ340" t="s">
        <v>74</v>
      </c>
      <c r="BR340" t="s">
        <v>104</v>
      </c>
      <c r="BS340" t="s">
        <v>6708</v>
      </c>
      <c r="BT340" t="str">
        <f>HYPERLINK("https%3A%2F%2Fwww.webofscience.com%2Fwos%2Fwoscc%2Ffull-record%2FWOS:001110624100001","View Full Record in Web of Science")</f>
        <v>View Full Record in Web of Science</v>
      </c>
    </row>
    <row r="341" spans="1:72" x14ac:dyDescent="0.15">
      <c r="A341" t="s">
        <v>72</v>
      </c>
      <c r="B341" t="s">
        <v>6709</v>
      </c>
      <c r="C341" t="s">
        <v>74</v>
      </c>
      <c r="D341" t="s">
        <v>74</v>
      </c>
      <c r="E341" t="s">
        <v>74</v>
      </c>
      <c r="F341" t="s">
        <v>6710</v>
      </c>
      <c r="G341" t="s">
        <v>74</v>
      </c>
      <c r="H341" t="s">
        <v>74</v>
      </c>
      <c r="I341" t="s">
        <v>6711</v>
      </c>
      <c r="J341" t="s">
        <v>5706</v>
      </c>
      <c r="K341" t="s">
        <v>74</v>
      </c>
      <c r="L341" t="s">
        <v>74</v>
      </c>
      <c r="M341" t="s">
        <v>78</v>
      </c>
      <c r="N341" t="s">
        <v>79</v>
      </c>
      <c r="O341" t="s">
        <v>74</v>
      </c>
      <c r="P341" t="s">
        <v>74</v>
      </c>
      <c r="Q341" t="s">
        <v>74</v>
      </c>
      <c r="R341" t="s">
        <v>74</v>
      </c>
      <c r="S341" t="s">
        <v>74</v>
      </c>
      <c r="T341" t="s">
        <v>6712</v>
      </c>
      <c r="U341" t="s">
        <v>6713</v>
      </c>
      <c r="V341" t="s">
        <v>6714</v>
      </c>
      <c r="W341" t="s">
        <v>6715</v>
      </c>
      <c r="X341" t="s">
        <v>2417</v>
      </c>
      <c r="Y341" t="s">
        <v>6716</v>
      </c>
      <c r="Z341" t="s">
        <v>6717</v>
      </c>
      <c r="AA341" t="s">
        <v>74</v>
      </c>
      <c r="AB341" t="s">
        <v>74</v>
      </c>
      <c r="AC341" t="s">
        <v>4293</v>
      </c>
      <c r="AD341" t="s">
        <v>511</v>
      </c>
      <c r="AE341" t="s">
        <v>6718</v>
      </c>
      <c r="AF341" t="s">
        <v>74</v>
      </c>
      <c r="AG341">
        <v>63</v>
      </c>
      <c r="AH341">
        <v>0</v>
      </c>
      <c r="AI341">
        <v>0</v>
      </c>
      <c r="AJ341">
        <v>11</v>
      </c>
      <c r="AK341">
        <v>11</v>
      </c>
      <c r="AL341" t="s">
        <v>5695</v>
      </c>
      <c r="AM341" t="s">
        <v>5696</v>
      </c>
      <c r="AN341" t="s">
        <v>5697</v>
      </c>
      <c r="AO341" t="s">
        <v>74</v>
      </c>
      <c r="AP341" t="s">
        <v>5719</v>
      </c>
      <c r="AQ341" t="s">
        <v>74</v>
      </c>
      <c r="AR341" t="s">
        <v>5720</v>
      </c>
      <c r="AS341" t="s">
        <v>5721</v>
      </c>
      <c r="AT341" t="s">
        <v>1947</v>
      </c>
      <c r="AU341">
        <v>2023</v>
      </c>
      <c r="AV341">
        <v>15</v>
      </c>
      <c r="AW341">
        <v>23</v>
      </c>
      <c r="AX341" t="s">
        <v>74</v>
      </c>
      <c r="AY341" t="s">
        <v>74</v>
      </c>
      <c r="AZ341" t="s">
        <v>74</v>
      </c>
      <c r="BA341" t="s">
        <v>74</v>
      </c>
      <c r="BB341" t="s">
        <v>74</v>
      </c>
      <c r="BC341" t="s">
        <v>74</v>
      </c>
      <c r="BD341">
        <v>5566</v>
      </c>
      <c r="BE341" t="s">
        <v>6719</v>
      </c>
      <c r="BF341" t="str">
        <f>HYPERLINK("http://dx.doi.org/10.3390/rs15235566","http://dx.doi.org/10.3390/rs15235566")</f>
        <v>http://dx.doi.org/10.3390/rs15235566</v>
      </c>
      <c r="BG341" t="s">
        <v>74</v>
      </c>
      <c r="BH341" t="s">
        <v>74</v>
      </c>
      <c r="BI341">
        <v>17</v>
      </c>
      <c r="BJ341" t="s">
        <v>5723</v>
      </c>
      <c r="BK341" t="s">
        <v>100</v>
      </c>
      <c r="BL341" t="s">
        <v>5724</v>
      </c>
      <c r="BM341" t="s">
        <v>6720</v>
      </c>
      <c r="BN341" t="s">
        <v>74</v>
      </c>
      <c r="BO341" t="s">
        <v>131</v>
      </c>
      <c r="BP341" t="s">
        <v>74</v>
      </c>
      <c r="BQ341" t="s">
        <v>74</v>
      </c>
      <c r="BR341" t="s">
        <v>104</v>
      </c>
      <c r="BS341" t="s">
        <v>6721</v>
      </c>
      <c r="BT341" t="str">
        <f>HYPERLINK("https%3A%2F%2Fwww.webofscience.com%2Fwos%2Fwoscc%2Ffull-record%2FWOS:001117876200001","View Full Record in Web of Science")</f>
        <v>View Full Record in Web of Science</v>
      </c>
    </row>
    <row r="342" spans="1:72" x14ac:dyDescent="0.15">
      <c r="A342" t="s">
        <v>72</v>
      </c>
      <c r="B342" t="s">
        <v>6722</v>
      </c>
      <c r="C342" t="s">
        <v>74</v>
      </c>
      <c r="D342" t="s">
        <v>74</v>
      </c>
      <c r="E342" t="s">
        <v>74</v>
      </c>
      <c r="F342" t="s">
        <v>6723</v>
      </c>
      <c r="G342" t="s">
        <v>74</v>
      </c>
      <c r="H342" t="s">
        <v>74</v>
      </c>
      <c r="I342" t="s">
        <v>6724</v>
      </c>
      <c r="J342" t="s">
        <v>5706</v>
      </c>
      <c r="K342" t="s">
        <v>74</v>
      </c>
      <c r="L342" t="s">
        <v>74</v>
      </c>
      <c r="M342" t="s">
        <v>78</v>
      </c>
      <c r="N342" t="s">
        <v>79</v>
      </c>
      <c r="O342" t="s">
        <v>74</v>
      </c>
      <c r="P342" t="s">
        <v>74</v>
      </c>
      <c r="Q342" t="s">
        <v>74</v>
      </c>
      <c r="R342" t="s">
        <v>74</v>
      </c>
      <c r="S342" t="s">
        <v>74</v>
      </c>
      <c r="T342" t="s">
        <v>6725</v>
      </c>
      <c r="U342" t="s">
        <v>6726</v>
      </c>
      <c r="V342" t="s">
        <v>6727</v>
      </c>
      <c r="W342" t="s">
        <v>6728</v>
      </c>
      <c r="X342" t="s">
        <v>6729</v>
      </c>
      <c r="Y342" t="s">
        <v>6730</v>
      </c>
      <c r="Z342" t="s">
        <v>6731</v>
      </c>
      <c r="AA342" t="s">
        <v>74</v>
      </c>
      <c r="AB342" t="s">
        <v>74</v>
      </c>
      <c r="AC342" t="s">
        <v>6732</v>
      </c>
      <c r="AD342" t="s">
        <v>6732</v>
      </c>
      <c r="AE342" t="s">
        <v>6733</v>
      </c>
      <c r="AF342" t="s">
        <v>74</v>
      </c>
      <c r="AG342">
        <v>43</v>
      </c>
      <c r="AH342">
        <v>0</v>
      </c>
      <c r="AI342">
        <v>0</v>
      </c>
      <c r="AJ342">
        <v>10</v>
      </c>
      <c r="AK342">
        <v>10</v>
      </c>
      <c r="AL342" t="s">
        <v>5695</v>
      </c>
      <c r="AM342" t="s">
        <v>5696</v>
      </c>
      <c r="AN342" t="s">
        <v>5697</v>
      </c>
      <c r="AO342" t="s">
        <v>74</v>
      </c>
      <c r="AP342" t="s">
        <v>5719</v>
      </c>
      <c r="AQ342" t="s">
        <v>74</v>
      </c>
      <c r="AR342" t="s">
        <v>5720</v>
      </c>
      <c r="AS342" t="s">
        <v>5721</v>
      </c>
      <c r="AT342" t="s">
        <v>1947</v>
      </c>
      <c r="AU342">
        <v>2023</v>
      </c>
      <c r="AV342">
        <v>15</v>
      </c>
      <c r="AW342">
        <v>23</v>
      </c>
      <c r="AX342" t="s">
        <v>74</v>
      </c>
      <c r="AY342" t="s">
        <v>74</v>
      </c>
      <c r="AZ342" t="s">
        <v>74</v>
      </c>
      <c r="BA342" t="s">
        <v>74</v>
      </c>
      <c r="BB342" t="s">
        <v>74</v>
      </c>
      <c r="BC342" t="s">
        <v>74</v>
      </c>
      <c r="BD342">
        <v>5523</v>
      </c>
      <c r="BE342" t="s">
        <v>6734</v>
      </c>
      <c r="BF342" t="str">
        <f>HYPERLINK("http://dx.doi.org/10.3390/rs15235523","http://dx.doi.org/10.3390/rs15235523")</f>
        <v>http://dx.doi.org/10.3390/rs15235523</v>
      </c>
      <c r="BG342" t="s">
        <v>74</v>
      </c>
      <c r="BH342" t="s">
        <v>74</v>
      </c>
      <c r="BI342">
        <v>13</v>
      </c>
      <c r="BJ342" t="s">
        <v>5723</v>
      </c>
      <c r="BK342" t="s">
        <v>100</v>
      </c>
      <c r="BL342" t="s">
        <v>5724</v>
      </c>
      <c r="BM342" t="s">
        <v>6735</v>
      </c>
      <c r="BN342" t="s">
        <v>74</v>
      </c>
      <c r="BO342" t="s">
        <v>131</v>
      </c>
      <c r="BP342" t="s">
        <v>74</v>
      </c>
      <c r="BQ342" t="s">
        <v>74</v>
      </c>
      <c r="BR342" t="s">
        <v>104</v>
      </c>
      <c r="BS342" t="s">
        <v>6736</v>
      </c>
      <c r="BT342" t="str">
        <f>HYPERLINK("https%3A%2F%2Fwww.webofscience.com%2Fwos%2Fwoscc%2Ffull-record%2FWOS:001117447500001","View Full Record in Web of Science")</f>
        <v>View Full Record in Web of Science</v>
      </c>
    </row>
    <row r="343" spans="1:72" x14ac:dyDescent="0.15">
      <c r="A343" t="s">
        <v>72</v>
      </c>
      <c r="B343" t="s">
        <v>6737</v>
      </c>
      <c r="C343" t="s">
        <v>74</v>
      </c>
      <c r="D343" t="s">
        <v>74</v>
      </c>
      <c r="E343" t="s">
        <v>74</v>
      </c>
      <c r="F343" t="s">
        <v>6738</v>
      </c>
      <c r="G343" t="s">
        <v>74</v>
      </c>
      <c r="H343" t="s">
        <v>74</v>
      </c>
      <c r="I343" t="s">
        <v>6739</v>
      </c>
      <c r="J343" t="s">
        <v>5706</v>
      </c>
      <c r="K343" t="s">
        <v>74</v>
      </c>
      <c r="L343" t="s">
        <v>74</v>
      </c>
      <c r="M343" t="s">
        <v>78</v>
      </c>
      <c r="N343" t="s">
        <v>79</v>
      </c>
      <c r="O343" t="s">
        <v>74</v>
      </c>
      <c r="P343" t="s">
        <v>74</v>
      </c>
      <c r="Q343" t="s">
        <v>74</v>
      </c>
      <c r="R343" t="s">
        <v>74</v>
      </c>
      <c r="S343" t="s">
        <v>74</v>
      </c>
      <c r="T343" t="s">
        <v>6740</v>
      </c>
      <c r="U343" t="s">
        <v>6741</v>
      </c>
      <c r="V343" t="s">
        <v>6742</v>
      </c>
      <c r="W343" t="s">
        <v>6743</v>
      </c>
      <c r="X343" t="s">
        <v>6744</v>
      </c>
      <c r="Y343" t="s">
        <v>6745</v>
      </c>
      <c r="Z343" t="s">
        <v>6746</v>
      </c>
      <c r="AA343" t="s">
        <v>6747</v>
      </c>
      <c r="AB343" t="s">
        <v>6748</v>
      </c>
      <c r="AC343" t="s">
        <v>6749</v>
      </c>
      <c r="AD343" t="s">
        <v>6750</v>
      </c>
      <c r="AE343" t="s">
        <v>6751</v>
      </c>
      <c r="AF343" t="s">
        <v>74</v>
      </c>
      <c r="AG343">
        <v>45</v>
      </c>
      <c r="AH343">
        <v>0</v>
      </c>
      <c r="AI343">
        <v>0</v>
      </c>
      <c r="AJ343">
        <v>7</v>
      </c>
      <c r="AK343">
        <v>7</v>
      </c>
      <c r="AL343" t="s">
        <v>5695</v>
      </c>
      <c r="AM343" t="s">
        <v>5696</v>
      </c>
      <c r="AN343" t="s">
        <v>5697</v>
      </c>
      <c r="AO343" t="s">
        <v>74</v>
      </c>
      <c r="AP343" t="s">
        <v>5719</v>
      </c>
      <c r="AQ343" t="s">
        <v>74</v>
      </c>
      <c r="AR343" t="s">
        <v>5720</v>
      </c>
      <c r="AS343" t="s">
        <v>5721</v>
      </c>
      <c r="AT343" t="s">
        <v>1947</v>
      </c>
      <c r="AU343">
        <v>2023</v>
      </c>
      <c r="AV343">
        <v>15</v>
      </c>
      <c r="AW343">
        <v>23</v>
      </c>
      <c r="AX343" t="s">
        <v>74</v>
      </c>
      <c r="AY343" t="s">
        <v>74</v>
      </c>
      <c r="AZ343" t="s">
        <v>74</v>
      </c>
      <c r="BA343" t="s">
        <v>74</v>
      </c>
      <c r="BB343" t="s">
        <v>74</v>
      </c>
      <c r="BC343" t="s">
        <v>74</v>
      </c>
      <c r="BD343">
        <v>5563</v>
      </c>
      <c r="BE343" t="s">
        <v>6752</v>
      </c>
      <c r="BF343" t="str">
        <f>HYPERLINK("http://dx.doi.org/10.3390/rs15235563","http://dx.doi.org/10.3390/rs15235563")</f>
        <v>http://dx.doi.org/10.3390/rs15235563</v>
      </c>
      <c r="BG343" t="s">
        <v>74</v>
      </c>
      <c r="BH343" t="s">
        <v>74</v>
      </c>
      <c r="BI343">
        <v>17</v>
      </c>
      <c r="BJ343" t="s">
        <v>5723</v>
      </c>
      <c r="BK343" t="s">
        <v>100</v>
      </c>
      <c r="BL343" t="s">
        <v>5724</v>
      </c>
      <c r="BM343" t="s">
        <v>6753</v>
      </c>
      <c r="BN343" t="s">
        <v>74</v>
      </c>
      <c r="BO343" t="s">
        <v>131</v>
      </c>
      <c r="BP343" t="s">
        <v>74</v>
      </c>
      <c r="BQ343" t="s">
        <v>74</v>
      </c>
      <c r="BR343" t="s">
        <v>104</v>
      </c>
      <c r="BS343" t="s">
        <v>6754</v>
      </c>
      <c r="BT343" t="str">
        <f>HYPERLINK("https%3A%2F%2Fwww.webofscience.com%2Fwos%2Fwoscc%2Ffull-record%2FWOS:001116061900001","View Full Record in Web of Science")</f>
        <v>View Full Record in Web of Science</v>
      </c>
    </row>
    <row r="344" spans="1:72" x14ac:dyDescent="0.15">
      <c r="A344" t="s">
        <v>72</v>
      </c>
      <c r="B344" t="s">
        <v>6755</v>
      </c>
      <c r="C344" t="s">
        <v>74</v>
      </c>
      <c r="D344" t="s">
        <v>74</v>
      </c>
      <c r="E344" t="s">
        <v>74</v>
      </c>
      <c r="F344" t="s">
        <v>6756</v>
      </c>
      <c r="G344" t="s">
        <v>74</v>
      </c>
      <c r="H344" t="s">
        <v>74</v>
      </c>
      <c r="I344" t="s">
        <v>6757</v>
      </c>
      <c r="J344" t="s">
        <v>5106</v>
      </c>
      <c r="K344" t="s">
        <v>74</v>
      </c>
      <c r="L344" t="s">
        <v>74</v>
      </c>
      <c r="M344" t="s">
        <v>78</v>
      </c>
      <c r="N344" t="s">
        <v>79</v>
      </c>
      <c r="O344" t="s">
        <v>74</v>
      </c>
      <c r="P344" t="s">
        <v>74</v>
      </c>
      <c r="Q344" t="s">
        <v>74</v>
      </c>
      <c r="R344" t="s">
        <v>74</v>
      </c>
      <c r="S344" t="s">
        <v>74</v>
      </c>
      <c r="T344" t="s">
        <v>6758</v>
      </c>
      <c r="U344" t="s">
        <v>6759</v>
      </c>
      <c r="V344" t="s">
        <v>6760</v>
      </c>
      <c r="W344" t="s">
        <v>6761</v>
      </c>
      <c r="X344" t="s">
        <v>6762</v>
      </c>
      <c r="Y344" t="s">
        <v>1533</v>
      </c>
      <c r="Z344" t="s">
        <v>6763</v>
      </c>
      <c r="AA344" t="s">
        <v>74</v>
      </c>
      <c r="AB344" t="s">
        <v>74</v>
      </c>
      <c r="AC344" t="s">
        <v>6764</v>
      </c>
      <c r="AD344" t="s">
        <v>6765</v>
      </c>
      <c r="AE344" t="s">
        <v>6766</v>
      </c>
      <c r="AF344" t="s">
        <v>74</v>
      </c>
      <c r="AG344">
        <v>54</v>
      </c>
      <c r="AH344">
        <v>0</v>
      </c>
      <c r="AI344">
        <v>0</v>
      </c>
      <c r="AJ344">
        <v>5</v>
      </c>
      <c r="AK344">
        <v>5</v>
      </c>
      <c r="AL344" t="s">
        <v>5117</v>
      </c>
      <c r="AM344" t="s">
        <v>5118</v>
      </c>
      <c r="AN344" t="s">
        <v>5119</v>
      </c>
      <c r="AO344" t="s">
        <v>5120</v>
      </c>
      <c r="AP344" t="s">
        <v>5121</v>
      </c>
      <c r="AQ344" t="s">
        <v>74</v>
      </c>
      <c r="AR344" t="s">
        <v>5122</v>
      </c>
      <c r="AS344" t="s">
        <v>5123</v>
      </c>
      <c r="AT344" t="s">
        <v>1947</v>
      </c>
      <c r="AU344">
        <v>2023</v>
      </c>
      <c r="AV344">
        <v>36</v>
      </c>
      <c r="AW344">
        <v>23</v>
      </c>
      <c r="AX344" t="s">
        <v>74</v>
      </c>
      <c r="AY344" t="s">
        <v>74</v>
      </c>
      <c r="AZ344" t="s">
        <v>74</v>
      </c>
      <c r="BA344" t="s">
        <v>74</v>
      </c>
      <c r="BB344">
        <v>8127</v>
      </c>
      <c r="BC344">
        <v>8138</v>
      </c>
      <c r="BD344" t="s">
        <v>74</v>
      </c>
      <c r="BE344" t="s">
        <v>6767</v>
      </c>
      <c r="BF344" t="str">
        <f>HYPERLINK("http://dx.doi.org/10.1175/JCLI-D-22-0747.1","http://dx.doi.org/10.1175/JCLI-D-22-0747.1")</f>
        <v>http://dx.doi.org/10.1175/JCLI-D-22-0747.1</v>
      </c>
      <c r="BG344" t="s">
        <v>74</v>
      </c>
      <c r="BH344" t="s">
        <v>74</v>
      </c>
      <c r="BI344">
        <v>12</v>
      </c>
      <c r="BJ344" t="s">
        <v>1522</v>
      </c>
      <c r="BK344" t="s">
        <v>100</v>
      </c>
      <c r="BL344" t="s">
        <v>1522</v>
      </c>
      <c r="BM344" t="s">
        <v>6768</v>
      </c>
      <c r="BN344" t="s">
        <v>74</v>
      </c>
      <c r="BO344" t="s">
        <v>1794</v>
      </c>
      <c r="BP344" t="s">
        <v>74</v>
      </c>
      <c r="BQ344" t="s">
        <v>74</v>
      </c>
      <c r="BR344" t="s">
        <v>104</v>
      </c>
      <c r="BS344" t="s">
        <v>6769</v>
      </c>
      <c r="BT344" t="str">
        <f>HYPERLINK("https%3A%2F%2Fwww.webofscience.com%2Fwos%2Fwoscc%2Ffull-record%2FWOS:001100627000001","View Full Record in Web of Science")</f>
        <v>View Full Record in Web of Science</v>
      </c>
    </row>
    <row r="345" spans="1:72" x14ac:dyDescent="0.15">
      <c r="A345" t="s">
        <v>72</v>
      </c>
      <c r="B345" t="s">
        <v>6770</v>
      </c>
      <c r="C345" t="s">
        <v>74</v>
      </c>
      <c r="D345" t="s">
        <v>74</v>
      </c>
      <c r="E345" t="s">
        <v>74</v>
      </c>
      <c r="F345" t="s">
        <v>6771</v>
      </c>
      <c r="G345" t="s">
        <v>74</v>
      </c>
      <c r="H345" t="s">
        <v>74</v>
      </c>
      <c r="I345" t="s">
        <v>6772</v>
      </c>
      <c r="J345" t="s">
        <v>6773</v>
      </c>
      <c r="K345" t="s">
        <v>74</v>
      </c>
      <c r="L345" t="s">
        <v>74</v>
      </c>
      <c r="M345" t="s">
        <v>78</v>
      </c>
      <c r="N345" t="s">
        <v>79</v>
      </c>
      <c r="O345" t="s">
        <v>74</v>
      </c>
      <c r="P345" t="s">
        <v>74</v>
      </c>
      <c r="Q345" t="s">
        <v>74</v>
      </c>
      <c r="R345" t="s">
        <v>74</v>
      </c>
      <c r="S345" t="s">
        <v>74</v>
      </c>
      <c r="T345" t="s">
        <v>6774</v>
      </c>
      <c r="U345" t="s">
        <v>6775</v>
      </c>
      <c r="V345" t="s">
        <v>6776</v>
      </c>
      <c r="W345" t="s">
        <v>6777</v>
      </c>
      <c r="X345" t="s">
        <v>6778</v>
      </c>
      <c r="Y345" t="s">
        <v>6779</v>
      </c>
      <c r="Z345" t="s">
        <v>6780</v>
      </c>
      <c r="AA345" t="s">
        <v>74</v>
      </c>
      <c r="AB345" t="s">
        <v>74</v>
      </c>
      <c r="AC345" t="s">
        <v>6781</v>
      </c>
      <c r="AD345" t="s">
        <v>6781</v>
      </c>
      <c r="AE345" t="s">
        <v>6782</v>
      </c>
      <c r="AF345" t="s">
        <v>74</v>
      </c>
      <c r="AG345">
        <v>133</v>
      </c>
      <c r="AH345">
        <v>0</v>
      </c>
      <c r="AI345">
        <v>0</v>
      </c>
      <c r="AJ345">
        <v>0</v>
      </c>
      <c r="AK345">
        <v>0</v>
      </c>
      <c r="AL345" t="s">
        <v>3812</v>
      </c>
      <c r="AM345" t="s">
        <v>3813</v>
      </c>
      <c r="AN345" t="s">
        <v>3814</v>
      </c>
      <c r="AO345" t="s">
        <v>6783</v>
      </c>
      <c r="AP345" t="s">
        <v>6784</v>
      </c>
      <c r="AQ345" t="s">
        <v>74</v>
      </c>
      <c r="AR345" t="s">
        <v>6785</v>
      </c>
      <c r="AS345" t="s">
        <v>6786</v>
      </c>
      <c r="AT345" t="s">
        <v>1947</v>
      </c>
      <c r="AU345">
        <v>2023</v>
      </c>
      <c r="AV345">
        <v>53</v>
      </c>
      <c r="AW345">
        <v>6</v>
      </c>
      <c r="AX345" t="s">
        <v>74</v>
      </c>
      <c r="AY345" t="s">
        <v>74</v>
      </c>
      <c r="AZ345" t="s">
        <v>74</v>
      </c>
      <c r="BA345" t="s">
        <v>74</v>
      </c>
      <c r="BB345" t="s">
        <v>74</v>
      </c>
      <c r="BC345" t="s">
        <v>74</v>
      </c>
      <c r="BD345">
        <v>75</v>
      </c>
      <c r="BE345" t="s">
        <v>6787</v>
      </c>
      <c r="BF345" t="str">
        <f>HYPERLINK("http://dx.doi.org/10.1007/s12526-023-01380-x","http://dx.doi.org/10.1007/s12526-023-01380-x")</f>
        <v>http://dx.doi.org/10.1007/s12526-023-01380-x</v>
      </c>
      <c r="BG345" t="s">
        <v>74</v>
      </c>
      <c r="BH345" t="s">
        <v>74</v>
      </c>
      <c r="BI345">
        <v>42</v>
      </c>
      <c r="BJ345" t="s">
        <v>6788</v>
      </c>
      <c r="BK345" t="s">
        <v>100</v>
      </c>
      <c r="BL345" t="s">
        <v>6789</v>
      </c>
      <c r="BM345" t="s">
        <v>6790</v>
      </c>
      <c r="BN345" t="s">
        <v>74</v>
      </c>
      <c r="BO345" t="s">
        <v>74</v>
      </c>
      <c r="BP345" t="s">
        <v>74</v>
      </c>
      <c r="BQ345" t="s">
        <v>74</v>
      </c>
      <c r="BR345" t="s">
        <v>104</v>
      </c>
      <c r="BS345" t="s">
        <v>6791</v>
      </c>
      <c r="BT345" t="str">
        <f>HYPERLINK("https%3A%2F%2Fwww.webofscience.com%2Fwos%2Fwoscc%2Ffull-record%2FWOS:001105147400002","View Full Record in Web of Science")</f>
        <v>View Full Record in Web of Science</v>
      </c>
    </row>
    <row r="346" spans="1:72" x14ac:dyDescent="0.15">
      <c r="A346" t="s">
        <v>72</v>
      </c>
      <c r="B346" t="s">
        <v>6792</v>
      </c>
      <c r="C346" t="s">
        <v>74</v>
      </c>
      <c r="D346" t="s">
        <v>74</v>
      </c>
      <c r="E346" t="s">
        <v>74</v>
      </c>
      <c r="F346" t="s">
        <v>6793</v>
      </c>
      <c r="G346" t="s">
        <v>74</v>
      </c>
      <c r="H346" t="s">
        <v>74</v>
      </c>
      <c r="I346" t="s">
        <v>6794</v>
      </c>
      <c r="J346" t="s">
        <v>6795</v>
      </c>
      <c r="K346" t="s">
        <v>74</v>
      </c>
      <c r="L346" t="s">
        <v>74</v>
      </c>
      <c r="M346" t="s">
        <v>78</v>
      </c>
      <c r="N346" t="s">
        <v>79</v>
      </c>
      <c r="O346" t="s">
        <v>74</v>
      </c>
      <c r="P346" t="s">
        <v>74</v>
      </c>
      <c r="Q346" t="s">
        <v>74</v>
      </c>
      <c r="R346" t="s">
        <v>74</v>
      </c>
      <c r="S346" t="s">
        <v>74</v>
      </c>
      <c r="T346" t="s">
        <v>6796</v>
      </c>
      <c r="U346" t="s">
        <v>6797</v>
      </c>
      <c r="V346" t="s">
        <v>6798</v>
      </c>
      <c r="W346" t="s">
        <v>6799</v>
      </c>
      <c r="X346" t="s">
        <v>6800</v>
      </c>
      <c r="Y346" t="s">
        <v>6801</v>
      </c>
      <c r="Z346" t="s">
        <v>6802</v>
      </c>
      <c r="AA346" t="s">
        <v>6803</v>
      </c>
      <c r="AB346" t="s">
        <v>74</v>
      </c>
      <c r="AC346" t="s">
        <v>6804</v>
      </c>
      <c r="AD346" t="s">
        <v>6805</v>
      </c>
      <c r="AE346" t="s">
        <v>6806</v>
      </c>
      <c r="AF346" t="s">
        <v>74</v>
      </c>
      <c r="AG346">
        <v>48</v>
      </c>
      <c r="AH346">
        <v>0</v>
      </c>
      <c r="AI346">
        <v>0</v>
      </c>
      <c r="AJ346">
        <v>7</v>
      </c>
      <c r="AK346">
        <v>7</v>
      </c>
      <c r="AL346" t="s">
        <v>6807</v>
      </c>
      <c r="AM346" t="s">
        <v>6808</v>
      </c>
      <c r="AN346" t="s">
        <v>6809</v>
      </c>
      <c r="AO346" t="s">
        <v>6810</v>
      </c>
      <c r="AP346" t="s">
        <v>74</v>
      </c>
      <c r="AQ346" t="s">
        <v>74</v>
      </c>
      <c r="AR346" t="s">
        <v>6811</v>
      </c>
      <c r="AS346" t="s">
        <v>6812</v>
      </c>
      <c r="AT346" t="s">
        <v>5341</v>
      </c>
      <c r="AU346">
        <v>2023</v>
      </c>
      <c r="AV346">
        <v>18</v>
      </c>
      <c r="AW346">
        <v>12</v>
      </c>
      <c r="AX346" t="s">
        <v>74</v>
      </c>
      <c r="AY346" t="s">
        <v>74</v>
      </c>
      <c r="AZ346" t="s">
        <v>74</v>
      </c>
      <c r="BA346" t="s">
        <v>74</v>
      </c>
      <c r="BB346" t="s">
        <v>74</v>
      </c>
      <c r="BC346" t="s">
        <v>74</v>
      </c>
      <c r="BD346">
        <v>124012</v>
      </c>
      <c r="BE346" t="s">
        <v>6813</v>
      </c>
      <c r="BF346" t="str">
        <f>HYPERLINK("http://dx.doi.org/10.1088/1748-9326/ad0863","http://dx.doi.org/10.1088/1748-9326/ad0863")</f>
        <v>http://dx.doi.org/10.1088/1748-9326/ad0863</v>
      </c>
      <c r="BG346" t="s">
        <v>74</v>
      </c>
      <c r="BH346" t="s">
        <v>74</v>
      </c>
      <c r="BI346">
        <v>9</v>
      </c>
      <c r="BJ346" t="s">
        <v>2382</v>
      </c>
      <c r="BK346" t="s">
        <v>100</v>
      </c>
      <c r="BL346" t="s">
        <v>2383</v>
      </c>
      <c r="BM346" t="s">
        <v>6814</v>
      </c>
      <c r="BN346" t="s">
        <v>74</v>
      </c>
      <c r="BO346" t="s">
        <v>131</v>
      </c>
      <c r="BP346" t="s">
        <v>74</v>
      </c>
      <c r="BQ346" t="s">
        <v>74</v>
      </c>
      <c r="BR346" t="s">
        <v>104</v>
      </c>
      <c r="BS346" t="s">
        <v>6815</v>
      </c>
      <c r="BT346" t="str">
        <f>HYPERLINK("https%3A%2F%2Fwww.webofscience.com%2Fwos%2Fwoscc%2Ffull-record%2FWOS:001099134100001","View Full Record in Web of Science")</f>
        <v>View Full Record in Web of Science</v>
      </c>
    </row>
    <row r="347" spans="1:72" x14ac:dyDescent="0.15">
      <c r="A347" t="s">
        <v>72</v>
      </c>
      <c r="B347" t="s">
        <v>6816</v>
      </c>
      <c r="C347" t="s">
        <v>74</v>
      </c>
      <c r="D347" t="s">
        <v>74</v>
      </c>
      <c r="E347" t="s">
        <v>74</v>
      </c>
      <c r="F347" t="s">
        <v>6817</v>
      </c>
      <c r="G347" t="s">
        <v>74</v>
      </c>
      <c r="H347" t="s">
        <v>74</v>
      </c>
      <c r="I347" t="s">
        <v>6818</v>
      </c>
      <c r="J347" t="s">
        <v>5106</v>
      </c>
      <c r="K347" t="s">
        <v>74</v>
      </c>
      <c r="L347" t="s">
        <v>74</v>
      </c>
      <c r="M347" t="s">
        <v>78</v>
      </c>
      <c r="N347" t="s">
        <v>79</v>
      </c>
      <c r="O347" t="s">
        <v>74</v>
      </c>
      <c r="P347" t="s">
        <v>74</v>
      </c>
      <c r="Q347" t="s">
        <v>74</v>
      </c>
      <c r="R347" t="s">
        <v>74</v>
      </c>
      <c r="S347" t="s">
        <v>74</v>
      </c>
      <c r="T347" t="s">
        <v>6819</v>
      </c>
      <c r="U347" t="s">
        <v>6820</v>
      </c>
      <c r="V347" t="s">
        <v>6821</v>
      </c>
      <c r="W347" t="s">
        <v>6822</v>
      </c>
      <c r="X347" t="s">
        <v>6823</v>
      </c>
      <c r="Y347" t="s">
        <v>6824</v>
      </c>
      <c r="Z347" t="s">
        <v>6825</v>
      </c>
      <c r="AA347" t="s">
        <v>74</v>
      </c>
      <c r="AB347" t="s">
        <v>74</v>
      </c>
      <c r="AC347" t="s">
        <v>6826</v>
      </c>
      <c r="AD347" t="s">
        <v>6827</v>
      </c>
      <c r="AE347" t="s">
        <v>6828</v>
      </c>
      <c r="AF347" t="s">
        <v>74</v>
      </c>
      <c r="AG347">
        <v>54</v>
      </c>
      <c r="AH347">
        <v>0</v>
      </c>
      <c r="AI347">
        <v>0</v>
      </c>
      <c r="AJ347">
        <v>13</v>
      </c>
      <c r="AK347">
        <v>13</v>
      </c>
      <c r="AL347" t="s">
        <v>5117</v>
      </c>
      <c r="AM347" t="s">
        <v>5118</v>
      </c>
      <c r="AN347" t="s">
        <v>5119</v>
      </c>
      <c r="AO347" t="s">
        <v>5120</v>
      </c>
      <c r="AP347" t="s">
        <v>5121</v>
      </c>
      <c r="AQ347" t="s">
        <v>74</v>
      </c>
      <c r="AR347" t="s">
        <v>5122</v>
      </c>
      <c r="AS347" t="s">
        <v>5123</v>
      </c>
      <c r="AT347" t="s">
        <v>1947</v>
      </c>
      <c r="AU347">
        <v>2023</v>
      </c>
      <c r="AV347">
        <v>36</v>
      </c>
      <c r="AW347">
        <v>23</v>
      </c>
      <c r="AX347" t="s">
        <v>74</v>
      </c>
      <c r="AY347" t="s">
        <v>74</v>
      </c>
      <c r="AZ347" t="s">
        <v>74</v>
      </c>
      <c r="BA347" t="s">
        <v>74</v>
      </c>
      <c r="BB347">
        <v>8299</v>
      </c>
      <c r="BC347">
        <v>8310</v>
      </c>
      <c r="BD347" t="s">
        <v>74</v>
      </c>
      <c r="BE347" t="s">
        <v>6829</v>
      </c>
      <c r="BF347" t="str">
        <f>HYPERLINK("http://dx.doi.org/10.1175/JCLI-D-23-0118.1","http://dx.doi.org/10.1175/JCLI-D-23-0118.1")</f>
        <v>http://dx.doi.org/10.1175/JCLI-D-23-0118.1</v>
      </c>
      <c r="BG347" t="s">
        <v>74</v>
      </c>
      <c r="BH347" t="s">
        <v>74</v>
      </c>
      <c r="BI347">
        <v>12</v>
      </c>
      <c r="BJ347" t="s">
        <v>1522</v>
      </c>
      <c r="BK347" t="s">
        <v>100</v>
      </c>
      <c r="BL347" t="s">
        <v>1522</v>
      </c>
      <c r="BM347" t="s">
        <v>6830</v>
      </c>
      <c r="BN347" t="s">
        <v>74</v>
      </c>
      <c r="BO347" t="s">
        <v>1794</v>
      </c>
      <c r="BP347" t="s">
        <v>74</v>
      </c>
      <c r="BQ347" t="s">
        <v>74</v>
      </c>
      <c r="BR347" t="s">
        <v>104</v>
      </c>
      <c r="BS347" t="s">
        <v>6831</v>
      </c>
      <c r="BT347" t="str">
        <f>HYPERLINK("https%3A%2F%2Fwww.webofscience.com%2Fwos%2Fwoscc%2Ffull-record%2FWOS:001103458300001","View Full Record in Web of Science")</f>
        <v>View Full Record in Web of Science</v>
      </c>
    </row>
    <row r="348" spans="1:72" x14ac:dyDescent="0.15">
      <c r="A348" t="s">
        <v>72</v>
      </c>
      <c r="B348" t="s">
        <v>6832</v>
      </c>
      <c r="C348" t="s">
        <v>74</v>
      </c>
      <c r="D348" t="s">
        <v>74</v>
      </c>
      <c r="E348" t="s">
        <v>74</v>
      </c>
      <c r="F348" t="s">
        <v>6833</v>
      </c>
      <c r="G348" t="s">
        <v>74</v>
      </c>
      <c r="H348" t="s">
        <v>74</v>
      </c>
      <c r="I348" t="s">
        <v>6834</v>
      </c>
      <c r="J348" t="s">
        <v>6835</v>
      </c>
      <c r="K348" t="s">
        <v>74</v>
      </c>
      <c r="L348" t="s">
        <v>74</v>
      </c>
      <c r="M348" t="s">
        <v>78</v>
      </c>
      <c r="N348" t="s">
        <v>441</v>
      </c>
      <c r="O348" t="s">
        <v>74</v>
      </c>
      <c r="P348" t="s">
        <v>74</v>
      </c>
      <c r="Q348" t="s">
        <v>74</v>
      </c>
      <c r="R348" t="s">
        <v>74</v>
      </c>
      <c r="S348" t="s">
        <v>74</v>
      </c>
      <c r="T348" t="s">
        <v>6836</v>
      </c>
      <c r="U348" t="s">
        <v>6837</v>
      </c>
      <c r="V348" t="s">
        <v>6838</v>
      </c>
      <c r="W348" t="s">
        <v>6839</v>
      </c>
      <c r="X348" t="s">
        <v>6840</v>
      </c>
      <c r="Y348" t="s">
        <v>6841</v>
      </c>
      <c r="Z348" t="s">
        <v>6842</v>
      </c>
      <c r="AA348" t="s">
        <v>6843</v>
      </c>
      <c r="AB348" t="s">
        <v>6844</v>
      </c>
      <c r="AC348" t="s">
        <v>6845</v>
      </c>
      <c r="AD348" t="s">
        <v>6846</v>
      </c>
      <c r="AE348" t="s">
        <v>6847</v>
      </c>
      <c r="AF348" t="s">
        <v>74</v>
      </c>
      <c r="AG348">
        <v>534</v>
      </c>
      <c r="AH348">
        <v>2</v>
      </c>
      <c r="AI348">
        <v>2</v>
      </c>
      <c r="AJ348">
        <v>23</v>
      </c>
      <c r="AK348">
        <v>23</v>
      </c>
      <c r="AL348" t="s">
        <v>1075</v>
      </c>
      <c r="AM348" t="s">
        <v>2949</v>
      </c>
      <c r="AN348" t="s">
        <v>2950</v>
      </c>
      <c r="AO348" t="s">
        <v>6848</v>
      </c>
      <c r="AP348" t="s">
        <v>6849</v>
      </c>
      <c r="AQ348" t="s">
        <v>74</v>
      </c>
      <c r="AR348" t="s">
        <v>6850</v>
      </c>
      <c r="AS348" t="s">
        <v>6851</v>
      </c>
      <c r="AT348" t="s">
        <v>1947</v>
      </c>
      <c r="AU348">
        <v>2023</v>
      </c>
      <c r="AV348">
        <v>219</v>
      </c>
      <c r="AW348">
        <v>8</v>
      </c>
      <c r="AX348" t="s">
        <v>74</v>
      </c>
      <c r="AY348" t="s">
        <v>74</v>
      </c>
      <c r="AZ348" t="s">
        <v>74</v>
      </c>
      <c r="BA348" t="s">
        <v>74</v>
      </c>
      <c r="BB348" t="s">
        <v>74</v>
      </c>
      <c r="BC348" t="s">
        <v>74</v>
      </c>
      <c r="BD348">
        <v>73</v>
      </c>
      <c r="BE348" t="s">
        <v>6852</v>
      </c>
      <c r="BF348" t="str">
        <f>HYPERLINK("http://dx.doi.org/10.1007/s11214-023-01018-1","http://dx.doi.org/10.1007/s11214-023-01018-1")</f>
        <v>http://dx.doi.org/10.1007/s11214-023-01018-1</v>
      </c>
      <c r="BG348" t="s">
        <v>74</v>
      </c>
      <c r="BH348" t="s">
        <v>74</v>
      </c>
      <c r="BI348">
        <v>114</v>
      </c>
      <c r="BJ348" t="s">
        <v>4706</v>
      </c>
      <c r="BK348" t="s">
        <v>100</v>
      </c>
      <c r="BL348" t="s">
        <v>4706</v>
      </c>
      <c r="BM348" t="s">
        <v>6853</v>
      </c>
      <c r="BN348" t="s">
        <v>74</v>
      </c>
      <c r="BO348" t="s">
        <v>103</v>
      </c>
      <c r="BP348" t="s">
        <v>74</v>
      </c>
      <c r="BQ348" t="s">
        <v>74</v>
      </c>
      <c r="BR348" t="s">
        <v>104</v>
      </c>
      <c r="BS348" t="s">
        <v>6854</v>
      </c>
      <c r="BT348" t="str">
        <f>HYPERLINK("https%3A%2F%2Fwww.webofscience.com%2Fwos%2Fwoscc%2Ffull-record%2FWOS:001094498300002","View Full Record in Web of Science")</f>
        <v>View Full Record in Web of Science</v>
      </c>
    </row>
    <row r="349" spans="1:72" x14ac:dyDescent="0.15">
      <c r="A349" t="s">
        <v>72</v>
      </c>
      <c r="B349" t="s">
        <v>6855</v>
      </c>
      <c r="C349" t="s">
        <v>74</v>
      </c>
      <c r="D349" t="s">
        <v>74</v>
      </c>
      <c r="E349" t="s">
        <v>74</v>
      </c>
      <c r="F349" t="s">
        <v>6856</v>
      </c>
      <c r="G349" t="s">
        <v>74</v>
      </c>
      <c r="H349" t="s">
        <v>74</v>
      </c>
      <c r="I349" t="s">
        <v>6857</v>
      </c>
      <c r="J349" t="s">
        <v>6858</v>
      </c>
      <c r="K349" t="s">
        <v>74</v>
      </c>
      <c r="L349" t="s">
        <v>74</v>
      </c>
      <c r="M349" t="s">
        <v>78</v>
      </c>
      <c r="N349" t="s">
        <v>79</v>
      </c>
      <c r="O349" t="s">
        <v>74</v>
      </c>
      <c r="P349" t="s">
        <v>74</v>
      </c>
      <c r="Q349" t="s">
        <v>74</v>
      </c>
      <c r="R349" t="s">
        <v>74</v>
      </c>
      <c r="S349" t="s">
        <v>74</v>
      </c>
      <c r="T349" t="s">
        <v>6859</v>
      </c>
      <c r="U349" t="s">
        <v>6860</v>
      </c>
      <c r="V349" t="s">
        <v>6861</v>
      </c>
      <c r="W349" t="s">
        <v>6862</v>
      </c>
      <c r="X349" t="s">
        <v>6863</v>
      </c>
      <c r="Y349" t="s">
        <v>6864</v>
      </c>
      <c r="Z349" t="s">
        <v>6865</v>
      </c>
      <c r="AA349" t="s">
        <v>74</v>
      </c>
      <c r="AB349" t="s">
        <v>74</v>
      </c>
      <c r="AC349" t="s">
        <v>6866</v>
      </c>
      <c r="AD349" t="s">
        <v>6867</v>
      </c>
      <c r="AE349" t="s">
        <v>6868</v>
      </c>
      <c r="AF349" t="s">
        <v>74</v>
      </c>
      <c r="AG349">
        <v>63</v>
      </c>
      <c r="AH349">
        <v>0</v>
      </c>
      <c r="AI349">
        <v>0</v>
      </c>
      <c r="AJ349">
        <v>2</v>
      </c>
      <c r="AK349">
        <v>2</v>
      </c>
      <c r="AL349" t="s">
        <v>3812</v>
      </c>
      <c r="AM349" t="s">
        <v>3813</v>
      </c>
      <c r="AN349" t="s">
        <v>3814</v>
      </c>
      <c r="AO349" t="s">
        <v>6869</v>
      </c>
      <c r="AP349" t="s">
        <v>6870</v>
      </c>
      <c r="AQ349" t="s">
        <v>74</v>
      </c>
      <c r="AR349" t="s">
        <v>6871</v>
      </c>
      <c r="AS349" t="s">
        <v>6872</v>
      </c>
      <c r="AT349" t="s">
        <v>1947</v>
      </c>
      <c r="AU349">
        <v>2023</v>
      </c>
      <c r="AV349">
        <v>170</v>
      </c>
      <c r="AW349">
        <v>12</v>
      </c>
      <c r="AX349" t="s">
        <v>74</v>
      </c>
      <c r="AY349" t="s">
        <v>74</v>
      </c>
      <c r="AZ349" t="s">
        <v>74</v>
      </c>
      <c r="BA349" t="s">
        <v>74</v>
      </c>
      <c r="BB349" t="s">
        <v>74</v>
      </c>
      <c r="BC349" t="s">
        <v>74</v>
      </c>
      <c r="BD349">
        <v>163</v>
      </c>
      <c r="BE349" t="s">
        <v>6873</v>
      </c>
      <c r="BF349" t="str">
        <f>HYPERLINK("http://dx.doi.org/10.1007/s00227-023-04304-2","http://dx.doi.org/10.1007/s00227-023-04304-2")</f>
        <v>http://dx.doi.org/10.1007/s00227-023-04304-2</v>
      </c>
      <c r="BG349" t="s">
        <v>74</v>
      </c>
      <c r="BH349" t="s">
        <v>74</v>
      </c>
      <c r="BI349">
        <v>10</v>
      </c>
      <c r="BJ349" t="s">
        <v>6874</v>
      </c>
      <c r="BK349" t="s">
        <v>100</v>
      </c>
      <c r="BL349" t="s">
        <v>6874</v>
      </c>
      <c r="BM349" t="s">
        <v>6875</v>
      </c>
      <c r="BN349" t="s">
        <v>74</v>
      </c>
      <c r="BO349" t="s">
        <v>103</v>
      </c>
      <c r="BP349" t="s">
        <v>74</v>
      </c>
      <c r="BQ349" t="s">
        <v>74</v>
      </c>
      <c r="BR349" t="s">
        <v>104</v>
      </c>
      <c r="BS349" t="s">
        <v>6876</v>
      </c>
      <c r="BT349" t="str">
        <f>HYPERLINK("https%3A%2F%2Fwww.webofscience.com%2Fwos%2Fwoscc%2Ffull-record%2FWOS:001086706400002","View Full Record in Web of Science")</f>
        <v>View Full Record in Web of Science</v>
      </c>
    </row>
    <row r="350" spans="1:72" x14ac:dyDescent="0.15">
      <c r="A350" t="s">
        <v>72</v>
      </c>
      <c r="B350" t="s">
        <v>6877</v>
      </c>
      <c r="C350" t="s">
        <v>74</v>
      </c>
      <c r="D350" t="s">
        <v>74</v>
      </c>
      <c r="E350" t="s">
        <v>74</v>
      </c>
      <c r="F350" t="s">
        <v>6878</v>
      </c>
      <c r="G350" t="s">
        <v>74</v>
      </c>
      <c r="H350" t="s">
        <v>74</v>
      </c>
      <c r="I350" t="s">
        <v>6879</v>
      </c>
      <c r="J350" t="s">
        <v>6880</v>
      </c>
      <c r="K350" t="s">
        <v>74</v>
      </c>
      <c r="L350" t="s">
        <v>74</v>
      </c>
      <c r="M350" t="s">
        <v>78</v>
      </c>
      <c r="N350" t="s">
        <v>920</v>
      </c>
      <c r="O350" t="s">
        <v>74</v>
      </c>
      <c r="P350" t="s">
        <v>74</v>
      </c>
      <c r="Q350" t="s">
        <v>74</v>
      </c>
      <c r="R350" t="s">
        <v>74</v>
      </c>
      <c r="S350" t="s">
        <v>74</v>
      </c>
      <c r="T350" t="s">
        <v>74</v>
      </c>
      <c r="U350" t="s">
        <v>6881</v>
      </c>
      <c r="V350" t="s">
        <v>74</v>
      </c>
      <c r="W350" t="s">
        <v>6882</v>
      </c>
      <c r="X350" t="s">
        <v>6883</v>
      </c>
      <c r="Y350" t="s">
        <v>6884</v>
      </c>
      <c r="Z350" t="s">
        <v>74</v>
      </c>
      <c r="AA350" t="s">
        <v>6621</v>
      </c>
      <c r="AB350" t="s">
        <v>6622</v>
      </c>
      <c r="AC350" t="s">
        <v>74</v>
      </c>
      <c r="AD350" t="s">
        <v>74</v>
      </c>
      <c r="AE350" t="s">
        <v>74</v>
      </c>
      <c r="AF350" t="s">
        <v>74</v>
      </c>
      <c r="AG350">
        <v>17</v>
      </c>
      <c r="AH350">
        <v>0</v>
      </c>
      <c r="AI350">
        <v>0</v>
      </c>
      <c r="AJ350">
        <v>6</v>
      </c>
      <c r="AK350">
        <v>6</v>
      </c>
      <c r="AL350" t="s">
        <v>6885</v>
      </c>
      <c r="AM350" t="s">
        <v>6886</v>
      </c>
      <c r="AN350" t="s">
        <v>6887</v>
      </c>
      <c r="AO350" t="s">
        <v>6888</v>
      </c>
      <c r="AP350" t="s">
        <v>6889</v>
      </c>
      <c r="AQ350" t="s">
        <v>74</v>
      </c>
      <c r="AR350" t="s">
        <v>6890</v>
      </c>
      <c r="AS350" t="s">
        <v>6891</v>
      </c>
      <c r="AT350" t="s">
        <v>1947</v>
      </c>
      <c r="AU350">
        <v>2023</v>
      </c>
      <c r="AV350">
        <v>40</v>
      </c>
      <c r="AW350">
        <v>12</v>
      </c>
      <c r="AX350" t="s">
        <v>74</v>
      </c>
      <c r="AY350" t="s">
        <v>74</v>
      </c>
      <c r="AZ350" t="s">
        <v>4005</v>
      </c>
      <c r="BA350" t="s">
        <v>74</v>
      </c>
      <c r="BB350">
        <v>2135</v>
      </c>
      <c r="BC350">
        <v>2137</v>
      </c>
      <c r="BD350" t="s">
        <v>74</v>
      </c>
      <c r="BE350" t="s">
        <v>6892</v>
      </c>
      <c r="BF350" t="str">
        <f>HYPERLINK("http://dx.doi.org/10.1007/s00376-023-3015-8","http://dx.doi.org/10.1007/s00376-023-3015-8")</f>
        <v>http://dx.doi.org/10.1007/s00376-023-3015-8</v>
      </c>
      <c r="BG350" t="s">
        <v>74</v>
      </c>
      <c r="BH350" t="s">
        <v>74</v>
      </c>
      <c r="BI350">
        <v>3</v>
      </c>
      <c r="BJ350" t="s">
        <v>1522</v>
      </c>
      <c r="BK350" t="s">
        <v>100</v>
      </c>
      <c r="BL350" t="s">
        <v>1522</v>
      </c>
      <c r="BM350" t="s">
        <v>6893</v>
      </c>
      <c r="BN350" t="s">
        <v>74</v>
      </c>
      <c r="BO350" t="s">
        <v>1794</v>
      </c>
      <c r="BP350" t="s">
        <v>74</v>
      </c>
      <c r="BQ350" t="s">
        <v>74</v>
      </c>
      <c r="BR350" t="s">
        <v>104</v>
      </c>
      <c r="BS350" t="s">
        <v>6894</v>
      </c>
      <c r="BT350" t="str">
        <f>HYPERLINK("https%3A%2F%2Fwww.webofscience.com%2Fwos%2Fwoscc%2Ffull-record%2FWOS:001085057800001","View Full Record in Web of Science")</f>
        <v>View Full Record in Web of Science</v>
      </c>
    </row>
    <row r="351" spans="1:72" x14ac:dyDescent="0.15">
      <c r="A351" t="s">
        <v>72</v>
      </c>
      <c r="B351" t="s">
        <v>6895</v>
      </c>
      <c r="C351" t="s">
        <v>74</v>
      </c>
      <c r="D351" t="s">
        <v>74</v>
      </c>
      <c r="E351" t="s">
        <v>74</v>
      </c>
      <c r="F351" t="s">
        <v>6896</v>
      </c>
      <c r="G351" t="s">
        <v>74</v>
      </c>
      <c r="H351" t="s">
        <v>74</v>
      </c>
      <c r="I351" t="s">
        <v>6897</v>
      </c>
      <c r="J351" t="s">
        <v>6898</v>
      </c>
      <c r="K351" t="s">
        <v>74</v>
      </c>
      <c r="L351" t="s">
        <v>74</v>
      </c>
      <c r="M351" t="s">
        <v>78</v>
      </c>
      <c r="N351" t="s">
        <v>79</v>
      </c>
      <c r="O351" t="s">
        <v>74</v>
      </c>
      <c r="P351" t="s">
        <v>74</v>
      </c>
      <c r="Q351" t="s">
        <v>74</v>
      </c>
      <c r="R351" t="s">
        <v>74</v>
      </c>
      <c r="S351" t="s">
        <v>74</v>
      </c>
      <c r="T351" t="s">
        <v>6899</v>
      </c>
      <c r="U351" t="s">
        <v>6900</v>
      </c>
      <c r="V351" t="s">
        <v>6901</v>
      </c>
      <c r="W351" t="s">
        <v>6902</v>
      </c>
      <c r="X351" t="s">
        <v>6903</v>
      </c>
      <c r="Y351" t="s">
        <v>6904</v>
      </c>
      <c r="Z351" t="s">
        <v>6905</v>
      </c>
      <c r="AA351" t="s">
        <v>74</v>
      </c>
      <c r="AB351" t="s">
        <v>74</v>
      </c>
      <c r="AC351" t="s">
        <v>6906</v>
      </c>
      <c r="AD351" t="s">
        <v>6907</v>
      </c>
      <c r="AE351" t="s">
        <v>6908</v>
      </c>
      <c r="AF351" t="s">
        <v>74</v>
      </c>
      <c r="AG351">
        <v>50</v>
      </c>
      <c r="AH351">
        <v>0</v>
      </c>
      <c r="AI351">
        <v>0</v>
      </c>
      <c r="AJ351">
        <v>6</v>
      </c>
      <c r="AK351">
        <v>6</v>
      </c>
      <c r="AL351" t="s">
        <v>6909</v>
      </c>
      <c r="AM351" t="s">
        <v>6910</v>
      </c>
      <c r="AN351" t="s">
        <v>6911</v>
      </c>
      <c r="AO351" t="s">
        <v>6912</v>
      </c>
      <c r="AP351" t="s">
        <v>6913</v>
      </c>
      <c r="AQ351" t="s">
        <v>74</v>
      </c>
      <c r="AR351" t="s">
        <v>6914</v>
      </c>
      <c r="AS351" t="s">
        <v>6915</v>
      </c>
      <c r="AT351" t="s">
        <v>1947</v>
      </c>
      <c r="AU351">
        <v>2023</v>
      </c>
      <c r="AV351">
        <v>58</v>
      </c>
      <c r="AW351">
        <v>4</v>
      </c>
      <c r="AX351" t="s">
        <v>74</v>
      </c>
      <c r="AY351" t="s">
        <v>74</v>
      </c>
      <c r="AZ351" t="s">
        <v>74</v>
      </c>
      <c r="BA351" t="s">
        <v>74</v>
      </c>
      <c r="BB351" t="s">
        <v>74</v>
      </c>
      <c r="BC351" t="s">
        <v>74</v>
      </c>
      <c r="BD351">
        <v>25</v>
      </c>
      <c r="BE351" t="s">
        <v>6916</v>
      </c>
      <c r="BF351" t="str">
        <f>HYPERLINK("http://dx.doi.org/10.1007/s12601-023-00117-y","http://dx.doi.org/10.1007/s12601-023-00117-y")</f>
        <v>http://dx.doi.org/10.1007/s12601-023-00117-y</v>
      </c>
      <c r="BG351" t="s">
        <v>74</v>
      </c>
      <c r="BH351" t="s">
        <v>74</v>
      </c>
      <c r="BI351">
        <v>12</v>
      </c>
      <c r="BJ351" t="s">
        <v>1476</v>
      </c>
      <c r="BK351" t="s">
        <v>100</v>
      </c>
      <c r="BL351" t="s">
        <v>1476</v>
      </c>
      <c r="BM351" t="s">
        <v>6917</v>
      </c>
      <c r="BN351" t="s">
        <v>74</v>
      </c>
      <c r="BO351" t="s">
        <v>74</v>
      </c>
      <c r="BP351" t="s">
        <v>74</v>
      </c>
      <c r="BQ351" t="s">
        <v>74</v>
      </c>
      <c r="BR351" t="s">
        <v>104</v>
      </c>
      <c r="BS351" t="s">
        <v>6918</v>
      </c>
      <c r="BT351" t="str">
        <f>HYPERLINK("https%3A%2F%2Fwww.webofscience.com%2Fwos%2Fwoscc%2Ffull-record%2FWOS:001064967400001","View Full Record in Web of Science")</f>
        <v>View Full Record in Web of Science</v>
      </c>
    </row>
    <row r="352" spans="1:72" x14ac:dyDescent="0.15">
      <c r="A352" t="s">
        <v>72</v>
      </c>
      <c r="B352" t="s">
        <v>6919</v>
      </c>
      <c r="C352" t="s">
        <v>74</v>
      </c>
      <c r="D352" t="s">
        <v>74</v>
      </c>
      <c r="E352" t="s">
        <v>74</v>
      </c>
      <c r="F352" t="s">
        <v>6920</v>
      </c>
      <c r="G352" t="s">
        <v>74</v>
      </c>
      <c r="H352" t="s">
        <v>74</v>
      </c>
      <c r="I352" t="s">
        <v>6921</v>
      </c>
      <c r="J352" t="s">
        <v>6922</v>
      </c>
      <c r="K352" t="s">
        <v>74</v>
      </c>
      <c r="L352" t="s">
        <v>74</v>
      </c>
      <c r="M352" t="s">
        <v>78</v>
      </c>
      <c r="N352" t="s">
        <v>462</v>
      </c>
      <c r="O352" t="s">
        <v>74</v>
      </c>
      <c r="P352" t="s">
        <v>74</v>
      </c>
      <c r="Q352" t="s">
        <v>74</v>
      </c>
      <c r="R352" t="s">
        <v>74</v>
      </c>
      <c r="S352" t="s">
        <v>74</v>
      </c>
      <c r="T352" t="s">
        <v>74</v>
      </c>
      <c r="U352" t="s">
        <v>74</v>
      </c>
      <c r="V352" t="s">
        <v>74</v>
      </c>
      <c r="W352" t="s">
        <v>6923</v>
      </c>
      <c r="X352" t="s">
        <v>6924</v>
      </c>
      <c r="Y352" t="s">
        <v>6925</v>
      </c>
      <c r="Z352" t="s">
        <v>6926</v>
      </c>
      <c r="AA352" t="s">
        <v>74</v>
      </c>
      <c r="AB352" t="s">
        <v>6927</v>
      </c>
      <c r="AC352" t="s">
        <v>74</v>
      </c>
      <c r="AD352" t="s">
        <v>74</v>
      </c>
      <c r="AE352" t="s">
        <v>74</v>
      </c>
      <c r="AF352" t="s">
        <v>74</v>
      </c>
      <c r="AG352">
        <v>1</v>
      </c>
      <c r="AH352">
        <v>0</v>
      </c>
      <c r="AI352">
        <v>0</v>
      </c>
      <c r="AJ352">
        <v>2</v>
      </c>
      <c r="AK352">
        <v>6</v>
      </c>
      <c r="AL352" t="s">
        <v>2529</v>
      </c>
      <c r="AM352" t="s">
        <v>2294</v>
      </c>
      <c r="AN352" t="s">
        <v>2530</v>
      </c>
      <c r="AO352" t="s">
        <v>6928</v>
      </c>
      <c r="AP352" t="s">
        <v>6929</v>
      </c>
      <c r="AQ352" t="s">
        <v>74</v>
      </c>
      <c r="AR352" t="s">
        <v>6930</v>
      </c>
      <c r="AS352" t="s">
        <v>6931</v>
      </c>
      <c r="AT352" t="s">
        <v>1947</v>
      </c>
      <c r="AU352">
        <v>2023</v>
      </c>
      <c r="AV352">
        <v>13</v>
      </c>
      <c r="AW352">
        <v>1</v>
      </c>
      <c r="AX352" t="s">
        <v>74</v>
      </c>
      <c r="AY352" t="s">
        <v>74</v>
      </c>
      <c r="AZ352" t="s">
        <v>74</v>
      </c>
      <c r="BA352" t="s">
        <v>74</v>
      </c>
      <c r="BB352" t="s">
        <v>74</v>
      </c>
      <c r="BC352" t="s">
        <v>74</v>
      </c>
      <c r="BD352">
        <v>14</v>
      </c>
      <c r="BE352" t="s">
        <v>6932</v>
      </c>
      <c r="BF352" t="str">
        <f>HYPERLINK("http://dx.doi.org/10.1007/s13659-023-00379-y","http://dx.doi.org/10.1007/s13659-023-00379-y")</f>
        <v>http://dx.doi.org/10.1007/s13659-023-00379-y</v>
      </c>
      <c r="BG352" t="s">
        <v>74</v>
      </c>
      <c r="BH352" t="s">
        <v>74</v>
      </c>
      <c r="BI352">
        <v>1</v>
      </c>
      <c r="BJ352" t="s">
        <v>6933</v>
      </c>
      <c r="BK352" t="s">
        <v>912</v>
      </c>
      <c r="BL352" t="s">
        <v>6934</v>
      </c>
      <c r="BM352" t="s">
        <v>6935</v>
      </c>
      <c r="BN352">
        <v>37149501</v>
      </c>
      <c r="BO352" t="s">
        <v>200</v>
      </c>
      <c r="BP352" t="s">
        <v>74</v>
      </c>
      <c r="BQ352" t="s">
        <v>74</v>
      </c>
      <c r="BR352" t="s">
        <v>104</v>
      </c>
      <c r="BS352" t="s">
        <v>6936</v>
      </c>
      <c r="BT352" t="str">
        <f>HYPERLINK("https%3A%2F%2Fwww.webofscience.com%2Fwos%2Fwoscc%2Ffull-record%2FWOS:000983221100001","View Full Record in Web of Science")</f>
        <v>View Full Record in Web of Science</v>
      </c>
    </row>
    <row r="353" spans="1:72" x14ac:dyDescent="0.15">
      <c r="A353" t="s">
        <v>72</v>
      </c>
      <c r="B353" t="s">
        <v>6919</v>
      </c>
      <c r="C353" t="s">
        <v>74</v>
      </c>
      <c r="D353" t="s">
        <v>74</v>
      </c>
      <c r="E353" t="s">
        <v>74</v>
      </c>
      <c r="F353" t="s">
        <v>6920</v>
      </c>
      <c r="G353" t="s">
        <v>74</v>
      </c>
      <c r="H353" t="s">
        <v>74</v>
      </c>
      <c r="I353" t="s">
        <v>6937</v>
      </c>
      <c r="J353" t="s">
        <v>6922</v>
      </c>
      <c r="K353" t="s">
        <v>74</v>
      </c>
      <c r="L353" t="s">
        <v>74</v>
      </c>
      <c r="M353" t="s">
        <v>78</v>
      </c>
      <c r="N353" t="s">
        <v>79</v>
      </c>
      <c r="O353" t="s">
        <v>74</v>
      </c>
      <c r="P353" t="s">
        <v>74</v>
      </c>
      <c r="Q353" t="s">
        <v>74</v>
      </c>
      <c r="R353" t="s">
        <v>74</v>
      </c>
      <c r="S353" t="s">
        <v>74</v>
      </c>
      <c r="T353" t="s">
        <v>6938</v>
      </c>
      <c r="U353" t="s">
        <v>6939</v>
      </c>
      <c r="V353" t="s">
        <v>6940</v>
      </c>
      <c r="W353" t="s">
        <v>6923</v>
      </c>
      <c r="X353" t="s">
        <v>6924</v>
      </c>
      <c r="Y353" t="s">
        <v>6925</v>
      </c>
      <c r="Z353" t="s">
        <v>6926</v>
      </c>
      <c r="AA353" t="s">
        <v>74</v>
      </c>
      <c r="AB353" t="s">
        <v>6941</v>
      </c>
      <c r="AC353" t="s">
        <v>6942</v>
      </c>
      <c r="AD353" t="s">
        <v>6943</v>
      </c>
      <c r="AE353" t="s">
        <v>6944</v>
      </c>
      <c r="AF353" t="s">
        <v>74</v>
      </c>
      <c r="AG353">
        <v>62</v>
      </c>
      <c r="AH353">
        <v>4</v>
      </c>
      <c r="AI353">
        <v>4</v>
      </c>
      <c r="AJ353">
        <v>5</v>
      </c>
      <c r="AK353">
        <v>20</v>
      </c>
      <c r="AL353" t="s">
        <v>2529</v>
      </c>
      <c r="AM353" t="s">
        <v>2294</v>
      </c>
      <c r="AN353" t="s">
        <v>2530</v>
      </c>
      <c r="AO353" t="s">
        <v>6928</v>
      </c>
      <c r="AP353" t="s">
        <v>6929</v>
      </c>
      <c r="AQ353" t="s">
        <v>74</v>
      </c>
      <c r="AR353" t="s">
        <v>6930</v>
      </c>
      <c r="AS353" t="s">
        <v>6931</v>
      </c>
      <c r="AT353" t="s">
        <v>1947</v>
      </c>
      <c r="AU353">
        <v>2023</v>
      </c>
      <c r="AV353">
        <v>13</v>
      </c>
      <c r="AW353">
        <v>1</v>
      </c>
      <c r="AX353" t="s">
        <v>74</v>
      </c>
      <c r="AY353" t="s">
        <v>74</v>
      </c>
      <c r="AZ353" t="s">
        <v>74</v>
      </c>
      <c r="BA353" t="s">
        <v>74</v>
      </c>
      <c r="BB353" t="s">
        <v>74</v>
      </c>
      <c r="BC353" t="s">
        <v>74</v>
      </c>
      <c r="BD353">
        <v>11</v>
      </c>
      <c r="BE353" t="s">
        <v>6945</v>
      </c>
      <c r="BF353" t="str">
        <f>HYPERLINK("http://dx.doi.org/10.1007/s13659-023-00375-2","http://dx.doi.org/10.1007/s13659-023-00375-2")</f>
        <v>http://dx.doi.org/10.1007/s13659-023-00375-2</v>
      </c>
      <c r="BG353" t="s">
        <v>74</v>
      </c>
      <c r="BH353" t="s">
        <v>74</v>
      </c>
      <c r="BI353">
        <v>12</v>
      </c>
      <c r="BJ353" t="s">
        <v>6933</v>
      </c>
      <c r="BK353" t="s">
        <v>912</v>
      </c>
      <c r="BL353" t="s">
        <v>6934</v>
      </c>
      <c r="BM353" t="s">
        <v>6946</v>
      </c>
      <c r="BN353">
        <v>37016023</v>
      </c>
      <c r="BO353" t="s">
        <v>265</v>
      </c>
      <c r="BP353" t="s">
        <v>74</v>
      </c>
      <c r="BQ353" t="s">
        <v>74</v>
      </c>
      <c r="BR353" t="s">
        <v>104</v>
      </c>
      <c r="BS353" t="s">
        <v>6947</v>
      </c>
      <c r="BT353" t="str">
        <f>HYPERLINK("https%3A%2F%2Fwww.webofscience.com%2Fwos%2Fwoscc%2Ffull-record%2FWOS:000963151500001","View Full Record in Web of Science")</f>
        <v>View Full Record in Web of Science</v>
      </c>
    </row>
    <row r="354" spans="1:72" x14ac:dyDescent="0.15">
      <c r="A354" t="s">
        <v>72</v>
      </c>
      <c r="B354" t="s">
        <v>6948</v>
      </c>
      <c r="C354" t="s">
        <v>74</v>
      </c>
      <c r="D354" t="s">
        <v>74</v>
      </c>
      <c r="E354" t="s">
        <v>74</v>
      </c>
      <c r="F354" t="s">
        <v>6949</v>
      </c>
      <c r="G354" t="s">
        <v>74</v>
      </c>
      <c r="H354" t="s">
        <v>74</v>
      </c>
      <c r="I354" t="s">
        <v>6950</v>
      </c>
      <c r="J354" t="s">
        <v>3045</v>
      </c>
      <c r="K354" t="s">
        <v>74</v>
      </c>
      <c r="L354" t="s">
        <v>74</v>
      </c>
      <c r="M354" t="s">
        <v>78</v>
      </c>
      <c r="N354" t="s">
        <v>79</v>
      </c>
      <c r="O354" t="s">
        <v>74</v>
      </c>
      <c r="P354" t="s">
        <v>74</v>
      </c>
      <c r="Q354" t="s">
        <v>74</v>
      </c>
      <c r="R354" t="s">
        <v>74</v>
      </c>
      <c r="S354" t="s">
        <v>74</v>
      </c>
      <c r="T354" t="s">
        <v>74</v>
      </c>
      <c r="U354" t="s">
        <v>6951</v>
      </c>
      <c r="V354" t="s">
        <v>6952</v>
      </c>
      <c r="W354" t="s">
        <v>6953</v>
      </c>
      <c r="X354" t="s">
        <v>6954</v>
      </c>
      <c r="Y354" t="s">
        <v>6955</v>
      </c>
      <c r="Z354" t="s">
        <v>6956</v>
      </c>
      <c r="AA354" t="s">
        <v>74</v>
      </c>
      <c r="AB354" t="s">
        <v>6957</v>
      </c>
      <c r="AC354" t="s">
        <v>6958</v>
      </c>
      <c r="AD354" t="s">
        <v>6959</v>
      </c>
      <c r="AE354" t="s">
        <v>6960</v>
      </c>
      <c r="AF354" t="s">
        <v>74</v>
      </c>
      <c r="AG354">
        <v>162</v>
      </c>
      <c r="AH354">
        <v>1</v>
      </c>
      <c r="AI354">
        <v>1</v>
      </c>
      <c r="AJ354">
        <v>1</v>
      </c>
      <c r="AK354">
        <v>1</v>
      </c>
      <c r="AL354" t="s">
        <v>3057</v>
      </c>
      <c r="AM354" t="s">
        <v>3058</v>
      </c>
      <c r="AN354" t="s">
        <v>3059</v>
      </c>
      <c r="AO354" t="s">
        <v>3060</v>
      </c>
      <c r="AP354" t="s">
        <v>74</v>
      </c>
      <c r="AQ354" t="s">
        <v>74</v>
      </c>
      <c r="AR354" t="s">
        <v>3061</v>
      </c>
      <c r="AS354" t="s">
        <v>3062</v>
      </c>
      <c r="AT354" t="s">
        <v>6961</v>
      </c>
      <c r="AU354">
        <v>2023</v>
      </c>
      <c r="AV354">
        <v>13</v>
      </c>
      <c r="AW354">
        <v>1</v>
      </c>
      <c r="AX354" t="s">
        <v>74</v>
      </c>
      <c r="AY354" t="s">
        <v>74</v>
      </c>
      <c r="AZ354" t="s">
        <v>74</v>
      </c>
      <c r="BA354" t="s">
        <v>74</v>
      </c>
      <c r="BB354" t="s">
        <v>74</v>
      </c>
      <c r="BC354" t="s">
        <v>74</v>
      </c>
      <c r="BD354">
        <v>21056</v>
      </c>
      <c r="BE354" t="s">
        <v>6962</v>
      </c>
      <c r="BF354" t="str">
        <f>HYPERLINK("http://dx.doi.org/10.1038/s41598-023-47429-6","http://dx.doi.org/10.1038/s41598-023-47429-6")</f>
        <v>http://dx.doi.org/10.1038/s41598-023-47429-6</v>
      </c>
      <c r="BG354" t="s">
        <v>74</v>
      </c>
      <c r="BH354" t="s">
        <v>74</v>
      </c>
      <c r="BI354">
        <v>16</v>
      </c>
      <c r="BJ354" t="s">
        <v>1035</v>
      </c>
      <c r="BK354" t="s">
        <v>100</v>
      </c>
      <c r="BL354" t="s">
        <v>1036</v>
      </c>
      <c r="BM354" t="s">
        <v>6963</v>
      </c>
      <c r="BN354">
        <v>38030690</v>
      </c>
      <c r="BO354" t="s">
        <v>131</v>
      </c>
      <c r="BP354" t="s">
        <v>74</v>
      </c>
      <c r="BQ354" t="s">
        <v>74</v>
      </c>
      <c r="BR354" t="s">
        <v>104</v>
      </c>
      <c r="BS354" t="s">
        <v>6964</v>
      </c>
      <c r="BT354" t="str">
        <f>HYPERLINK("https%3A%2F%2Fwww.webofscience.com%2Fwos%2Fwoscc%2Ffull-record%2FWOS:001124186700015","View Full Record in Web of Science")</f>
        <v>View Full Record in Web of Science</v>
      </c>
    </row>
    <row r="355" spans="1:72" x14ac:dyDescent="0.15">
      <c r="A355" t="s">
        <v>72</v>
      </c>
      <c r="B355" t="s">
        <v>6965</v>
      </c>
      <c r="C355" t="s">
        <v>74</v>
      </c>
      <c r="D355" t="s">
        <v>74</v>
      </c>
      <c r="E355" t="s">
        <v>74</v>
      </c>
      <c r="F355" t="s">
        <v>6966</v>
      </c>
      <c r="G355" t="s">
        <v>74</v>
      </c>
      <c r="H355" t="s">
        <v>74</v>
      </c>
      <c r="I355" t="s">
        <v>6967</v>
      </c>
      <c r="J355" t="s">
        <v>2915</v>
      </c>
      <c r="K355" t="s">
        <v>74</v>
      </c>
      <c r="L355" t="s">
        <v>74</v>
      </c>
      <c r="M355" t="s">
        <v>78</v>
      </c>
      <c r="N355" t="s">
        <v>1547</v>
      </c>
      <c r="O355" t="s">
        <v>74</v>
      </c>
      <c r="P355" t="s">
        <v>74</v>
      </c>
      <c r="Q355" t="s">
        <v>74</v>
      </c>
      <c r="R355" t="s">
        <v>74</v>
      </c>
      <c r="S355" t="s">
        <v>74</v>
      </c>
      <c r="T355" t="s">
        <v>6968</v>
      </c>
      <c r="U355" t="s">
        <v>6969</v>
      </c>
      <c r="V355" t="s">
        <v>6970</v>
      </c>
      <c r="W355" t="s">
        <v>6971</v>
      </c>
      <c r="X355" t="s">
        <v>6972</v>
      </c>
      <c r="Y355" t="s">
        <v>6973</v>
      </c>
      <c r="Z355" t="s">
        <v>6974</v>
      </c>
      <c r="AA355" t="s">
        <v>6975</v>
      </c>
      <c r="AB355" t="s">
        <v>6976</v>
      </c>
      <c r="AC355" t="s">
        <v>6977</v>
      </c>
      <c r="AD355" t="s">
        <v>6978</v>
      </c>
      <c r="AE355" t="s">
        <v>6979</v>
      </c>
      <c r="AF355" t="s">
        <v>74</v>
      </c>
      <c r="AG355">
        <v>96</v>
      </c>
      <c r="AH355">
        <v>0</v>
      </c>
      <c r="AI355">
        <v>0</v>
      </c>
      <c r="AJ355">
        <v>0</v>
      </c>
      <c r="AK355">
        <v>0</v>
      </c>
      <c r="AL355" t="s">
        <v>1782</v>
      </c>
      <c r="AM355" t="s">
        <v>1783</v>
      </c>
      <c r="AN355" t="s">
        <v>1784</v>
      </c>
      <c r="AO355" t="s">
        <v>2928</v>
      </c>
      <c r="AP355" t="s">
        <v>2929</v>
      </c>
      <c r="AQ355" t="s">
        <v>74</v>
      </c>
      <c r="AR355" t="s">
        <v>2930</v>
      </c>
      <c r="AS355" t="s">
        <v>2931</v>
      </c>
      <c r="AT355" t="s">
        <v>6980</v>
      </c>
      <c r="AU355">
        <v>2023</v>
      </c>
      <c r="AV355" t="s">
        <v>74</v>
      </c>
      <c r="AW355" t="s">
        <v>74</v>
      </c>
      <c r="AX355" t="s">
        <v>74</v>
      </c>
      <c r="AY355" t="s">
        <v>74</v>
      </c>
      <c r="AZ355" t="s">
        <v>74</v>
      </c>
      <c r="BA355" t="s">
        <v>74</v>
      </c>
      <c r="BB355" t="s">
        <v>74</v>
      </c>
      <c r="BC355" t="s">
        <v>74</v>
      </c>
      <c r="BD355" t="s">
        <v>74</v>
      </c>
      <c r="BE355" t="s">
        <v>6981</v>
      </c>
      <c r="BF355" t="str">
        <f>HYPERLINK("http://dx.doi.org/10.1017/jog.2023.101","http://dx.doi.org/10.1017/jog.2023.101")</f>
        <v>http://dx.doi.org/10.1017/jog.2023.101</v>
      </c>
      <c r="BG355" t="s">
        <v>74</v>
      </c>
      <c r="BH355" t="s">
        <v>6982</v>
      </c>
      <c r="BI355">
        <v>18</v>
      </c>
      <c r="BJ355" t="s">
        <v>984</v>
      </c>
      <c r="BK355" t="s">
        <v>100</v>
      </c>
      <c r="BL355" t="s">
        <v>985</v>
      </c>
      <c r="BM355" t="s">
        <v>6983</v>
      </c>
      <c r="BN355" t="s">
        <v>74</v>
      </c>
      <c r="BO355" t="s">
        <v>131</v>
      </c>
      <c r="BP355" t="s">
        <v>74</v>
      </c>
      <c r="BQ355" t="s">
        <v>74</v>
      </c>
      <c r="BR355" t="s">
        <v>104</v>
      </c>
      <c r="BS355" t="s">
        <v>6984</v>
      </c>
      <c r="BT355" t="str">
        <f>HYPERLINK("https%3A%2F%2Fwww.webofscience.com%2Fwos%2Fwoscc%2Ffull-record%2FWOS:001163111400001","View Full Record in Web of Science")</f>
        <v>View Full Record in Web of Science</v>
      </c>
    </row>
    <row r="356" spans="1:72" x14ac:dyDescent="0.15">
      <c r="A356" t="s">
        <v>72</v>
      </c>
      <c r="B356" t="s">
        <v>6985</v>
      </c>
      <c r="C356" t="s">
        <v>74</v>
      </c>
      <c r="D356" t="s">
        <v>74</v>
      </c>
      <c r="E356" t="s">
        <v>74</v>
      </c>
      <c r="F356" t="s">
        <v>6986</v>
      </c>
      <c r="G356" t="s">
        <v>74</v>
      </c>
      <c r="H356" t="s">
        <v>74</v>
      </c>
      <c r="I356" t="s">
        <v>6987</v>
      </c>
      <c r="J356" t="s">
        <v>4847</v>
      </c>
      <c r="K356" t="s">
        <v>74</v>
      </c>
      <c r="L356" t="s">
        <v>74</v>
      </c>
      <c r="M356" t="s">
        <v>78</v>
      </c>
      <c r="N356" t="s">
        <v>79</v>
      </c>
      <c r="O356" t="s">
        <v>74</v>
      </c>
      <c r="P356" t="s">
        <v>74</v>
      </c>
      <c r="Q356" t="s">
        <v>74</v>
      </c>
      <c r="R356" t="s">
        <v>74</v>
      </c>
      <c r="S356" t="s">
        <v>74</v>
      </c>
      <c r="T356" t="s">
        <v>74</v>
      </c>
      <c r="U356" t="s">
        <v>6988</v>
      </c>
      <c r="V356" t="s">
        <v>6989</v>
      </c>
      <c r="W356" t="s">
        <v>6990</v>
      </c>
      <c r="X356" t="s">
        <v>6991</v>
      </c>
      <c r="Y356" t="s">
        <v>6992</v>
      </c>
      <c r="Z356" t="s">
        <v>6993</v>
      </c>
      <c r="AA356" t="s">
        <v>6994</v>
      </c>
      <c r="AB356" t="s">
        <v>6995</v>
      </c>
      <c r="AC356" t="s">
        <v>6996</v>
      </c>
      <c r="AD356" t="s">
        <v>6997</v>
      </c>
      <c r="AE356" t="s">
        <v>6998</v>
      </c>
      <c r="AF356" t="s">
        <v>74</v>
      </c>
      <c r="AG356">
        <v>89</v>
      </c>
      <c r="AH356">
        <v>0</v>
      </c>
      <c r="AI356">
        <v>0</v>
      </c>
      <c r="AJ356">
        <v>0</v>
      </c>
      <c r="AK356">
        <v>0</v>
      </c>
      <c r="AL356" t="s">
        <v>1838</v>
      </c>
      <c r="AM356" t="s">
        <v>1839</v>
      </c>
      <c r="AN356" t="s">
        <v>1840</v>
      </c>
      <c r="AO356" t="s">
        <v>4859</v>
      </c>
      <c r="AP356" t="s">
        <v>4860</v>
      </c>
      <c r="AQ356" t="s">
        <v>74</v>
      </c>
      <c r="AR356" t="s">
        <v>4861</v>
      </c>
      <c r="AS356" t="s">
        <v>4862</v>
      </c>
      <c r="AT356" t="s">
        <v>6961</v>
      </c>
      <c r="AU356">
        <v>2023</v>
      </c>
      <c r="AV356">
        <v>19</v>
      </c>
      <c r="AW356">
        <v>6</v>
      </c>
      <c r="AX356" t="s">
        <v>74</v>
      </c>
      <c r="AY356" t="s">
        <v>74</v>
      </c>
      <c r="AZ356" t="s">
        <v>74</v>
      </c>
      <c r="BA356" t="s">
        <v>74</v>
      </c>
      <c r="BB356">
        <v>1669</v>
      </c>
      <c r="BC356">
        <v>1686</v>
      </c>
      <c r="BD356" t="s">
        <v>74</v>
      </c>
      <c r="BE356" t="s">
        <v>6999</v>
      </c>
      <c r="BF356" t="str">
        <f>HYPERLINK("http://dx.doi.org/10.5194/os-19-1669-2023","http://dx.doi.org/10.5194/os-19-1669-2023")</f>
        <v>http://dx.doi.org/10.5194/os-19-1669-2023</v>
      </c>
      <c r="BG356" t="s">
        <v>74</v>
      </c>
      <c r="BH356" t="s">
        <v>74</v>
      </c>
      <c r="BI356">
        <v>18</v>
      </c>
      <c r="BJ356" t="s">
        <v>1417</v>
      </c>
      <c r="BK356" t="s">
        <v>100</v>
      </c>
      <c r="BL356" t="s">
        <v>1417</v>
      </c>
      <c r="BM356" t="s">
        <v>7000</v>
      </c>
      <c r="BN356" t="s">
        <v>74</v>
      </c>
      <c r="BO356" t="s">
        <v>4781</v>
      </c>
      <c r="BP356" t="s">
        <v>74</v>
      </c>
      <c r="BQ356" t="s">
        <v>74</v>
      </c>
      <c r="BR356" t="s">
        <v>104</v>
      </c>
      <c r="BS356" t="s">
        <v>7001</v>
      </c>
      <c r="BT356" t="str">
        <f>HYPERLINK("https%3A%2F%2Fwww.webofscience.com%2Fwos%2Fwoscc%2Ffull-record%2FWOS:001168845600001","View Full Record in Web of Science")</f>
        <v>View Full Record in Web of Science</v>
      </c>
    </row>
    <row r="357" spans="1:72" x14ac:dyDescent="0.15">
      <c r="A357" t="s">
        <v>72</v>
      </c>
      <c r="B357" t="s">
        <v>7002</v>
      </c>
      <c r="C357" t="s">
        <v>74</v>
      </c>
      <c r="D357" t="s">
        <v>74</v>
      </c>
      <c r="E357" t="s">
        <v>74</v>
      </c>
      <c r="F357" t="s">
        <v>7003</v>
      </c>
      <c r="G357" t="s">
        <v>74</v>
      </c>
      <c r="H357" t="s">
        <v>74</v>
      </c>
      <c r="I357" t="s">
        <v>7004</v>
      </c>
      <c r="J357" t="s">
        <v>3384</v>
      </c>
      <c r="K357" t="s">
        <v>74</v>
      </c>
      <c r="L357" t="s">
        <v>74</v>
      </c>
      <c r="M357" t="s">
        <v>78</v>
      </c>
      <c r="N357" t="s">
        <v>79</v>
      </c>
      <c r="O357" t="s">
        <v>74</v>
      </c>
      <c r="P357" t="s">
        <v>74</v>
      </c>
      <c r="Q357" t="s">
        <v>74</v>
      </c>
      <c r="R357" t="s">
        <v>74</v>
      </c>
      <c r="S357" t="s">
        <v>74</v>
      </c>
      <c r="T357" t="s">
        <v>74</v>
      </c>
      <c r="U357" t="s">
        <v>7005</v>
      </c>
      <c r="V357" t="s">
        <v>7006</v>
      </c>
      <c r="W357" t="s">
        <v>7007</v>
      </c>
      <c r="X357" t="s">
        <v>7008</v>
      </c>
      <c r="Y357" t="s">
        <v>7009</v>
      </c>
      <c r="Z357" t="s">
        <v>7010</v>
      </c>
      <c r="AA357" t="s">
        <v>74</v>
      </c>
      <c r="AB357" t="s">
        <v>7011</v>
      </c>
      <c r="AC357" t="s">
        <v>7012</v>
      </c>
      <c r="AD357" t="s">
        <v>7013</v>
      </c>
      <c r="AE357" t="s">
        <v>7014</v>
      </c>
      <c r="AF357" t="s">
        <v>74</v>
      </c>
      <c r="AG357">
        <v>56</v>
      </c>
      <c r="AH357">
        <v>5</v>
      </c>
      <c r="AI357">
        <v>5</v>
      </c>
      <c r="AJ357">
        <v>67</v>
      </c>
      <c r="AK357">
        <v>67</v>
      </c>
      <c r="AL357" t="s">
        <v>3057</v>
      </c>
      <c r="AM357" t="s">
        <v>3058</v>
      </c>
      <c r="AN357" t="s">
        <v>3059</v>
      </c>
      <c r="AO357" t="s">
        <v>74</v>
      </c>
      <c r="AP357" t="s">
        <v>3396</v>
      </c>
      <c r="AQ357" t="s">
        <v>74</v>
      </c>
      <c r="AR357" t="s">
        <v>3397</v>
      </c>
      <c r="AS357" t="s">
        <v>3398</v>
      </c>
      <c r="AT357" t="s">
        <v>6961</v>
      </c>
      <c r="AU357">
        <v>2023</v>
      </c>
      <c r="AV357">
        <v>14</v>
      </c>
      <c r="AW357">
        <v>1</v>
      </c>
      <c r="AX357" t="s">
        <v>74</v>
      </c>
      <c r="AY357" t="s">
        <v>74</v>
      </c>
      <c r="AZ357" t="s">
        <v>74</v>
      </c>
      <c r="BA357" t="s">
        <v>74</v>
      </c>
      <c r="BB357" t="s">
        <v>74</v>
      </c>
      <c r="BC357" t="s">
        <v>74</v>
      </c>
      <c r="BD357">
        <v>7898</v>
      </c>
      <c r="BE357" t="s">
        <v>7015</v>
      </c>
      <c r="BF357" t="str">
        <f>HYPERLINK("http://dx.doi.org/10.1038/s41467-023-43695-0","http://dx.doi.org/10.1038/s41467-023-43695-0")</f>
        <v>http://dx.doi.org/10.1038/s41467-023-43695-0</v>
      </c>
      <c r="BG357" t="s">
        <v>74</v>
      </c>
      <c r="BH357" t="s">
        <v>74</v>
      </c>
      <c r="BI357">
        <v>10</v>
      </c>
      <c r="BJ357" t="s">
        <v>1035</v>
      </c>
      <c r="BK357" t="s">
        <v>100</v>
      </c>
      <c r="BL357" t="s">
        <v>1036</v>
      </c>
      <c r="BM357" t="s">
        <v>7016</v>
      </c>
      <c r="BN357">
        <v>38036501</v>
      </c>
      <c r="BO357" t="s">
        <v>131</v>
      </c>
      <c r="BP357" t="s">
        <v>74</v>
      </c>
      <c r="BQ357" t="s">
        <v>74</v>
      </c>
      <c r="BR357" t="s">
        <v>104</v>
      </c>
      <c r="BS357" t="s">
        <v>7017</v>
      </c>
      <c r="BT357" t="str">
        <f>HYPERLINK("https%3A%2F%2Fwww.webofscience.com%2Fwos%2Fwoscc%2Ffull-record%2FWOS:001112447600023","View Full Record in Web of Science")</f>
        <v>View Full Record in Web of Science</v>
      </c>
    </row>
    <row r="358" spans="1:72" x14ac:dyDescent="0.15">
      <c r="A358" t="s">
        <v>72</v>
      </c>
      <c r="B358" t="s">
        <v>7018</v>
      </c>
      <c r="C358" t="s">
        <v>74</v>
      </c>
      <c r="D358" t="s">
        <v>74</v>
      </c>
      <c r="E358" t="s">
        <v>74</v>
      </c>
      <c r="F358" t="s">
        <v>7019</v>
      </c>
      <c r="G358" t="s">
        <v>74</v>
      </c>
      <c r="H358" t="s">
        <v>74</v>
      </c>
      <c r="I358" t="s">
        <v>7020</v>
      </c>
      <c r="J358" t="s">
        <v>1116</v>
      </c>
      <c r="K358" t="s">
        <v>74</v>
      </c>
      <c r="L358" t="s">
        <v>74</v>
      </c>
      <c r="M358" t="s">
        <v>78</v>
      </c>
      <c r="N358" t="s">
        <v>79</v>
      </c>
      <c r="O358" t="s">
        <v>74</v>
      </c>
      <c r="P358" t="s">
        <v>74</v>
      </c>
      <c r="Q358" t="s">
        <v>74</v>
      </c>
      <c r="R358" t="s">
        <v>74</v>
      </c>
      <c r="S358" t="s">
        <v>74</v>
      </c>
      <c r="T358" t="s">
        <v>7021</v>
      </c>
      <c r="U358" t="s">
        <v>7022</v>
      </c>
      <c r="V358" t="s">
        <v>7023</v>
      </c>
      <c r="W358" t="s">
        <v>7024</v>
      </c>
      <c r="X358" t="s">
        <v>7025</v>
      </c>
      <c r="Y358" t="s">
        <v>7026</v>
      </c>
      <c r="Z358" t="s">
        <v>7027</v>
      </c>
      <c r="AA358" t="s">
        <v>7028</v>
      </c>
      <c r="AB358" t="s">
        <v>74</v>
      </c>
      <c r="AC358" t="s">
        <v>7029</v>
      </c>
      <c r="AD358" t="s">
        <v>7030</v>
      </c>
      <c r="AE358" t="s">
        <v>7031</v>
      </c>
      <c r="AF358" t="s">
        <v>74</v>
      </c>
      <c r="AG358">
        <v>26</v>
      </c>
      <c r="AH358">
        <v>0</v>
      </c>
      <c r="AI358">
        <v>0</v>
      </c>
      <c r="AJ358">
        <v>12</v>
      </c>
      <c r="AK358">
        <v>12</v>
      </c>
      <c r="AL358" t="s">
        <v>975</v>
      </c>
      <c r="AM358" t="s">
        <v>976</v>
      </c>
      <c r="AN358" t="s">
        <v>977</v>
      </c>
      <c r="AO358" t="s">
        <v>1129</v>
      </c>
      <c r="AP358" t="s">
        <v>1130</v>
      </c>
      <c r="AQ358" t="s">
        <v>74</v>
      </c>
      <c r="AR358" t="s">
        <v>1131</v>
      </c>
      <c r="AS358" t="s">
        <v>1132</v>
      </c>
      <c r="AT358" t="s">
        <v>954</v>
      </c>
      <c r="AU358">
        <v>2024</v>
      </c>
      <c r="AV358">
        <v>198</v>
      </c>
      <c r="AW358" t="s">
        <v>74</v>
      </c>
      <c r="AX358" t="s">
        <v>74</v>
      </c>
      <c r="AY358" t="s">
        <v>74</v>
      </c>
      <c r="AZ358" t="s">
        <v>74</v>
      </c>
      <c r="BA358" t="s">
        <v>74</v>
      </c>
      <c r="BB358" t="s">
        <v>74</v>
      </c>
      <c r="BC358" t="s">
        <v>74</v>
      </c>
      <c r="BD358">
        <v>115845</v>
      </c>
      <c r="BE358" t="s">
        <v>7032</v>
      </c>
      <c r="BF358" t="str">
        <f>HYPERLINK("http://dx.doi.org/10.1016/j.marpolbul.2023.115845","http://dx.doi.org/10.1016/j.marpolbul.2023.115845")</f>
        <v>http://dx.doi.org/10.1016/j.marpolbul.2023.115845</v>
      </c>
      <c r="BG358" t="s">
        <v>74</v>
      </c>
      <c r="BH358" t="s">
        <v>6982</v>
      </c>
      <c r="BI358">
        <v>4</v>
      </c>
      <c r="BJ358" t="s">
        <v>1135</v>
      </c>
      <c r="BK358" t="s">
        <v>100</v>
      </c>
      <c r="BL358" t="s">
        <v>1136</v>
      </c>
      <c r="BM358" t="s">
        <v>7033</v>
      </c>
      <c r="BN358">
        <v>38039570</v>
      </c>
      <c r="BO358" t="s">
        <v>1794</v>
      </c>
      <c r="BP358" t="s">
        <v>74</v>
      </c>
      <c r="BQ358" t="s">
        <v>74</v>
      </c>
      <c r="BR358" t="s">
        <v>104</v>
      </c>
      <c r="BS358" t="s">
        <v>7034</v>
      </c>
      <c r="BT358" t="str">
        <f>HYPERLINK("https%3A%2F%2Fwww.webofscience.com%2Fwos%2Fwoscc%2Ffull-record%2FWOS:001128326600001","View Full Record in Web of Science")</f>
        <v>View Full Record in Web of Science</v>
      </c>
    </row>
    <row r="359" spans="1:72" x14ac:dyDescent="0.15">
      <c r="A359" t="s">
        <v>72</v>
      </c>
      <c r="B359" t="s">
        <v>7035</v>
      </c>
      <c r="C359" t="s">
        <v>74</v>
      </c>
      <c r="D359" t="s">
        <v>74</v>
      </c>
      <c r="E359" t="s">
        <v>74</v>
      </c>
      <c r="F359" t="s">
        <v>7036</v>
      </c>
      <c r="G359" t="s">
        <v>74</v>
      </c>
      <c r="H359" t="s">
        <v>74</v>
      </c>
      <c r="I359" t="s">
        <v>7037</v>
      </c>
      <c r="J359" t="s">
        <v>991</v>
      </c>
      <c r="K359" t="s">
        <v>74</v>
      </c>
      <c r="L359" t="s">
        <v>74</v>
      </c>
      <c r="M359" t="s">
        <v>78</v>
      </c>
      <c r="N359" t="s">
        <v>79</v>
      </c>
      <c r="O359" t="s">
        <v>74</v>
      </c>
      <c r="P359" t="s">
        <v>74</v>
      </c>
      <c r="Q359" t="s">
        <v>74</v>
      </c>
      <c r="R359" t="s">
        <v>74</v>
      </c>
      <c r="S359" t="s">
        <v>74</v>
      </c>
      <c r="T359" t="s">
        <v>7038</v>
      </c>
      <c r="U359" t="s">
        <v>7039</v>
      </c>
      <c r="V359" t="s">
        <v>7040</v>
      </c>
      <c r="W359" t="s">
        <v>7041</v>
      </c>
      <c r="X359" t="s">
        <v>7042</v>
      </c>
      <c r="Y359" t="s">
        <v>7043</v>
      </c>
      <c r="Z359" t="s">
        <v>7044</v>
      </c>
      <c r="AA359" t="s">
        <v>7045</v>
      </c>
      <c r="AB359" t="s">
        <v>74</v>
      </c>
      <c r="AC359" t="s">
        <v>7046</v>
      </c>
      <c r="AD359" t="s">
        <v>7047</v>
      </c>
      <c r="AE359" t="s">
        <v>7048</v>
      </c>
      <c r="AF359" t="s">
        <v>74</v>
      </c>
      <c r="AG359">
        <v>66</v>
      </c>
      <c r="AH359">
        <v>0</v>
      </c>
      <c r="AI359">
        <v>0</v>
      </c>
      <c r="AJ359">
        <v>15</v>
      </c>
      <c r="AK359">
        <v>15</v>
      </c>
      <c r="AL359" t="s">
        <v>947</v>
      </c>
      <c r="AM359" t="s">
        <v>948</v>
      </c>
      <c r="AN359" t="s">
        <v>949</v>
      </c>
      <c r="AO359" t="s">
        <v>1004</v>
      </c>
      <c r="AP359" t="s">
        <v>1005</v>
      </c>
      <c r="AQ359" t="s">
        <v>74</v>
      </c>
      <c r="AR359" t="s">
        <v>1006</v>
      </c>
      <c r="AS359" t="s">
        <v>1007</v>
      </c>
      <c r="AT359" t="s">
        <v>1008</v>
      </c>
      <c r="AU359">
        <v>2024</v>
      </c>
      <c r="AV359">
        <v>912</v>
      </c>
      <c r="AW359" t="s">
        <v>74</v>
      </c>
      <c r="AX359" t="s">
        <v>74</v>
      </c>
      <c r="AY359" t="s">
        <v>74</v>
      </c>
      <c r="AZ359" t="s">
        <v>74</v>
      </c>
      <c r="BA359" t="s">
        <v>74</v>
      </c>
      <c r="BB359" t="s">
        <v>74</v>
      </c>
      <c r="BC359" t="s">
        <v>74</v>
      </c>
      <c r="BD359">
        <v>168699</v>
      </c>
      <c r="BE359" t="s">
        <v>7049</v>
      </c>
      <c r="BF359" t="str">
        <f>HYPERLINK("http://dx.doi.org/10.1016/j.scitotenv.2023.168699","http://dx.doi.org/10.1016/j.scitotenv.2023.168699")</f>
        <v>http://dx.doi.org/10.1016/j.scitotenv.2023.168699</v>
      </c>
      <c r="BG359" t="s">
        <v>74</v>
      </c>
      <c r="BH359" t="s">
        <v>6982</v>
      </c>
      <c r="BI359">
        <v>11</v>
      </c>
      <c r="BJ359" t="s">
        <v>1010</v>
      </c>
      <c r="BK359" t="s">
        <v>100</v>
      </c>
      <c r="BL359" t="s">
        <v>1011</v>
      </c>
      <c r="BM359" t="s">
        <v>7050</v>
      </c>
      <c r="BN359">
        <v>38008324</v>
      </c>
      <c r="BO359" t="s">
        <v>74</v>
      </c>
      <c r="BP359" t="s">
        <v>74</v>
      </c>
      <c r="BQ359" t="s">
        <v>74</v>
      </c>
      <c r="BR359" t="s">
        <v>104</v>
      </c>
      <c r="BS359" t="s">
        <v>7051</v>
      </c>
      <c r="BT359" t="str">
        <f>HYPERLINK("https%3A%2F%2Fwww.webofscience.com%2Fwos%2Fwoscc%2Ffull-record%2FWOS:001128025300001","View Full Record in Web of Science")</f>
        <v>View Full Record in Web of Science</v>
      </c>
    </row>
    <row r="360" spans="1:72" x14ac:dyDescent="0.15">
      <c r="A360" t="s">
        <v>72</v>
      </c>
      <c r="B360" t="s">
        <v>7052</v>
      </c>
      <c r="C360" t="s">
        <v>74</v>
      </c>
      <c r="D360" t="s">
        <v>74</v>
      </c>
      <c r="E360" t="s">
        <v>74</v>
      </c>
      <c r="F360" t="s">
        <v>7053</v>
      </c>
      <c r="G360" t="s">
        <v>74</v>
      </c>
      <c r="H360" t="s">
        <v>74</v>
      </c>
      <c r="I360" t="s">
        <v>7054</v>
      </c>
      <c r="J360" t="s">
        <v>7055</v>
      </c>
      <c r="K360" t="s">
        <v>74</v>
      </c>
      <c r="L360" t="s">
        <v>74</v>
      </c>
      <c r="M360" t="s">
        <v>78</v>
      </c>
      <c r="N360" t="s">
        <v>79</v>
      </c>
      <c r="O360" t="s">
        <v>74</v>
      </c>
      <c r="P360" t="s">
        <v>74</v>
      </c>
      <c r="Q360" t="s">
        <v>74</v>
      </c>
      <c r="R360" t="s">
        <v>74</v>
      </c>
      <c r="S360" t="s">
        <v>74</v>
      </c>
      <c r="T360" t="s">
        <v>7056</v>
      </c>
      <c r="U360" t="s">
        <v>7057</v>
      </c>
      <c r="V360" t="s">
        <v>7058</v>
      </c>
      <c r="W360" t="s">
        <v>7059</v>
      </c>
      <c r="X360" t="s">
        <v>7060</v>
      </c>
      <c r="Y360" t="s">
        <v>7061</v>
      </c>
      <c r="Z360" t="s">
        <v>7062</v>
      </c>
      <c r="AA360" t="s">
        <v>74</v>
      </c>
      <c r="AB360" t="s">
        <v>7063</v>
      </c>
      <c r="AC360" t="s">
        <v>7064</v>
      </c>
      <c r="AD360" t="s">
        <v>7064</v>
      </c>
      <c r="AE360" t="s">
        <v>7065</v>
      </c>
      <c r="AF360" t="s">
        <v>74</v>
      </c>
      <c r="AG360">
        <v>41</v>
      </c>
      <c r="AH360">
        <v>0</v>
      </c>
      <c r="AI360">
        <v>0</v>
      </c>
      <c r="AJ360">
        <v>0</v>
      </c>
      <c r="AK360">
        <v>0</v>
      </c>
      <c r="AL360" t="s">
        <v>7066</v>
      </c>
      <c r="AM360" t="s">
        <v>3058</v>
      </c>
      <c r="AN360" t="s">
        <v>7067</v>
      </c>
      <c r="AO360" t="s">
        <v>7068</v>
      </c>
      <c r="AP360" t="s">
        <v>7069</v>
      </c>
      <c r="AQ360" t="s">
        <v>74</v>
      </c>
      <c r="AR360" t="s">
        <v>7070</v>
      </c>
      <c r="AS360" t="s">
        <v>7071</v>
      </c>
      <c r="AT360" t="s">
        <v>7072</v>
      </c>
      <c r="AU360">
        <v>2024</v>
      </c>
      <c r="AV360">
        <v>67</v>
      </c>
      <c r="AW360">
        <v>1</v>
      </c>
      <c r="AX360" t="s">
        <v>74</v>
      </c>
      <c r="AY360" t="s">
        <v>74</v>
      </c>
      <c r="AZ360" t="s">
        <v>74</v>
      </c>
      <c r="BA360" t="s">
        <v>74</v>
      </c>
      <c r="BB360">
        <v>1</v>
      </c>
      <c r="BC360">
        <v>10</v>
      </c>
      <c r="BD360" t="s">
        <v>74</v>
      </c>
      <c r="BE360" t="s">
        <v>7073</v>
      </c>
      <c r="BF360" t="str">
        <f>HYPERLINK("http://dx.doi.org/10.1515/bot-2023-0085","http://dx.doi.org/10.1515/bot-2023-0085")</f>
        <v>http://dx.doi.org/10.1515/bot-2023-0085</v>
      </c>
      <c r="BG360" t="s">
        <v>74</v>
      </c>
      <c r="BH360" t="s">
        <v>6982</v>
      </c>
      <c r="BI360">
        <v>10</v>
      </c>
      <c r="BJ360" t="s">
        <v>1058</v>
      </c>
      <c r="BK360" t="s">
        <v>100</v>
      </c>
      <c r="BL360" t="s">
        <v>1058</v>
      </c>
      <c r="BM360" t="s">
        <v>7074</v>
      </c>
      <c r="BN360" t="s">
        <v>74</v>
      </c>
      <c r="BO360" t="s">
        <v>74</v>
      </c>
      <c r="BP360" t="s">
        <v>74</v>
      </c>
      <c r="BQ360" t="s">
        <v>74</v>
      </c>
      <c r="BR360" t="s">
        <v>104</v>
      </c>
      <c r="BS360" t="s">
        <v>7075</v>
      </c>
      <c r="BT360" t="str">
        <f>HYPERLINK("https%3A%2F%2Fwww.webofscience.com%2Fwos%2Fwoscc%2Ffull-record%2FWOS:001112104300001","View Full Record in Web of Science")</f>
        <v>View Full Record in Web of Science</v>
      </c>
    </row>
    <row r="361" spans="1:72" x14ac:dyDescent="0.15">
      <c r="A361" t="s">
        <v>72</v>
      </c>
      <c r="B361" t="s">
        <v>7076</v>
      </c>
      <c r="C361" t="s">
        <v>74</v>
      </c>
      <c r="D361" t="s">
        <v>74</v>
      </c>
      <c r="E361" t="s">
        <v>74</v>
      </c>
      <c r="F361" t="s">
        <v>7077</v>
      </c>
      <c r="G361" t="s">
        <v>74</v>
      </c>
      <c r="H361" t="s">
        <v>74</v>
      </c>
      <c r="I361" t="s">
        <v>7078</v>
      </c>
      <c r="J361" t="s">
        <v>7079</v>
      </c>
      <c r="K361" t="s">
        <v>74</v>
      </c>
      <c r="L361" t="s">
        <v>74</v>
      </c>
      <c r="M361" t="s">
        <v>78</v>
      </c>
      <c r="N361" t="s">
        <v>79</v>
      </c>
      <c r="O361" t="s">
        <v>74</v>
      </c>
      <c r="P361" t="s">
        <v>74</v>
      </c>
      <c r="Q361" t="s">
        <v>74</v>
      </c>
      <c r="R361" t="s">
        <v>74</v>
      </c>
      <c r="S361" t="s">
        <v>74</v>
      </c>
      <c r="T361" t="s">
        <v>74</v>
      </c>
      <c r="U361" t="s">
        <v>7080</v>
      </c>
      <c r="V361" t="s">
        <v>7081</v>
      </c>
      <c r="W361" t="s">
        <v>7082</v>
      </c>
      <c r="X361" t="s">
        <v>7083</v>
      </c>
      <c r="Y361" t="s">
        <v>7084</v>
      </c>
      <c r="Z361" t="s">
        <v>7085</v>
      </c>
      <c r="AA361" t="s">
        <v>7086</v>
      </c>
      <c r="AB361" t="s">
        <v>7087</v>
      </c>
      <c r="AC361" t="s">
        <v>7088</v>
      </c>
      <c r="AD361" t="s">
        <v>7089</v>
      </c>
      <c r="AE361" t="s">
        <v>7090</v>
      </c>
      <c r="AF361" t="s">
        <v>74</v>
      </c>
      <c r="AG361">
        <v>61</v>
      </c>
      <c r="AH361">
        <v>0</v>
      </c>
      <c r="AI361">
        <v>0</v>
      </c>
      <c r="AJ361">
        <v>7</v>
      </c>
      <c r="AK361">
        <v>7</v>
      </c>
      <c r="AL361" t="s">
        <v>3057</v>
      </c>
      <c r="AM361" t="s">
        <v>3058</v>
      </c>
      <c r="AN361" t="s">
        <v>3059</v>
      </c>
      <c r="AO361" t="s">
        <v>7091</v>
      </c>
      <c r="AP361" t="s">
        <v>74</v>
      </c>
      <c r="AQ361" t="s">
        <v>74</v>
      </c>
      <c r="AR361" t="s">
        <v>7092</v>
      </c>
      <c r="AS361" t="s">
        <v>7093</v>
      </c>
      <c r="AT361" t="s">
        <v>954</v>
      </c>
      <c r="AU361">
        <v>2024</v>
      </c>
      <c r="AV361">
        <v>7</v>
      </c>
      <c r="AW361">
        <v>1</v>
      </c>
      <c r="AX361" t="s">
        <v>74</v>
      </c>
      <c r="AY361" t="s">
        <v>74</v>
      </c>
      <c r="AZ361" t="s">
        <v>74</v>
      </c>
      <c r="BA361" t="s">
        <v>74</v>
      </c>
      <c r="BB361" t="s">
        <v>74</v>
      </c>
      <c r="BC361" t="s">
        <v>74</v>
      </c>
      <c r="BD361" t="s">
        <v>74</v>
      </c>
      <c r="BE361" t="s">
        <v>7094</v>
      </c>
      <c r="BF361" t="str">
        <f>HYPERLINK("http://dx.doi.org/10.1038/s41893-023-01249-8","http://dx.doi.org/10.1038/s41893-023-01249-8")</f>
        <v>http://dx.doi.org/10.1038/s41893-023-01249-8</v>
      </c>
      <c r="BG361" t="s">
        <v>74</v>
      </c>
      <c r="BH361" t="s">
        <v>6982</v>
      </c>
      <c r="BI361">
        <v>10</v>
      </c>
      <c r="BJ361" t="s">
        <v>7095</v>
      </c>
      <c r="BK361" t="s">
        <v>456</v>
      </c>
      <c r="BL361" t="s">
        <v>7096</v>
      </c>
      <c r="BM361" t="s">
        <v>7097</v>
      </c>
      <c r="BN361" t="s">
        <v>74</v>
      </c>
      <c r="BO361" t="s">
        <v>74</v>
      </c>
      <c r="BP361" t="s">
        <v>74</v>
      </c>
      <c r="BQ361" t="s">
        <v>74</v>
      </c>
      <c r="BR361" t="s">
        <v>104</v>
      </c>
      <c r="BS361" t="s">
        <v>7098</v>
      </c>
      <c r="BT361" t="str">
        <f>HYPERLINK("https%3A%2F%2Fwww.webofscience.com%2Fwos%2Fwoscc%2Ffull-record%2FWOS:001111462800001","View Full Record in Web of Science")</f>
        <v>View Full Record in Web of Science</v>
      </c>
    </row>
    <row r="362" spans="1:72" x14ac:dyDescent="0.15">
      <c r="A362" t="s">
        <v>72</v>
      </c>
      <c r="B362" t="s">
        <v>7099</v>
      </c>
      <c r="C362" t="s">
        <v>74</v>
      </c>
      <c r="D362" t="s">
        <v>74</v>
      </c>
      <c r="E362" t="s">
        <v>74</v>
      </c>
      <c r="F362" t="s">
        <v>7100</v>
      </c>
      <c r="G362" t="s">
        <v>74</v>
      </c>
      <c r="H362" t="s">
        <v>74</v>
      </c>
      <c r="I362" t="s">
        <v>7101</v>
      </c>
      <c r="J362" t="s">
        <v>7102</v>
      </c>
      <c r="K362" t="s">
        <v>74</v>
      </c>
      <c r="L362" t="s">
        <v>74</v>
      </c>
      <c r="M362" t="s">
        <v>78</v>
      </c>
      <c r="N362" t="s">
        <v>79</v>
      </c>
      <c r="O362" t="s">
        <v>74</v>
      </c>
      <c r="P362" t="s">
        <v>74</v>
      </c>
      <c r="Q362" t="s">
        <v>74</v>
      </c>
      <c r="R362" t="s">
        <v>74</v>
      </c>
      <c r="S362" t="s">
        <v>74</v>
      </c>
      <c r="T362" t="s">
        <v>7103</v>
      </c>
      <c r="U362" t="s">
        <v>74</v>
      </c>
      <c r="V362" t="s">
        <v>7104</v>
      </c>
      <c r="W362" t="s">
        <v>7105</v>
      </c>
      <c r="X362" t="s">
        <v>7106</v>
      </c>
      <c r="Y362" t="s">
        <v>7107</v>
      </c>
      <c r="Z362" t="s">
        <v>7108</v>
      </c>
      <c r="AA362" t="s">
        <v>7109</v>
      </c>
      <c r="AB362" t="s">
        <v>7110</v>
      </c>
      <c r="AC362" t="s">
        <v>7111</v>
      </c>
      <c r="AD362" t="s">
        <v>7111</v>
      </c>
      <c r="AE362" t="s">
        <v>7112</v>
      </c>
      <c r="AF362" t="s">
        <v>74</v>
      </c>
      <c r="AG362">
        <v>86</v>
      </c>
      <c r="AH362">
        <v>1</v>
      </c>
      <c r="AI362">
        <v>1</v>
      </c>
      <c r="AJ362">
        <v>2</v>
      </c>
      <c r="AK362">
        <v>2</v>
      </c>
      <c r="AL362" t="s">
        <v>1101</v>
      </c>
      <c r="AM362" t="s">
        <v>1102</v>
      </c>
      <c r="AN362" t="s">
        <v>1103</v>
      </c>
      <c r="AO362" t="s">
        <v>7113</v>
      </c>
      <c r="AP362" t="s">
        <v>7114</v>
      </c>
      <c r="AQ362" t="s">
        <v>74</v>
      </c>
      <c r="AR362" t="s">
        <v>7115</v>
      </c>
      <c r="AS362" t="s">
        <v>7116</v>
      </c>
      <c r="AT362" t="s">
        <v>1133</v>
      </c>
      <c r="AU362">
        <v>2024</v>
      </c>
      <c r="AV362">
        <v>30</v>
      </c>
      <c r="AW362">
        <v>2</v>
      </c>
      <c r="AX362" t="s">
        <v>74</v>
      </c>
      <c r="AY362" t="s">
        <v>74</v>
      </c>
      <c r="AZ362" t="s">
        <v>74</v>
      </c>
      <c r="BA362" t="s">
        <v>74</v>
      </c>
      <c r="BB362" t="s">
        <v>74</v>
      </c>
      <c r="BC362" t="s">
        <v>74</v>
      </c>
      <c r="BD362" t="s">
        <v>74</v>
      </c>
      <c r="BE362" t="s">
        <v>7117</v>
      </c>
      <c r="BF362" t="str">
        <f>HYPERLINK("http://dx.doi.org/10.1111/ddi.13794","http://dx.doi.org/10.1111/ddi.13794")</f>
        <v>http://dx.doi.org/10.1111/ddi.13794</v>
      </c>
      <c r="BG362" t="s">
        <v>74</v>
      </c>
      <c r="BH362" t="s">
        <v>6982</v>
      </c>
      <c r="BI362">
        <v>16</v>
      </c>
      <c r="BJ362" t="s">
        <v>1261</v>
      </c>
      <c r="BK362" t="s">
        <v>100</v>
      </c>
      <c r="BL362" t="s">
        <v>913</v>
      </c>
      <c r="BM362" t="s">
        <v>7118</v>
      </c>
      <c r="BN362" t="s">
        <v>74</v>
      </c>
      <c r="BO362" t="s">
        <v>131</v>
      </c>
      <c r="BP362" t="s">
        <v>74</v>
      </c>
      <c r="BQ362" t="s">
        <v>74</v>
      </c>
      <c r="BR362" t="s">
        <v>104</v>
      </c>
      <c r="BS362" t="s">
        <v>7119</v>
      </c>
      <c r="BT362" t="str">
        <f>HYPERLINK("https%3A%2F%2Fwww.webofscience.com%2Fwos%2Fwoscc%2Ffull-record%2FWOS:001110229900001","View Full Record in Web of Science")</f>
        <v>View Full Record in Web of Science</v>
      </c>
    </row>
    <row r="363" spans="1:72" x14ac:dyDescent="0.15">
      <c r="A363" t="s">
        <v>72</v>
      </c>
      <c r="B363" t="s">
        <v>7120</v>
      </c>
      <c r="C363" t="s">
        <v>74</v>
      </c>
      <c r="D363" t="s">
        <v>74</v>
      </c>
      <c r="E363" t="s">
        <v>74</v>
      </c>
      <c r="F363" t="s">
        <v>7121</v>
      </c>
      <c r="G363" t="s">
        <v>74</v>
      </c>
      <c r="H363" t="s">
        <v>74</v>
      </c>
      <c r="I363" t="s">
        <v>7122</v>
      </c>
      <c r="J363" t="s">
        <v>2366</v>
      </c>
      <c r="K363" t="s">
        <v>74</v>
      </c>
      <c r="L363" t="s">
        <v>74</v>
      </c>
      <c r="M363" t="s">
        <v>78</v>
      </c>
      <c r="N363" t="s">
        <v>79</v>
      </c>
      <c r="O363" t="s">
        <v>74</v>
      </c>
      <c r="P363" t="s">
        <v>74</v>
      </c>
      <c r="Q363" t="s">
        <v>74</v>
      </c>
      <c r="R363" t="s">
        <v>74</v>
      </c>
      <c r="S363" t="s">
        <v>74</v>
      </c>
      <c r="T363" t="s">
        <v>74</v>
      </c>
      <c r="U363" t="s">
        <v>7123</v>
      </c>
      <c r="V363" t="s">
        <v>7124</v>
      </c>
      <c r="W363" t="s">
        <v>7125</v>
      </c>
      <c r="X363" t="s">
        <v>7126</v>
      </c>
      <c r="Y363" t="s">
        <v>7127</v>
      </c>
      <c r="Z363" t="s">
        <v>7128</v>
      </c>
      <c r="AA363" t="s">
        <v>7129</v>
      </c>
      <c r="AB363" t="s">
        <v>7130</v>
      </c>
      <c r="AC363" t="s">
        <v>7131</v>
      </c>
      <c r="AD363" t="s">
        <v>7132</v>
      </c>
      <c r="AE363" t="s">
        <v>7133</v>
      </c>
      <c r="AF363" t="s">
        <v>74</v>
      </c>
      <c r="AG363">
        <v>84</v>
      </c>
      <c r="AH363">
        <v>1</v>
      </c>
      <c r="AI363">
        <v>1</v>
      </c>
      <c r="AJ363">
        <v>0</v>
      </c>
      <c r="AK363">
        <v>0</v>
      </c>
      <c r="AL363" t="s">
        <v>1838</v>
      </c>
      <c r="AM363" t="s">
        <v>1839</v>
      </c>
      <c r="AN363" t="s">
        <v>1840</v>
      </c>
      <c r="AO363" t="s">
        <v>2377</v>
      </c>
      <c r="AP363" t="s">
        <v>2378</v>
      </c>
      <c r="AQ363" t="s">
        <v>74</v>
      </c>
      <c r="AR363" t="s">
        <v>2379</v>
      </c>
      <c r="AS363" t="s">
        <v>2380</v>
      </c>
      <c r="AT363" t="s">
        <v>7134</v>
      </c>
      <c r="AU363">
        <v>2023</v>
      </c>
      <c r="AV363">
        <v>23</v>
      </c>
      <c r="AW363">
        <v>23</v>
      </c>
      <c r="AX363" t="s">
        <v>74</v>
      </c>
      <c r="AY363" t="s">
        <v>74</v>
      </c>
      <c r="AZ363" t="s">
        <v>74</v>
      </c>
      <c r="BA363" t="s">
        <v>74</v>
      </c>
      <c r="BB363">
        <v>14691</v>
      </c>
      <c r="BC363">
        <v>14714</v>
      </c>
      <c r="BD363" t="s">
        <v>74</v>
      </c>
      <c r="BE363" t="s">
        <v>7135</v>
      </c>
      <c r="BF363" t="str">
        <f>HYPERLINK("http://dx.doi.org/10.5194/acp-23-14691-2023","http://dx.doi.org/10.5194/acp-23-14691-2023")</f>
        <v>http://dx.doi.org/10.5194/acp-23-14691-2023</v>
      </c>
      <c r="BG363" t="s">
        <v>74</v>
      </c>
      <c r="BH363" t="s">
        <v>74</v>
      </c>
      <c r="BI363">
        <v>24</v>
      </c>
      <c r="BJ363" t="s">
        <v>2382</v>
      </c>
      <c r="BK363" t="s">
        <v>100</v>
      </c>
      <c r="BL363" t="s">
        <v>2383</v>
      </c>
      <c r="BM363" t="s">
        <v>7136</v>
      </c>
      <c r="BN363" t="s">
        <v>74</v>
      </c>
      <c r="BO363" t="s">
        <v>131</v>
      </c>
      <c r="BP363" t="s">
        <v>74</v>
      </c>
      <c r="BQ363" t="s">
        <v>74</v>
      </c>
      <c r="BR363" t="s">
        <v>104</v>
      </c>
      <c r="BS363" t="s">
        <v>7137</v>
      </c>
      <c r="BT363" t="str">
        <f>HYPERLINK("https%3A%2F%2Fwww.webofscience.com%2Fwos%2Fwoscc%2Ffull-record%2FWOS:001168809700001","View Full Record in Web of Science")</f>
        <v>View Full Record in Web of Science</v>
      </c>
    </row>
    <row r="364" spans="1:72" x14ac:dyDescent="0.15">
      <c r="A364" t="s">
        <v>72</v>
      </c>
      <c r="B364" t="s">
        <v>7138</v>
      </c>
      <c r="C364" t="s">
        <v>74</v>
      </c>
      <c r="D364" t="s">
        <v>74</v>
      </c>
      <c r="E364" t="s">
        <v>74</v>
      </c>
      <c r="F364" t="s">
        <v>7139</v>
      </c>
      <c r="G364" t="s">
        <v>74</v>
      </c>
      <c r="H364" t="s">
        <v>74</v>
      </c>
      <c r="I364" t="s">
        <v>7140</v>
      </c>
      <c r="J364" t="s">
        <v>7141</v>
      </c>
      <c r="K364" t="s">
        <v>74</v>
      </c>
      <c r="L364" t="s">
        <v>74</v>
      </c>
      <c r="M364" t="s">
        <v>78</v>
      </c>
      <c r="N364" t="s">
        <v>79</v>
      </c>
      <c r="O364" t="s">
        <v>74</v>
      </c>
      <c r="P364" t="s">
        <v>74</v>
      </c>
      <c r="Q364" t="s">
        <v>74</v>
      </c>
      <c r="R364" t="s">
        <v>74</v>
      </c>
      <c r="S364" t="s">
        <v>74</v>
      </c>
      <c r="T364" t="s">
        <v>7142</v>
      </c>
      <c r="U364" t="s">
        <v>7143</v>
      </c>
      <c r="V364" t="s">
        <v>7144</v>
      </c>
      <c r="W364" t="s">
        <v>7145</v>
      </c>
      <c r="X364" t="s">
        <v>7146</v>
      </c>
      <c r="Y364" t="s">
        <v>7147</v>
      </c>
      <c r="Z364" t="s">
        <v>7148</v>
      </c>
      <c r="AA364" t="s">
        <v>74</v>
      </c>
      <c r="AB364" t="s">
        <v>74</v>
      </c>
      <c r="AC364" t="s">
        <v>7149</v>
      </c>
      <c r="AD364" t="s">
        <v>7149</v>
      </c>
      <c r="AE364" t="s">
        <v>7150</v>
      </c>
      <c r="AF364" t="s">
        <v>74</v>
      </c>
      <c r="AG364">
        <v>92</v>
      </c>
      <c r="AH364">
        <v>1</v>
      </c>
      <c r="AI364">
        <v>1</v>
      </c>
      <c r="AJ364">
        <v>3</v>
      </c>
      <c r="AK364">
        <v>3</v>
      </c>
      <c r="AL364" t="s">
        <v>975</v>
      </c>
      <c r="AM364" t="s">
        <v>976</v>
      </c>
      <c r="AN364" t="s">
        <v>977</v>
      </c>
      <c r="AO364" t="s">
        <v>7151</v>
      </c>
      <c r="AP364" t="s">
        <v>7152</v>
      </c>
      <c r="AQ364" t="s">
        <v>74</v>
      </c>
      <c r="AR364" t="s">
        <v>7153</v>
      </c>
      <c r="AS364" t="s">
        <v>7154</v>
      </c>
      <c r="AT364" t="s">
        <v>954</v>
      </c>
      <c r="AU364">
        <v>2024</v>
      </c>
      <c r="AV364">
        <v>203</v>
      </c>
      <c r="AW364" t="s">
        <v>74</v>
      </c>
      <c r="AX364" t="s">
        <v>74</v>
      </c>
      <c r="AY364" t="s">
        <v>74</v>
      </c>
      <c r="AZ364" t="s">
        <v>74</v>
      </c>
      <c r="BA364" t="s">
        <v>74</v>
      </c>
      <c r="BB364" t="s">
        <v>74</v>
      </c>
      <c r="BC364" t="s">
        <v>74</v>
      </c>
      <c r="BD364">
        <v>104199</v>
      </c>
      <c r="BE364" t="s">
        <v>7155</v>
      </c>
      <c r="BF364" t="str">
        <f>HYPERLINK("http://dx.doi.org/10.1016/j.dsr.2023.104199","http://dx.doi.org/10.1016/j.dsr.2023.104199")</f>
        <v>http://dx.doi.org/10.1016/j.dsr.2023.104199</v>
      </c>
      <c r="BG364" t="s">
        <v>74</v>
      </c>
      <c r="BH364" t="s">
        <v>6982</v>
      </c>
      <c r="BI364">
        <v>19</v>
      </c>
      <c r="BJ364" t="s">
        <v>5060</v>
      </c>
      <c r="BK364" t="s">
        <v>100</v>
      </c>
      <c r="BL364" t="s">
        <v>5060</v>
      </c>
      <c r="BM364" t="s">
        <v>7156</v>
      </c>
      <c r="BN364" t="s">
        <v>74</v>
      </c>
      <c r="BO364" t="s">
        <v>103</v>
      </c>
      <c r="BP364" t="s">
        <v>74</v>
      </c>
      <c r="BQ364" t="s">
        <v>74</v>
      </c>
      <c r="BR364" t="s">
        <v>104</v>
      </c>
      <c r="BS364" t="s">
        <v>7157</v>
      </c>
      <c r="BT364" t="str">
        <f>HYPERLINK("https%3A%2F%2Fwww.webofscience.com%2Fwos%2Fwoscc%2Ffull-record%2FWOS:001129629300001","View Full Record in Web of Science")</f>
        <v>View Full Record in Web of Science</v>
      </c>
    </row>
    <row r="365" spans="1:72" x14ac:dyDescent="0.15">
      <c r="A365" t="s">
        <v>72</v>
      </c>
      <c r="B365" t="s">
        <v>7158</v>
      </c>
      <c r="C365" t="s">
        <v>74</v>
      </c>
      <c r="D365" t="s">
        <v>74</v>
      </c>
      <c r="E365" t="s">
        <v>74</v>
      </c>
      <c r="F365" t="s">
        <v>7159</v>
      </c>
      <c r="G365" t="s">
        <v>74</v>
      </c>
      <c r="H365" t="s">
        <v>74</v>
      </c>
      <c r="I365" t="s">
        <v>7160</v>
      </c>
      <c r="J365" t="s">
        <v>1746</v>
      </c>
      <c r="K365" t="s">
        <v>74</v>
      </c>
      <c r="L365" t="s">
        <v>74</v>
      </c>
      <c r="M365" t="s">
        <v>78</v>
      </c>
      <c r="N365" t="s">
        <v>79</v>
      </c>
      <c r="O365" t="s">
        <v>74</v>
      </c>
      <c r="P365" t="s">
        <v>74</v>
      </c>
      <c r="Q365" t="s">
        <v>74</v>
      </c>
      <c r="R365" t="s">
        <v>74</v>
      </c>
      <c r="S365" t="s">
        <v>74</v>
      </c>
      <c r="T365" t="s">
        <v>7161</v>
      </c>
      <c r="U365" t="s">
        <v>7162</v>
      </c>
      <c r="V365" t="s">
        <v>7163</v>
      </c>
      <c r="W365" t="s">
        <v>7164</v>
      </c>
      <c r="X365" t="s">
        <v>7165</v>
      </c>
      <c r="Y365" t="s">
        <v>7166</v>
      </c>
      <c r="Z365" t="s">
        <v>7167</v>
      </c>
      <c r="AA365" t="s">
        <v>7168</v>
      </c>
      <c r="AB365" t="s">
        <v>74</v>
      </c>
      <c r="AC365" t="s">
        <v>7169</v>
      </c>
      <c r="AD365" t="s">
        <v>7170</v>
      </c>
      <c r="AE365" t="s">
        <v>7171</v>
      </c>
      <c r="AF365" t="s">
        <v>74</v>
      </c>
      <c r="AG365">
        <v>61</v>
      </c>
      <c r="AH365">
        <v>0</v>
      </c>
      <c r="AI365">
        <v>0</v>
      </c>
      <c r="AJ365">
        <v>9</v>
      </c>
      <c r="AK365">
        <v>9</v>
      </c>
      <c r="AL365" t="s">
        <v>1758</v>
      </c>
      <c r="AM365" t="s">
        <v>1759</v>
      </c>
      <c r="AN365" t="s">
        <v>1760</v>
      </c>
      <c r="AO365" t="s">
        <v>74</v>
      </c>
      <c r="AP365" t="s">
        <v>1761</v>
      </c>
      <c r="AQ365" t="s">
        <v>74</v>
      </c>
      <c r="AR365" t="s">
        <v>1762</v>
      </c>
      <c r="AS365" t="s">
        <v>1763</v>
      </c>
      <c r="AT365" t="s">
        <v>7134</v>
      </c>
      <c r="AU365">
        <v>2023</v>
      </c>
      <c r="AV365">
        <v>10</v>
      </c>
      <c r="AW365" t="s">
        <v>74</v>
      </c>
      <c r="AX365" t="s">
        <v>74</v>
      </c>
      <c r="AY365" t="s">
        <v>74</v>
      </c>
      <c r="AZ365" t="s">
        <v>74</v>
      </c>
      <c r="BA365" t="s">
        <v>74</v>
      </c>
      <c r="BB365" t="s">
        <v>74</v>
      </c>
      <c r="BC365" t="s">
        <v>74</v>
      </c>
      <c r="BD365">
        <v>1303663</v>
      </c>
      <c r="BE365" t="s">
        <v>7172</v>
      </c>
      <c r="BF365" t="str">
        <f>HYPERLINK("http://dx.doi.org/10.3389/fmars.2023.1303663","http://dx.doi.org/10.3389/fmars.2023.1303663")</f>
        <v>http://dx.doi.org/10.3389/fmars.2023.1303663</v>
      </c>
      <c r="BG365" t="s">
        <v>74</v>
      </c>
      <c r="BH365" t="s">
        <v>74</v>
      </c>
      <c r="BI365">
        <v>13</v>
      </c>
      <c r="BJ365" t="s">
        <v>1135</v>
      </c>
      <c r="BK365" t="s">
        <v>100</v>
      </c>
      <c r="BL365" t="s">
        <v>1136</v>
      </c>
      <c r="BM365" t="s">
        <v>7173</v>
      </c>
      <c r="BN365" t="s">
        <v>74</v>
      </c>
      <c r="BO365" t="s">
        <v>131</v>
      </c>
      <c r="BP365" t="s">
        <v>74</v>
      </c>
      <c r="BQ365" t="s">
        <v>74</v>
      </c>
      <c r="BR365" t="s">
        <v>104</v>
      </c>
      <c r="BS365" t="s">
        <v>7174</v>
      </c>
      <c r="BT365" t="str">
        <f>HYPERLINK("https%3A%2F%2Fwww.webofscience.com%2Fwos%2Fwoscc%2Ffull-record%2FWOS:001126975400001","View Full Record in Web of Science")</f>
        <v>View Full Record in Web of Science</v>
      </c>
    </row>
    <row r="366" spans="1:72" x14ac:dyDescent="0.15">
      <c r="A366" t="s">
        <v>72</v>
      </c>
      <c r="B366" t="s">
        <v>7175</v>
      </c>
      <c r="C366" t="s">
        <v>74</v>
      </c>
      <c r="D366" t="s">
        <v>74</v>
      </c>
      <c r="E366" t="s">
        <v>74</v>
      </c>
      <c r="F366" t="s">
        <v>7176</v>
      </c>
      <c r="G366" t="s">
        <v>74</v>
      </c>
      <c r="H366" t="s">
        <v>74</v>
      </c>
      <c r="I366" t="s">
        <v>7177</v>
      </c>
      <c r="J366" t="s">
        <v>1746</v>
      </c>
      <c r="K366" t="s">
        <v>74</v>
      </c>
      <c r="L366" t="s">
        <v>74</v>
      </c>
      <c r="M366" t="s">
        <v>78</v>
      </c>
      <c r="N366" t="s">
        <v>441</v>
      </c>
      <c r="O366" t="s">
        <v>74</v>
      </c>
      <c r="P366" t="s">
        <v>74</v>
      </c>
      <c r="Q366" t="s">
        <v>74</v>
      </c>
      <c r="R366" t="s">
        <v>74</v>
      </c>
      <c r="S366" t="s">
        <v>74</v>
      </c>
      <c r="T366" t="s">
        <v>7178</v>
      </c>
      <c r="U366" t="s">
        <v>7179</v>
      </c>
      <c r="V366" t="s">
        <v>7180</v>
      </c>
      <c r="W366" t="s">
        <v>7181</v>
      </c>
      <c r="X366" t="s">
        <v>7182</v>
      </c>
      <c r="Y366" t="s">
        <v>7183</v>
      </c>
      <c r="Z366" t="s">
        <v>7184</v>
      </c>
      <c r="AA366" t="s">
        <v>7185</v>
      </c>
      <c r="AB366" t="s">
        <v>7186</v>
      </c>
      <c r="AC366" t="s">
        <v>7187</v>
      </c>
      <c r="AD366" t="s">
        <v>7188</v>
      </c>
      <c r="AE366" t="s">
        <v>7189</v>
      </c>
      <c r="AF366" t="s">
        <v>74</v>
      </c>
      <c r="AG366">
        <v>111</v>
      </c>
      <c r="AH366">
        <v>1</v>
      </c>
      <c r="AI366">
        <v>1</v>
      </c>
      <c r="AJ366">
        <v>7</v>
      </c>
      <c r="AK366">
        <v>7</v>
      </c>
      <c r="AL366" t="s">
        <v>1758</v>
      </c>
      <c r="AM366" t="s">
        <v>1759</v>
      </c>
      <c r="AN366" t="s">
        <v>1760</v>
      </c>
      <c r="AO366" t="s">
        <v>74</v>
      </c>
      <c r="AP366" t="s">
        <v>1761</v>
      </c>
      <c r="AQ366" t="s">
        <v>74</v>
      </c>
      <c r="AR366" t="s">
        <v>1762</v>
      </c>
      <c r="AS366" t="s">
        <v>1763</v>
      </c>
      <c r="AT366" t="s">
        <v>7134</v>
      </c>
      <c r="AU366">
        <v>2023</v>
      </c>
      <c r="AV366">
        <v>10</v>
      </c>
      <c r="AW366" t="s">
        <v>74</v>
      </c>
      <c r="AX366" t="s">
        <v>74</v>
      </c>
      <c r="AY366" t="s">
        <v>74</v>
      </c>
      <c r="AZ366" t="s">
        <v>74</v>
      </c>
      <c r="BA366" t="s">
        <v>74</v>
      </c>
      <c r="BB366" t="s">
        <v>74</v>
      </c>
      <c r="BC366" t="s">
        <v>74</v>
      </c>
      <c r="BD366">
        <v>1287867</v>
      </c>
      <c r="BE366" t="s">
        <v>7190</v>
      </c>
      <c r="BF366" t="str">
        <f>HYPERLINK("http://dx.doi.org/10.3389/fmars.2023.1287867","http://dx.doi.org/10.3389/fmars.2023.1287867")</f>
        <v>http://dx.doi.org/10.3389/fmars.2023.1287867</v>
      </c>
      <c r="BG366" t="s">
        <v>74</v>
      </c>
      <c r="BH366" t="s">
        <v>74</v>
      </c>
      <c r="BI366">
        <v>12</v>
      </c>
      <c r="BJ366" t="s">
        <v>1135</v>
      </c>
      <c r="BK366" t="s">
        <v>100</v>
      </c>
      <c r="BL366" t="s">
        <v>1136</v>
      </c>
      <c r="BM366" t="s">
        <v>7191</v>
      </c>
      <c r="BN366" t="s">
        <v>74</v>
      </c>
      <c r="BO366" t="s">
        <v>131</v>
      </c>
      <c r="BP366" t="s">
        <v>74</v>
      </c>
      <c r="BQ366" t="s">
        <v>74</v>
      </c>
      <c r="BR366" t="s">
        <v>104</v>
      </c>
      <c r="BS366" t="s">
        <v>7192</v>
      </c>
      <c r="BT366" t="str">
        <f>HYPERLINK("https%3A%2F%2Fwww.webofscience.com%2Fwos%2Fwoscc%2Ffull-record%2FWOS:001124521000001","View Full Record in Web of Science")</f>
        <v>View Full Record in Web of Science</v>
      </c>
    </row>
    <row r="367" spans="1:72" x14ac:dyDescent="0.15">
      <c r="A367" t="s">
        <v>72</v>
      </c>
      <c r="B367" t="s">
        <v>7193</v>
      </c>
      <c r="C367" t="s">
        <v>74</v>
      </c>
      <c r="D367" t="s">
        <v>74</v>
      </c>
      <c r="E367" t="s">
        <v>74</v>
      </c>
      <c r="F367" t="s">
        <v>7194</v>
      </c>
      <c r="G367" t="s">
        <v>74</v>
      </c>
      <c r="H367" t="s">
        <v>74</v>
      </c>
      <c r="I367" t="s">
        <v>7195</v>
      </c>
      <c r="J367" t="s">
        <v>7196</v>
      </c>
      <c r="K367" t="s">
        <v>74</v>
      </c>
      <c r="L367" t="s">
        <v>74</v>
      </c>
      <c r="M367" t="s">
        <v>78</v>
      </c>
      <c r="N367" t="s">
        <v>79</v>
      </c>
      <c r="O367" t="s">
        <v>74</v>
      </c>
      <c r="P367" t="s">
        <v>74</v>
      </c>
      <c r="Q367" t="s">
        <v>74</v>
      </c>
      <c r="R367" t="s">
        <v>74</v>
      </c>
      <c r="S367" t="s">
        <v>74</v>
      </c>
      <c r="T367" t="s">
        <v>7197</v>
      </c>
      <c r="U367" t="s">
        <v>7198</v>
      </c>
      <c r="V367" t="s">
        <v>7199</v>
      </c>
      <c r="W367" t="s">
        <v>7200</v>
      </c>
      <c r="X367" t="s">
        <v>7201</v>
      </c>
      <c r="Y367" t="s">
        <v>7202</v>
      </c>
      <c r="Z367" t="s">
        <v>7203</v>
      </c>
      <c r="AA367" t="s">
        <v>74</v>
      </c>
      <c r="AB367" t="s">
        <v>7204</v>
      </c>
      <c r="AC367" t="s">
        <v>7205</v>
      </c>
      <c r="AD367" t="s">
        <v>7205</v>
      </c>
      <c r="AE367" t="s">
        <v>2553</v>
      </c>
      <c r="AF367" t="s">
        <v>74</v>
      </c>
      <c r="AG367">
        <v>82</v>
      </c>
      <c r="AH367">
        <v>0</v>
      </c>
      <c r="AI367">
        <v>0</v>
      </c>
      <c r="AJ367">
        <v>0</v>
      </c>
      <c r="AK367">
        <v>0</v>
      </c>
      <c r="AL367" t="s">
        <v>1075</v>
      </c>
      <c r="AM367" t="s">
        <v>1076</v>
      </c>
      <c r="AN367" t="s">
        <v>1077</v>
      </c>
      <c r="AO367" t="s">
        <v>7206</v>
      </c>
      <c r="AP367" t="s">
        <v>7207</v>
      </c>
      <c r="AQ367" t="s">
        <v>74</v>
      </c>
      <c r="AR367" t="s">
        <v>7208</v>
      </c>
      <c r="AS367" t="s">
        <v>7209</v>
      </c>
      <c r="AT367" t="s">
        <v>1082</v>
      </c>
      <c r="AU367">
        <v>2024</v>
      </c>
      <c r="AV367">
        <v>73</v>
      </c>
      <c r="AW367">
        <v>3</v>
      </c>
      <c r="AX367" t="s">
        <v>74</v>
      </c>
      <c r="AY367" t="s">
        <v>74</v>
      </c>
      <c r="AZ367" t="s">
        <v>74</v>
      </c>
      <c r="BA367" t="s">
        <v>74</v>
      </c>
      <c r="BB367">
        <v>668</v>
      </c>
      <c r="BC367">
        <v>682</v>
      </c>
      <c r="BD367" t="s">
        <v>74</v>
      </c>
      <c r="BE367" t="s">
        <v>7210</v>
      </c>
      <c r="BF367" t="str">
        <f>HYPERLINK("http://dx.doi.org/10.1007/s00267-023-01895-w","http://dx.doi.org/10.1007/s00267-023-01895-w")</f>
        <v>http://dx.doi.org/10.1007/s00267-023-01895-w</v>
      </c>
      <c r="BG367" t="s">
        <v>74</v>
      </c>
      <c r="BH367" t="s">
        <v>6982</v>
      </c>
      <c r="BI367">
        <v>15</v>
      </c>
      <c r="BJ367" t="s">
        <v>1010</v>
      </c>
      <c r="BK367" t="s">
        <v>100</v>
      </c>
      <c r="BL367" t="s">
        <v>1011</v>
      </c>
      <c r="BM367" t="s">
        <v>7211</v>
      </c>
      <c r="BN367">
        <v>38019304</v>
      </c>
      <c r="BO367" t="s">
        <v>74</v>
      </c>
      <c r="BP367" t="s">
        <v>74</v>
      </c>
      <c r="BQ367" t="s">
        <v>74</v>
      </c>
      <c r="BR367" t="s">
        <v>104</v>
      </c>
      <c r="BS367" t="s">
        <v>7212</v>
      </c>
      <c r="BT367" t="str">
        <f>HYPERLINK("https%3A%2F%2Fwww.webofscience.com%2Fwos%2Fwoscc%2Ffull-record%2FWOS:001120114600001","View Full Record in Web of Science")</f>
        <v>View Full Record in Web of Science</v>
      </c>
    </row>
    <row r="368" spans="1:72" x14ac:dyDescent="0.15">
      <c r="A368" t="s">
        <v>72</v>
      </c>
      <c r="B368" t="s">
        <v>7213</v>
      </c>
      <c r="C368" t="s">
        <v>74</v>
      </c>
      <c r="D368" t="s">
        <v>74</v>
      </c>
      <c r="E368" t="s">
        <v>74</v>
      </c>
      <c r="F368" t="s">
        <v>7214</v>
      </c>
      <c r="G368" t="s">
        <v>74</v>
      </c>
      <c r="H368" t="s">
        <v>74</v>
      </c>
      <c r="I368" t="s">
        <v>7215</v>
      </c>
      <c r="J368" t="s">
        <v>7216</v>
      </c>
      <c r="K368" t="s">
        <v>74</v>
      </c>
      <c r="L368" t="s">
        <v>74</v>
      </c>
      <c r="M368" t="s">
        <v>78</v>
      </c>
      <c r="N368" t="s">
        <v>79</v>
      </c>
      <c r="O368" t="s">
        <v>74</v>
      </c>
      <c r="P368" t="s">
        <v>74</v>
      </c>
      <c r="Q368" t="s">
        <v>74</v>
      </c>
      <c r="R368" t="s">
        <v>74</v>
      </c>
      <c r="S368" t="s">
        <v>74</v>
      </c>
      <c r="T368" t="s">
        <v>7217</v>
      </c>
      <c r="U368" t="s">
        <v>7218</v>
      </c>
      <c r="V368" t="s">
        <v>7219</v>
      </c>
      <c r="W368" t="s">
        <v>7220</v>
      </c>
      <c r="X368" t="s">
        <v>7221</v>
      </c>
      <c r="Y368" t="s">
        <v>7222</v>
      </c>
      <c r="Z368" t="s">
        <v>7223</v>
      </c>
      <c r="AA368" t="s">
        <v>74</v>
      </c>
      <c r="AB368" t="s">
        <v>7224</v>
      </c>
      <c r="AC368" t="s">
        <v>74</v>
      </c>
      <c r="AD368" t="s">
        <v>74</v>
      </c>
      <c r="AE368" t="s">
        <v>74</v>
      </c>
      <c r="AF368" t="s">
        <v>74</v>
      </c>
      <c r="AG368">
        <v>79</v>
      </c>
      <c r="AH368">
        <v>0</v>
      </c>
      <c r="AI368">
        <v>0</v>
      </c>
      <c r="AJ368">
        <v>2</v>
      </c>
      <c r="AK368">
        <v>2</v>
      </c>
      <c r="AL368" t="s">
        <v>7225</v>
      </c>
      <c r="AM368" t="s">
        <v>2294</v>
      </c>
      <c r="AN368" t="s">
        <v>7226</v>
      </c>
      <c r="AO368" t="s">
        <v>7227</v>
      </c>
      <c r="AP368" t="s">
        <v>74</v>
      </c>
      <c r="AQ368" t="s">
        <v>74</v>
      </c>
      <c r="AR368" t="s">
        <v>7216</v>
      </c>
      <c r="AS368" t="s">
        <v>7228</v>
      </c>
      <c r="AT368" t="s">
        <v>7134</v>
      </c>
      <c r="AU368">
        <v>2023</v>
      </c>
      <c r="AV368">
        <v>11</v>
      </c>
      <c r="AW368" t="s">
        <v>74</v>
      </c>
      <c r="AX368" t="s">
        <v>74</v>
      </c>
      <c r="AY368" t="s">
        <v>74</v>
      </c>
      <c r="AZ368" t="s">
        <v>74</v>
      </c>
      <c r="BA368" t="s">
        <v>74</v>
      </c>
      <c r="BB368" t="s">
        <v>74</v>
      </c>
      <c r="BC368" t="s">
        <v>74</v>
      </c>
      <c r="BD368" t="s">
        <v>7229</v>
      </c>
      <c r="BE368" t="s">
        <v>7230</v>
      </c>
      <c r="BF368" t="str">
        <f>HYPERLINK("http://dx.doi.org/10.7717/peerj.16500","http://dx.doi.org/10.7717/peerj.16500")</f>
        <v>http://dx.doi.org/10.7717/peerj.16500</v>
      </c>
      <c r="BG368" t="s">
        <v>74</v>
      </c>
      <c r="BH368" t="s">
        <v>74</v>
      </c>
      <c r="BI368">
        <v>21</v>
      </c>
      <c r="BJ368" t="s">
        <v>1035</v>
      </c>
      <c r="BK368" t="s">
        <v>100</v>
      </c>
      <c r="BL368" t="s">
        <v>1036</v>
      </c>
      <c r="BM368" t="s">
        <v>7231</v>
      </c>
      <c r="BN368">
        <v>38047028</v>
      </c>
      <c r="BO368" t="s">
        <v>131</v>
      </c>
      <c r="BP368" t="s">
        <v>74</v>
      </c>
      <c r="BQ368" t="s">
        <v>74</v>
      </c>
      <c r="BR368" t="s">
        <v>104</v>
      </c>
      <c r="BS368" t="s">
        <v>7232</v>
      </c>
      <c r="BT368" t="str">
        <f>HYPERLINK("https%3A%2F%2Fwww.webofscience.com%2Fwos%2Fwoscc%2Ffull-record%2FWOS:001115558600004","View Full Record in Web of Science")</f>
        <v>View Full Record in Web of Science</v>
      </c>
    </row>
    <row r="369" spans="1:72" x14ac:dyDescent="0.15">
      <c r="A369" t="s">
        <v>72</v>
      </c>
      <c r="B369" t="s">
        <v>7233</v>
      </c>
      <c r="C369" t="s">
        <v>74</v>
      </c>
      <c r="D369" t="s">
        <v>74</v>
      </c>
      <c r="E369" t="s">
        <v>74</v>
      </c>
      <c r="F369" t="s">
        <v>7234</v>
      </c>
      <c r="G369" t="s">
        <v>74</v>
      </c>
      <c r="H369" t="s">
        <v>74</v>
      </c>
      <c r="I369" t="s">
        <v>7235</v>
      </c>
      <c r="J369" t="s">
        <v>4891</v>
      </c>
      <c r="K369" t="s">
        <v>74</v>
      </c>
      <c r="L369" t="s">
        <v>74</v>
      </c>
      <c r="M369" t="s">
        <v>78</v>
      </c>
      <c r="N369" t="s">
        <v>79</v>
      </c>
      <c r="O369" t="s">
        <v>74</v>
      </c>
      <c r="P369" t="s">
        <v>74</v>
      </c>
      <c r="Q369" t="s">
        <v>74</v>
      </c>
      <c r="R369" t="s">
        <v>74</v>
      </c>
      <c r="S369" t="s">
        <v>74</v>
      </c>
      <c r="T369" t="s">
        <v>7236</v>
      </c>
      <c r="U369" t="s">
        <v>7237</v>
      </c>
      <c r="V369" t="s">
        <v>7238</v>
      </c>
      <c r="W369" t="s">
        <v>7239</v>
      </c>
      <c r="X369" t="s">
        <v>7240</v>
      </c>
      <c r="Y369" t="s">
        <v>7241</v>
      </c>
      <c r="Z369" t="s">
        <v>7242</v>
      </c>
      <c r="AA369" t="s">
        <v>7243</v>
      </c>
      <c r="AB369" t="s">
        <v>7244</v>
      </c>
      <c r="AC369" t="s">
        <v>7245</v>
      </c>
      <c r="AD369" t="s">
        <v>7245</v>
      </c>
      <c r="AE369" t="s">
        <v>7246</v>
      </c>
      <c r="AF369" t="s">
        <v>74</v>
      </c>
      <c r="AG369">
        <v>30</v>
      </c>
      <c r="AH369">
        <v>0</v>
      </c>
      <c r="AI369">
        <v>0</v>
      </c>
      <c r="AJ369">
        <v>2</v>
      </c>
      <c r="AK369">
        <v>2</v>
      </c>
      <c r="AL369" t="s">
        <v>1782</v>
      </c>
      <c r="AM369" t="s">
        <v>1783</v>
      </c>
      <c r="AN369" t="s">
        <v>1784</v>
      </c>
      <c r="AO369" t="s">
        <v>4900</v>
      </c>
      <c r="AP369" t="s">
        <v>4901</v>
      </c>
      <c r="AQ369" t="s">
        <v>74</v>
      </c>
      <c r="AR369" t="s">
        <v>4902</v>
      </c>
      <c r="AS369" t="s">
        <v>4903</v>
      </c>
      <c r="AT369" t="s">
        <v>7134</v>
      </c>
      <c r="AU369">
        <v>2023</v>
      </c>
      <c r="AV369">
        <v>59</v>
      </c>
      <c r="AW369" t="s">
        <v>74</v>
      </c>
      <c r="AX369" t="s">
        <v>74</v>
      </c>
      <c r="AY369" t="s">
        <v>74</v>
      </c>
      <c r="AZ369" t="s">
        <v>74</v>
      </c>
      <c r="BA369" t="s">
        <v>74</v>
      </c>
      <c r="BB369" t="s">
        <v>74</v>
      </c>
      <c r="BC369" t="s">
        <v>74</v>
      </c>
      <c r="BD369" t="s">
        <v>7247</v>
      </c>
      <c r="BE369" t="s">
        <v>7248</v>
      </c>
      <c r="BF369" t="str">
        <f>HYPERLINK("http://dx.doi.org/10.1017/S003224742300030X","http://dx.doi.org/10.1017/S003224742300030X")</f>
        <v>http://dx.doi.org/10.1017/S003224742300030X</v>
      </c>
      <c r="BG369" t="s">
        <v>74</v>
      </c>
      <c r="BH369" t="s">
        <v>74</v>
      </c>
      <c r="BI369">
        <v>7</v>
      </c>
      <c r="BJ369" t="s">
        <v>4906</v>
      </c>
      <c r="BK369" t="s">
        <v>100</v>
      </c>
      <c r="BL369" t="s">
        <v>1011</v>
      </c>
      <c r="BM369" t="s">
        <v>7249</v>
      </c>
      <c r="BN369" t="s">
        <v>74</v>
      </c>
      <c r="BO369" t="s">
        <v>103</v>
      </c>
      <c r="BP369" t="s">
        <v>74</v>
      </c>
      <c r="BQ369" t="s">
        <v>74</v>
      </c>
      <c r="BR369" t="s">
        <v>104</v>
      </c>
      <c r="BS369" t="s">
        <v>7250</v>
      </c>
      <c r="BT369" t="str">
        <f>HYPERLINK("https%3A%2F%2Fwww.webofscience.com%2Fwos%2Fwoscc%2Ffull-record%2FWOS:001113330700001","View Full Record in Web of Science")</f>
        <v>View Full Record in Web of Science</v>
      </c>
    </row>
    <row r="370" spans="1:72" x14ac:dyDescent="0.15">
      <c r="A370" t="s">
        <v>72</v>
      </c>
      <c r="B370" t="s">
        <v>7251</v>
      </c>
      <c r="C370" t="s">
        <v>74</v>
      </c>
      <c r="D370" t="s">
        <v>74</v>
      </c>
      <c r="E370" t="s">
        <v>74</v>
      </c>
      <c r="F370" t="s">
        <v>7252</v>
      </c>
      <c r="G370" t="s">
        <v>74</v>
      </c>
      <c r="H370" t="s">
        <v>74</v>
      </c>
      <c r="I370" t="s">
        <v>7253</v>
      </c>
      <c r="J370" t="s">
        <v>4346</v>
      </c>
      <c r="K370" t="s">
        <v>74</v>
      </c>
      <c r="L370" t="s">
        <v>74</v>
      </c>
      <c r="M370" t="s">
        <v>78</v>
      </c>
      <c r="N370" t="s">
        <v>79</v>
      </c>
      <c r="O370" t="s">
        <v>74</v>
      </c>
      <c r="P370" t="s">
        <v>74</v>
      </c>
      <c r="Q370" t="s">
        <v>74</v>
      </c>
      <c r="R370" t="s">
        <v>74</v>
      </c>
      <c r="S370" t="s">
        <v>74</v>
      </c>
      <c r="T370" t="s">
        <v>7254</v>
      </c>
      <c r="U370" t="s">
        <v>7255</v>
      </c>
      <c r="V370" t="s">
        <v>7256</v>
      </c>
      <c r="W370" t="s">
        <v>7257</v>
      </c>
      <c r="X370" t="s">
        <v>7258</v>
      </c>
      <c r="Y370" t="s">
        <v>7259</v>
      </c>
      <c r="Z370" t="s">
        <v>7260</v>
      </c>
      <c r="AA370" t="s">
        <v>74</v>
      </c>
      <c r="AB370" t="s">
        <v>74</v>
      </c>
      <c r="AC370" t="s">
        <v>74</v>
      </c>
      <c r="AD370" t="s">
        <v>74</v>
      </c>
      <c r="AE370" t="s">
        <v>74</v>
      </c>
      <c r="AF370" t="s">
        <v>74</v>
      </c>
      <c r="AG370">
        <v>166</v>
      </c>
      <c r="AH370">
        <v>0</v>
      </c>
      <c r="AI370">
        <v>0</v>
      </c>
      <c r="AJ370">
        <v>2</v>
      </c>
      <c r="AK370">
        <v>2</v>
      </c>
      <c r="AL370" t="s">
        <v>1560</v>
      </c>
      <c r="AM370" t="s">
        <v>976</v>
      </c>
      <c r="AN370" t="s">
        <v>1561</v>
      </c>
      <c r="AO370" t="s">
        <v>4358</v>
      </c>
      <c r="AP370" t="s">
        <v>4359</v>
      </c>
      <c r="AQ370" t="s">
        <v>74</v>
      </c>
      <c r="AR370" t="s">
        <v>4360</v>
      </c>
      <c r="AS370" t="s">
        <v>4361</v>
      </c>
      <c r="AT370" t="s">
        <v>7261</v>
      </c>
      <c r="AU370">
        <v>2023</v>
      </c>
      <c r="AV370">
        <v>80</v>
      </c>
      <c r="AW370">
        <v>9</v>
      </c>
      <c r="AX370" t="s">
        <v>74</v>
      </c>
      <c r="AY370" t="s">
        <v>74</v>
      </c>
      <c r="AZ370" t="s">
        <v>74</v>
      </c>
      <c r="BA370" t="s">
        <v>74</v>
      </c>
      <c r="BB370">
        <v>2380</v>
      </c>
      <c r="BC370">
        <v>2392</v>
      </c>
      <c r="BD370" t="s">
        <v>74</v>
      </c>
      <c r="BE370" t="s">
        <v>7262</v>
      </c>
      <c r="BF370" t="str">
        <f>HYPERLINK("http://dx.doi.org/10.1093/icesjms/fsad173","http://dx.doi.org/10.1093/icesjms/fsad173")</f>
        <v>http://dx.doi.org/10.1093/icesjms/fsad173</v>
      </c>
      <c r="BG370" t="s">
        <v>74</v>
      </c>
      <c r="BH370" t="s">
        <v>74</v>
      </c>
      <c r="BI370">
        <v>13</v>
      </c>
      <c r="BJ370" t="s">
        <v>4364</v>
      </c>
      <c r="BK370" t="s">
        <v>100</v>
      </c>
      <c r="BL370" t="s">
        <v>4364</v>
      </c>
      <c r="BM370" t="s">
        <v>7263</v>
      </c>
      <c r="BN370" t="s">
        <v>74</v>
      </c>
      <c r="BO370" t="s">
        <v>2561</v>
      </c>
      <c r="BP370" t="s">
        <v>74</v>
      </c>
      <c r="BQ370" t="s">
        <v>74</v>
      </c>
      <c r="BR370" t="s">
        <v>104</v>
      </c>
      <c r="BS370" t="s">
        <v>7264</v>
      </c>
      <c r="BT370" t="str">
        <f>HYPERLINK("https%3A%2F%2Fwww.webofscience.com%2Fwos%2Fwoscc%2Ffull-record%2FWOS:001187220200001","View Full Record in Web of Science")</f>
        <v>View Full Record in Web of Science</v>
      </c>
    </row>
    <row r="371" spans="1:72" x14ac:dyDescent="0.15">
      <c r="A371" t="s">
        <v>72</v>
      </c>
      <c r="B371" t="s">
        <v>7265</v>
      </c>
      <c r="C371" t="s">
        <v>74</v>
      </c>
      <c r="D371" t="s">
        <v>74</v>
      </c>
      <c r="E371" t="s">
        <v>74</v>
      </c>
      <c r="F371" t="s">
        <v>7266</v>
      </c>
      <c r="G371" t="s">
        <v>74</v>
      </c>
      <c r="H371" t="s">
        <v>74</v>
      </c>
      <c r="I371" t="s">
        <v>7267</v>
      </c>
      <c r="J371" t="s">
        <v>3384</v>
      </c>
      <c r="K371" t="s">
        <v>74</v>
      </c>
      <c r="L371" t="s">
        <v>74</v>
      </c>
      <c r="M371" t="s">
        <v>78</v>
      </c>
      <c r="N371" t="s">
        <v>79</v>
      </c>
      <c r="O371" t="s">
        <v>74</v>
      </c>
      <c r="P371" t="s">
        <v>74</v>
      </c>
      <c r="Q371" t="s">
        <v>74</v>
      </c>
      <c r="R371" t="s">
        <v>74</v>
      </c>
      <c r="S371" t="s">
        <v>74</v>
      </c>
      <c r="T371" t="s">
        <v>74</v>
      </c>
      <c r="U371" t="s">
        <v>7268</v>
      </c>
      <c r="V371" t="s">
        <v>7269</v>
      </c>
      <c r="W371" t="s">
        <v>7270</v>
      </c>
      <c r="X371" t="s">
        <v>7271</v>
      </c>
      <c r="Y371" t="s">
        <v>7272</v>
      </c>
      <c r="Z371" t="s">
        <v>7273</v>
      </c>
      <c r="AA371" t="s">
        <v>74</v>
      </c>
      <c r="AB371" t="s">
        <v>74</v>
      </c>
      <c r="AC371" t="s">
        <v>7274</v>
      </c>
      <c r="AD371" t="s">
        <v>7275</v>
      </c>
      <c r="AE371" t="s">
        <v>7276</v>
      </c>
      <c r="AF371" t="s">
        <v>74</v>
      </c>
      <c r="AG371">
        <v>55</v>
      </c>
      <c r="AH371">
        <v>0</v>
      </c>
      <c r="AI371">
        <v>0</v>
      </c>
      <c r="AJ371">
        <v>2</v>
      </c>
      <c r="AK371">
        <v>2</v>
      </c>
      <c r="AL371" t="s">
        <v>3057</v>
      </c>
      <c r="AM371" t="s">
        <v>3058</v>
      </c>
      <c r="AN371" t="s">
        <v>3059</v>
      </c>
      <c r="AO371" t="s">
        <v>74</v>
      </c>
      <c r="AP371" t="s">
        <v>3396</v>
      </c>
      <c r="AQ371" t="s">
        <v>74</v>
      </c>
      <c r="AR371" t="s">
        <v>3397</v>
      </c>
      <c r="AS371" t="s">
        <v>3398</v>
      </c>
      <c r="AT371" t="s">
        <v>7261</v>
      </c>
      <c r="AU371">
        <v>2023</v>
      </c>
      <c r="AV371">
        <v>14</v>
      </c>
      <c r="AW371">
        <v>1</v>
      </c>
      <c r="AX371" t="s">
        <v>74</v>
      </c>
      <c r="AY371" t="s">
        <v>74</v>
      </c>
      <c r="AZ371" t="s">
        <v>74</v>
      </c>
      <c r="BA371" t="s">
        <v>74</v>
      </c>
      <c r="BB371" t="s">
        <v>74</v>
      </c>
      <c r="BC371" t="s">
        <v>74</v>
      </c>
      <c r="BD371">
        <v>7792</v>
      </c>
      <c r="BE371" t="s">
        <v>7277</v>
      </c>
      <c r="BF371" t="str">
        <f>HYPERLINK("http://dx.doi.org/10.1038/s41467-023-43499-2","http://dx.doi.org/10.1038/s41467-023-43499-2")</f>
        <v>http://dx.doi.org/10.1038/s41467-023-43499-2</v>
      </c>
      <c r="BG371" t="s">
        <v>74</v>
      </c>
      <c r="BH371" t="s">
        <v>74</v>
      </c>
      <c r="BI371">
        <v>12</v>
      </c>
      <c r="BJ371" t="s">
        <v>1035</v>
      </c>
      <c r="BK371" t="s">
        <v>100</v>
      </c>
      <c r="BL371" t="s">
        <v>1036</v>
      </c>
      <c r="BM371" t="s">
        <v>7278</v>
      </c>
      <c r="BN371">
        <v>38016941</v>
      </c>
      <c r="BO371" t="s">
        <v>131</v>
      </c>
      <c r="BP371" t="s">
        <v>74</v>
      </c>
      <c r="BQ371" t="s">
        <v>74</v>
      </c>
      <c r="BR371" t="s">
        <v>104</v>
      </c>
      <c r="BS371" t="s">
        <v>7279</v>
      </c>
      <c r="BT371" t="str">
        <f>HYPERLINK("https%3A%2F%2Fwww.webofscience.com%2Fwos%2Fwoscc%2Ffull-record%2FWOS:001137597400001","View Full Record in Web of Science")</f>
        <v>View Full Record in Web of Science</v>
      </c>
    </row>
    <row r="372" spans="1:72" x14ac:dyDescent="0.15">
      <c r="A372" t="s">
        <v>72</v>
      </c>
      <c r="B372" t="s">
        <v>7280</v>
      </c>
      <c r="C372" t="s">
        <v>74</v>
      </c>
      <c r="D372" t="s">
        <v>74</v>
      </c>
      <c r="E372" t="s">
        <v>74</v>
      </c>
      <c r="F372" t="s">
        <v>7281</v>
      </c>
      <c r="G372" t="s">
        <v>74</v>
      </c>
      <c r="H372" t="s">
        <v>74</v>
      </c>
      <c r="I372" t="s">
        <v>7282</v>
      </c>
      <c r="J372" t="s">
        <v>2124</v>
      </c>
      <c r="K372" t="s">
        <v>74</v>
      </c>
      <c r="L372" t="s">
        <v>74</v>
      </c>
      <c r="M372" t="s">
        <v>78</v>
      </c>
      <c r="N372" t="s">
        <v>79</v>
      </c>
      <c r="O372" t="s">
        <v>74</v>
      </c>
      <c r="P372" t="s">
        <v>74</v>
      </c>
      <c r="Q372" t="s">
        <v>74</v>
      </c>
      <c r="R372" t="s">
        <v>74</v>
      </c>
      <c r="S372" t="s">
        <v>74</v>
      </c>
      <c r="T372" t="s">
        <v>7283</v>
      </c>
      <c r="U372" t="s">
        <v>7284</v>
      </c>
      <c r="V372" t="s">
        <v>7285</v>
      </c>
      <c r="W372" t="s">
        <v>7286</v>
      </c>
      <c r="X372" t="s">
        <v>7287</v>
      </c>
      <c r="Y372" t="s">
        <v>7288</v>
      </c>
      <c r="Z372" t="s">
        <v>7289</v>
      </c>
      <c r="AA372" t="s">
        <v>7290</v>
      </c>
      <c r="AB372" t="s">
        <v>7291</v>
      </c>
      <c r="AC372" t="s">
        <v>7292</v>
      </c>
      <c r="AD372" t="s">
        <v>7293</v>
      </c>
      <c r="AE372" t="s">
        <v>7294</v>
      </c>
      <c r="AF372" t="s">
        <v>74</v>
      </c>
      <c r="AG372">
        <v>66</v>
      </c>
      <c r="AH372">
        <v>0</v>
      </c>
      <c r="AI372">
        <v>0</v>
      </c>
      <c r="AJ372">
        <v>11</v>
      </c>
      <c r="AK372">
        <v>11</v>
      </c>
      <c r="AL372" t="s">
        <v>947</v>
      </c>
      <c r="AM372" t="s">
        <v>948</v>
      </c>
      <c r="AN372" t="s">
        <v>949</v>
      </c>
      <c r="AO372" t="s">
        <v>2136</v>
      </c>
      <c r="AP372" t="s">
        <v>2137</v>
      </c>
      <c r="AQ372" t="s">
        <v>74</v>
      </c>
      <c r="AR372" t="s">
        <v>2124</v>
      </c>
      <c r="AS372" t="s">
        <v>2138</v>
      </c>
      <c r="AT372" t="s">
        <v>2139</v>
      </c>
      <c r="AU372">
        <v>2024</v>
      </c>
      <c r="AV372">
        <v>581</v>
      </c>
      <c r="AW372" t="s">
        <v>74</v>
      </c>
      <c r="AX372" t="s">
        <v>74</v>
      </c>
      <c r="AY372" t="s">
        <v>74</v>
      </c>
      <c r="AZ372" t="s">
        <v>74</v>
      </c>
      <c r="BA372" t="s">
        <v>74</v>
      </c>
      <c r="BB372" t="s">
        <v>74</v>
      </c>
      <c r="BC372" t="s">
        <v>74</v>
      </c>
      <c r="BD372">
        <v>740397</v>
      </c>
      <c r="BE372" t="s">
        <v>7295</v>
      </c>
      <c r="BF372" t="str">
        <f>HYPERLINK("http://dx.doi.org/10.1016/j.aquaculture.2023.740397","http://dx.doi.org/10.1016/j.aquaculture.2023.740397")</f>
        <v>http://dx.doi.org/10.1016/j.aquaculture.2023.740397</v>
      </c>
      <c r="BG372" t="s">
        <v>74</v>
      </c>
      <c r="BH372" t="s">
        <v>6982</v>
      </c>
      <c r="BI372">
        <v>11</v>
      </c>
      <c r="BJ372" t="s">
        <v>2141</v>
      </c>
      <c r="BK372" t="s">
        <v>100</v>
      </c>
      <c r="BL372" t="s">
        <v>2141</v>
      </c>
      <c r="BM372" t="s">
        <v>7296</v>
      </c>
      <c r="BN372" t="s">
        <v>74</v>
      </c>
      <c r="BO372" t="s">
        <v>74</v>
      </c>
      <c r="BP372" t="s">
        <v>74</v>
      </c>
      <c r="BQ372" t="s">
        <v>74</v>
      </c>
      <c r="BR372" t="s">
        <v>104</v>
      </c>
      <c r="BS372" t="s">
        <v>7297</v>
      </c>
      <c r="BT372" t="str">
        <f>HYPERLINK("https%3A%2F%2Fwww.webofscience.com%2Fwos%2Fwoscc%2Ffull-record%2FWOS:001166269100001","View Full Record in Web of Science")</f>
        <v>View Full Record in Web of Science</v>
      </c>
    </row>
    <row r="373" spans="1:72" x14ac:dyDescent="0.15">
      <c r="A373" t="s">
        <v>72</v>
      </c>
      <c r="B373" t="s">
        <v>7298</v>
      </c>
      <c r="C373" t="s">
        <v>74</v>
      </c>
      <c r="D373" t="s">
        <v>74</v>
      </c>
      <c r="E373" t="s">
        <v>74</v>
      </c>
      <c r="F373" t="s">
        <v>7299</v>
      </c>
      <c r="G373" t="s">
        <v>74</v>
      </c>
      <c r="H373" t="s">
        <v>74</v>
      </c>
      <c r="I373" t="s">
        <v>7300</v>
      </c>
      <c r="J373" t="s">
        <v>2668</v>
      </c>
      <c r="K373" t="s">
        <v>74</v>
      </c>
      <c r="L373" t="s">
        <v>74</v>
      </c>
      <c r="M373" t="s">
        <v>78</v>
      </c>
      <c r="N373" t="s">
        <v>79</v>
      </c>
      <c r="O373" t="s">
        <v>74</v>
      </c>
      <c r="P373" t="s">
        <v>74</v>
      </c>
      <c r="Q373" t="s">
        <v>74</v>
      </c>
      <c r="R373" t="s">
        <v>74</v>
      </c>
      <c r="S373" t="s">
        <v>74</v>
      </c>
      <c r="T373" t="s">
        <v>7301</v>
      </c>
      <c r="U373" t="s">
        <v>7302</v>
      </c>
      <c r="V373" t="s">
        <v>7303</v>
      </c>
      <c r="W373" t="s">
        <v>7304</v>
      </c>
      <c r="X373" t="s">
        <v>7305</v>
      </c>
      <c r="Y373" t="s">
        <v>7306</v>
      </c>
      <c r="Z373" t="s">
        <v>7307</v>
      </c>
      <c r="AA373" t="s">
        <v>7308</v>
      </c>
      <c r="AB373" t="s">
        <v>7309</v>
      </c>
      <c r="AC373" t="s">
        <v>7310</v>
      </c>
      <c r="AD373" t="s">
        <v>7311</v>
      </c>
      <c r="AE373" t="s">
        <v>7312</v>
      </c>
      <c r="AF373" t="s">
        <v>74</v>
      </c>
      <c r="AG373">
        <v>79</v>
      </c>
      <c r="AH373">
        <v>0</v>
      </c>
      <c r="AI373">
        <v>0</v>
      </c>
      <c r="AJ373">
        <v>1</v>
      </c>
      <c r="AK373">
        <v>1</v>
      </c>
      <c r="AL373" t="s">
        <v>947</v>
      </c>
      <c r="AM373" t="s">
        <v>948</v>
      </c>
      <c r="AN373" t="s">
        <v>949</v>
      </c>
      <c r="AO373" t="s">
        <v>2679</v>
      </c>
      <c r="AP373" t="s">
        <v>2680</v>
      </c>
      <c r="AQ373" t="s">
        <v>74</v>
      </c>
      <c r="AR373" t="s">
        <v>2681</v>
      </c>
      <c r="AS373" t="s">
        <v>2682</v>
      </c>
      <c r="AT373" t="s">
        <v>4250</v>
      </c>
      <c r="AU373">
        <v>2024</v>
      </c>
      <c r="AV373">
        <v>634</v>
      </c>
      <c r="AW373" t="s">
        <v>74</v>
      </c>
      <c r="AX373" t="s">
        <v>74</v>
      </c>
      <c r="AY373" t="s">
        <v>74</v>
      </c>
      <c r="AZ373" t="s">
        <v>74</v>
      </c>
      <c r="BA373" t="s">
        <v>74</v>
      </c>
      <c r="BB373" t="s">
        <v>74</v>
      </c>
      <c r="BC373" t="s">
        <v>74</v>
      </c>
      <c r="BD373">
        <v>111928</v>
      </c>
      <c r="BE373" t="s">
        <v>7313</v>
      </c>
      <c r="BF373" t="str">
        <f>HYPERLINK("http://dx.doi.org/10.1016/j.palaeo.2023.111928","http://dx.doi.org/10.1016/j.palaeo.2023.111928")</f>
        <v>http://dx.doi.org/10.1016/j.palaeo.2023.111928</v>
      </c>
      <c r="BG373" t="s">
        <v>74</v>
      </c>
      <c r="BH373" t="s">
        <v>6982</v>
      </c>
      <c r="BI373">
        <v>15</v>
      </c>
      <c r="BJ373" t="s">
        <v>2684</v>
      </c>
      <c r="BK373" t="s">
        <v>100</v>
      </c>
      <c r="BL373" t="s">
        <v>2685</v>
      </c>
      <c r="BM373" t="s">
        <v>7314</v>
      </c>
      <c r="BN373" t="s">
        <v>74</v>
      </c>
      <c r="BO373" t="s">
        <v>7315</v>
      </c>
      <c r="BP373" t="s">
        <v>74</v>
      </c>
      <c r="BQ373" t="s">
        <v>74</v>
      </c>
      <c r="BR373" t="s">
        <v>104</v>
      </c>
      <c r="BS373" t="s">
        <v>7316</v>
      </c>
      <c r="BT373" t="str">
        <f>HYPERLINK("https%3A%2F%2Fwww.webofscience.com%2Fwos%2Fwoscc%2Ffull-record%2FWOS:001165921800001","View Full Record in Web of Science")</f>
        <v>View Full Record in Web of Science</v>
      </c>
    </row>
    <row r="374" spans="1:72" x14ac:dyDescent="0.15">
      <c r="A374" t="s">
        <v>72</v>
      </c>
      <c r="B374" t="s">
        <v>7317</v>
      </c>
      <c r="C374" t="s">
        <v>74</v>
      </c>
      <c r="D374" t="s">
        <v>74</v>
      </c>
      <c r="E374" t="s">
        <v>74</v>
      </c>
      <c r="F374" t="s">
        <v>7318</v>
      </c>
      <c r="G374" t="s">
        <v>74</v>
      </c>
      <c r="H374" t="s">
        <v>74</v>
      </c>
      <c r="I374" t="s">
        <v>7319</v>
      </c>
      <c r="J374" t="s">
        <v>7320</v>
      </c>
      <c r="K374" t="s">
        <v>74</v>
      </c>
      <c r="L374" t="s">
        <v>74</v>
      </c>
      <c r="M374" t="s">
        <v>78</v>
      </c>
      <c r="N374" t="s">
        <v>79</v>
      </c>
      <c r="O374" t="s">
        <v>74</v>
      </c>
      <c r="P374" t="s">
        <v>74</v>
      </c>
      <c r="Q374" t="s">
        <v>74</v>
      </c>
      <c r="R374" t="s">
        <v>74</v>
      </c>
      <c r="S374" t="s">
        <v>74</v>
      </c>
      <c r="T374" t="s">
        <v>7321</v>
      </c>
      <c r="U374" t="s">
        <v>7322</v>
      </c>
      <c r="V374" t="s">
        <v>7323</v>
      </c>
      <c r="W374" t="s">
        <v>7324</v>
      </c>
      <c r="X374" t="s">
        <v>7325</v>
      </c>
      <c r="Y374" t="s">
        <v>7326</v>
      </c>
      <c r="Z374" t="s">
        <v>7327</v>
      </c>
      <c r="AA374" t="s">
        <v>74</v>
      </c>
      <c r="AB374" t="s">
        <v>74</v>
      </c>
      <c r="AC374" t="s">
        <v>7328</v>
      </c>
      <c r="AD374" t="s">
        <v>511</v>
      </c>
      <c r="AE374" t="s">
        <v>7329</v>
      </c>
      <c r="AF374" t="s">
        <v>74</v>
      </c>
      <c r="AG374">
        <v>67</v>
      </c>
      <c r="AH374">
        <v>0</v>
      </c>
      <c r="AI374">
        <v>0</v>
      </c>
      <c r="AJ374">
        <v>3</v>
      </c>
      <c r="AK374">
        <v>3</v>
      </c>
      <c r="AL374" t="s">
        <v>4271</v>
      </c>
      <c r="AM374" t="s">
        <v>1076</v>
      </c>
      <c r="AN374" t="s">
        <v>4272</v>
      </c>
      <c r="AO374" t="s">
        <v>7330</v>
      </c>
      <c r="AP374" t="s">
        <v>7331</v>
      </c>
      <c r="AQ374" t="s">
        <v>74</v>
      </c>
      <c r="AR374" t="s">
        <v>7332</v>
      </c>
      <c r="AS374" t="s">
        <v>7333</v>
      </c>
      <c r="AT374" t="s">
        <v>954</v>
      </c>
      <c r="AU374">
        <v>2024</v>
      </c>
      <c r="AV374">
        <v>297</v>
      </c>
      <c r="AW374" t="s">
        <v>74</v>
      </c>
      <c r="AX374" t="s">
        <v>74</v>
      </c>
      <c r="AY374" t="s">
        <v>74</v>
      </c>
      <c r="AZ374" t="s">
        <v>74</v>
      </c>
      <c r="BA374" t="s">
        <v>74</v>
      </c>
      <c r="BB374" t="s">
        <v>74</v>
      </c>
      <c r="BC374" t="s">
        <v>74</v>
      </c>
      <c r="BD374">
        <v>107128</v>
      </c>
      <c r="BE374" t="s">
        <v>7334</v>
      </c>
      <c r="BF374" t="str">
        <f>HYPERLINK("http://dx.doi.org/10.1016/j.atmosres.2023.107128","http://dx.doi.org/10.1016/j.atmosres.2023.107128")</f>
        <v>http://dx.doi.org/10.1016/j.atmosres.2023.107128</v>
      </c>
      <c r="BG374" t="s">
        <v>74</v>
      </c>
      <c r="BH374" t="s">
        <v>6982</v>
      </c>
      <c r="BI374">
        <v>12</v>
      </c>
      <c r="BJ374" t="s">
        <v>1522</v>
      </c>
      <c r="BK374" t="s">
        <v>100</v>
      </c>
      <c r="BL374" t="s">
        <v>1522</v>
      </c>
      <c r="BM374" t="s">
        <v>7335</v>
      </c>
      <c r="BN374" t="s">
        <v>74</v>
      </c>
      <c r="BO374" t="s">
        <v>1794</v>
      </c>
      <c r="BP374" t="s">
        <v>74</v>
      </c>
      <c r="BQ374" t="s">
        <v>74</v>
      </c>
      <c r="BR374" t="s">
        <v>104</v>
      </c>
      <c r="BS374" t="s">
        <v>7336</v>
      </c>
      <c r="BT374" t="str">
        <f>HYPERLINK("https%3A%2F%2Fwww.webofscience.com%2Fwos%2Fwoscc%2Ffull-record%2FWOS:001165689800001","View Full Record in Web of Science")</f>
        <v>View Full Record in Web of Science</v>
      </c>
    </row>
    <row r="375" spans="1:72" x14ac:dyDescent="0.15">
      <c r="A375" t="s">
        <v>72</v>
      </c>
      <c r="B375" t="s">
        <v>7337</v>
      </c>
      <c r="C375" t="s">
        <v>74</v>
      </c>
      <c r="D375" t="s">
        <v>74</v>
      </c>
      <c r="E375" t="s">
        <v>74</v>
      </c>
      <c r="F375" t="s">
        <v>7338</v>
      </c>
      <c r="G375" t="s">
        <v>74</v>
      </c>
      <c r="H375" t="s">
        <v>74</v>
      </c>
      <c r="I375" t="s">
        <v>7339</v>
      </c>
      <c r="J375" t="s">
        <v>2389</v>
      </c>
      <c r="K375" t="s">
        <v>74</v>
      </c>
      <c r="L375" t="s">
        <v>74</v>
      </c>
      <c r="M375" t="s">
        <v>78</v>
      </c>
      <c r="N375" t="s">
        <v>3749</v>
      </c>
      <c r="O375" t="s">
        <v>74</v>
      </c>
      <c r="P375" t="s">
        <v>74</v>
      </c>
      <c r="Q375" t="s">
        <v>74</v>
      </c>
      <c r="R375" t="s">
        <v>74</v>
      </c>
      <c r="S375" t="s">
        <v>74</v>
      </c>
      <c r="T375" t="s">
        <v>74</v>
      </c>
      <c r="U375" t="s">
        <v>7340</v>
      </c>
      <c r="V375" t="s">
        <v>7341</v>
      </c>
      <c r="W375" t="s">
        <v>7342</v>
      </c>
      <c r="X375" t="s">
        <v>7343</v>
      </c>
      <c r="Y375" t="s">
        <v>7344</v>
      </c>
      <c r="Z375" t="s">
        <v>7345</v>
      </c>
      <c r="AA375" t="s">
        <v>74</v>
      </c>
      <c r="AB375" t="s">
        <v>7346</v>
      </c>
      <c r="AC375" t="s">
        <v>7347</v>
      </c>
      <c r="AD375" t="s">
        <v>7348</v>
      </c>
      <c r="AE375" t="s">
        <v>7349</v>
      </c>
      <c r="AF375" t="s">
        <v>74</v>
      </c>
      <c r="AG375">
        <v>48</v>
      </c>
      <c r="AH375">
        <v>2</v>
      </c>
      <c r="AI375">
        <v>2</v>
      </c>
      <c r="AJ375">
        <v>2</v>
      </c>
      <c r="AK375">
        <v>2</v>
      </c>
      <c r="AL375" t="s">
        <v>1838</v>
      </c>
      <c r="AM375" t="s">
        <v>1839</v>
      </c>
      <c r="AN375" t="s">
        <v>1840</v>
      </c>
      <c r="AO375" t="s">
        <v>2400</v>
      </c>
      <c r="AP375" t="s">
        <v>2401</v>
      </c>
      <c r="AQ375" t="s">
        <v>74</v>
      </c>
      <c r="AR375" t="s">
        <v>2402</v>
      </c>
      <c r="AS375" t="s">
        <v>2403</v>
      </c>
      <c r="AT375" t="s">
        <v>7261</v>
      </c>
      <c r="AU375">
        <v>2023</v>
      </c>
      <c r="AV375">
        <v>15</v>
      </c>
      <c r="AW375">
        <v>11</v>
      </c>
      <c r="AX375" t="s">
        <v>74</v>
      </c>
      <c r="AY375" t="s">
        <v>74</v>
      </c>
      <c r="AZ375" t="s">
        <v>74</v>
      </c>
      <c r="BA375" t="s">
        <v>74</v>
      </c>
      <c r="BB375">
        <v>5183</v>
      </c>
      <c r="BC375">
        <v>5206</v>
      </c>
      <c r="BD375" t="s">
        <v>74</v>
      </c>
      <c r="BE375" t="s">
        <v>7350</v>
      </c>
      <c r="BF375" t="str">
        <f>HYPERLINK("http://dx.doi.org/10.5194/essd-15-5183-2023","http://dx.doi.org/10.5194/essd-15-5183-2023")</f>
        <v>http://dx.doi.org/10.5194/essd-15-5183-2023</v>
      </c>
      <c r="BG375" t="s">
        <v>74</v>
      </c>
      <c r="BH375" t="s">
        <v>74</v>
      </c>
      <c r="BI375">
        <v>24</v>
      </c>
      <c r="BJ375" t="s">
        <v>2405</v>
      </c>
      <c r="BK375" t="s">
        <v>100</v>
      </c>
      <c r="BL375" t="s">
        <v>2406</v>
      </c>
      <c r="BM375" t="s">
        <v>7351</v>
      </c>
      <c r="BN375" t="s">
        <v>74</v>
      </c>
      <c r="BO375" t="s">
        <v>183</v>
      </c>
      <c r="BP375" t="s">
        <v>74</v>
      </c>
      <c r="BQ375" t="s">
        <v>74</v>
      </c>
      <c r="BR375" t="s">
        <v>104</v>
      </c>
      <c r="BS375" t="s">
        <v>7352</v>
      </c>
      <c r="BT375" t="str">
        <f>HYPERLINK("https%3A%2F%2Fwww.webofscience.com%2Fwos%2Fwoscc%2Ffull-record%2FWOS:001167579900001","View Full Record in Web of Science")</f>
        <v>View Full Record in Web of Science</v>
      </c>
    </row>
    <row r="376" spans="1:72" x14ac:dyDescent="0.15">
      <c r="A376" t="s">
        <v>72</v>
      </c>
      <c r="B376" t="s">
        <v>7353</v>
      </c>
      <c r="C376" t="s">
        <v>74</v>
      </c>
      <c r="D376" t="s">
        <v>74</v>
      </c>
      <c r="E376" t="s">
        <v>74</v>
      </c>
      <c r="F376" t="s">
        <v>7354</v>
      </c>
      <c r="G376" t="s">
        <v>74</v>
      </c>
      <c r="H376" t="s">
        <v>74</v>
      </c>
      <c r="I376" t="s">
        <v>7355</v>
      </c>
      <c r="J376" t="s">
        <v>1195</v>
      </c>
      <c r="K376" t="s">
        <v>74</v>
      </c>
      <c r="L376" t="s">
        <v>74</v>
      </c>
      <c r="M376" t="s">
        <v>78</v>
      </c>
      <c r="N376" t="s">
        <v>79</v>
      </c>
      <c r="O376" t="s">
        <v>74</v>
      </c>
      <c r="P376" t="s">
        <v>74</v>
      </c>
      <c r="Q376" t="s">
        <v>74</v>
      </c>
      <c r="R376" t="s">
        <v>74</v>
      </c>
      <c r="S376" t="s">
        <v>74</v>
      </c>
      <c r="T376" t="s">
        <v>7356</v>
      </c>
      <c r="U376" t="s">
        <v>7357</v>
      </c>
      <c r="V376" t="s">
        <v>7358</v>
      </c>
      <c r="W376" t="s">
        <v>7359</v>
      </c>
      <c r="X376" t="s">
        <v>7360</v>
      </c>
      <c r="Y376" t="s">
        <v>7361</v>
      </c>
      <c r="Z376" t="s">
        <v>7362</v>
      </c>
      <c r="AA376" t="s">
        <v>7363</v>
      </c>
      <c r="AB376" t="s">
        <v>7364</v>
      </c>
      <c r="AC376" t="s">
        <v>7365</v>
      </c>
      <c r="AD376" t="s">
        <v>7366</v>
      </c>
      <c r="AE376" t="s">
        <v>7367</v>
      </c>
      <c r="AF376" t="s">
        <v>74</v>
      </c>
      <c r="AG376">
        <v>60</v>
      </c>
      <c r="AH376">
        <v>1</v>
      </c>
      <c r="AI376">
        <v>1</v>
      </c>
      <c r="AJ376">
        <v>2</v>
      </c>
      <c r="AK376">
        <v>2</v>
      </c>
      <c r="AL376" t="s">
        <v>1208</v>
      </c>
      <c r="AM376" t="s">
        <v>1209</v>
      </c>
      <c r="AN376" t="s">
        <v>1210</v>
      </c>
      <c r="AO376" t="s">
        <v>1211</v>
      </c>
      <c r="AP376" t="s">
        <v>1212</v>
      </c>
      <c r="AQ376" t="s">
        <v>74</v>
      </c>
      <c r="AR376" t="s">
        <v>1213</v>
      </c>
      <c r="AS376" t="s">
        <v>1214</v>
      </c>
      <c r="AT376" t="s">
        <v>7261</v>
      </c>
      <c r="AU376">
        <v>2023</v>
      </c>
      <c r="AV376">
        <v>50</v>
      </c>
      <c r="AW376">
        <v>22</v>
      </c>
      <c r="AX376" t="s">
        <v>74</v>
      </c>
      <c r="AY376" t="s">
        <v>74</v>
      </c>
      <c r="AZ376" t="s">
        <v>74</v>
      </c>
      <c r="BA376" t="s">
        <v>74</v>
      </c>
      <c r="BB376" t="s">
        <v>74</v>
      </c>
      <c r="BC376" t="s">
        <v>74</v>
      </c>
      <c r="BD376" t="s">
        <v>7368</v>
      </c>
      <c r="BE376" t="s">
        <v>7369</v>
      </c>
      <c r="BF376" t="str">
        <f>HYPERLINK("http://dx.doi.org/10.1029/2023GL105673","http://dx.doi.org/10.1029/2023GL105673")</f>
        <v>http://dx.doi.org/10.1029/2023GL105673</v>
      </c>
      <c r="BG376" t="s">
        <v>74</v>
      </c>
      <c r="BH376" t="s">
        <v>74</v>
      </c>
      <c r="BI376">
        <v>11</v>
      </c>
      <c r="BJ376" t="s">
        <v>535</v>
      </c>
      <c r="BK376" t="s">
        <v>100</v>
      </c>
      <c r="BL376" t="s">
        <v>536</v>
      </c>
      <c r="BM376" t="s">
        <v>7370</v>
      </c>
      <c r="BN376" t="s">
        <v>74</v>
      </c>
      <c r="BO376" t="s">
        <v>3040</v>
      </c>
      <c r="BP376" t="s">
        <v>74</v>
      </c>
      <c r="BQ376" t="s">
        <v>74</v>
      </c>
      <c r="BR376" t="s">
        <v>104</v>
      </c>
      <c r="BS376" t="s">
        <v>7371</v>
      </c>
      <c r="BT376" t="str">
        <f>HYPERLINK("https%3A%2F%2Fwww.webofscience.com%2Fwos%2Fwoscc%2Ffull-record%2FWOS:001124349900001","View Full Record in Web of Science")</f>
        <v>View Full Record in Web of Science</v>
      </c>
    </row>
    <row r="377" spans="1:72" x14ac:dyDescent="0.15">
      <c r="A377" t="s">
        <v>72</v>
      </c>
      <c r="B377" t="s">
        <v>7372</v>
      </c>
      <c r="C377" t="s">
        <v>74</v>
      </c>
      <c r="D377" t="s">
        <v>74</v>
      </c>
      <c r="E377" t="s">
        <v>74</v>
      </c>
      <c r="F377" t="s">
        <v>7373</v>
      </c>
      <c r="G377" t="s">
        <v>74</v>
      </c>
      <c r="H377" t="s">
        <v>74</v>
      </c>
      <c r="I377" t="s">
        <v>7374</v>
      </c>
      <c r="J377" t="s">
        <v>7375</v>
      </c>
      <c r="K377" t="s">
        <v>74</v>
      </c>
      <c r="L377" t="s">
        <v>74</v>
      </c>
      <c r="M377" t="s">
        <v>78</v>
      </c>
      <c r="N377" t="s">
        <v>79</v>
      </c>
      <c r="O377" t="s">
        <v>74</v>
      </c>
      <c r="P377" t="s">
        <v>74</v>
      </c>
      <c r="Q377" t="s">
        <v>74</v>
      </c>
      <c r="R377" t="s">
        <v>74</v>
      </c>
      <c r="S377" t="s">
        <v>74</v>
      </c>
      <c r="T377" t="s">
        <v>7376</v>
      </c>
      <c r="U377" t="s">
        <v>7377</v>
      </c>
      <c r="V377" t="s">
        <v>7378</v>
      </c>
      <c r="W377" t="s">
        <v>7379</v>
      </c>
      <c r="X377" t="s">
        <v>7380</v>
      </c>
      <c r="Y377" t="s">
        <v>7381</v>
      </c>
      <c r="Z377" t="s">
        <v>7382</v>
      </c>
      <c r="AA377" t="s">
        <v>74</v>
      </c>
      <c r="AB377" t="s">
        <v>74</v>
      </c>
      <c r="AC377" t="s">
        <v>7383</v>
      </c>
      <c r="AD377" t="s">
        <v>7384</v>
      </c>
      <c r="AE377" t="s">
        <v>7385</v>
      </c>
      <c r="AF377" t="s">
        <v>74</v>
      </c>
      <c r="AG377">
        <v>63</v>
      </c>
      <c r="AH377">
        <v>0</v>
      </c>
      <c r="AI377">
        <v>0</v>
      </c>
      <c r="AJ377">
        <v>13</v>
      </c>
      <c r="AK377">
        <v>13</v>
      </c>
      <c r="AL377" t="s">
        <v>947</v>
      </c>
      <c r="AM377" t="s">
        <v>948</v>
      </c>
      <c r="AN377" t="s">
        <v>949</v>
      </c>
      <c r="AO377" t="s">
        <v>7386</v>
      </c>
      <c r="AP377" t="s">
        <v>7387</v>
      </c>
      <c r="AQ377" t="s">
        <v>74</v>
      </c>
      <c r="AR377" t="s">
        <v>7388</v>
      </c>
      <c r="AS377" t="s">
        <v>7389</v>
      </c>
      <c r="AT377" t="s">
        <v>1947</v>
      </c>
      <c r="AU377">
        <v>2023</v>
      </c>
      <c r="AV377">
        <v>56</v>
      </c>
      <c r="AW377" t="s">
        <v>74</v>
      </c>
      <c r="AX377" t="s">
        <v>74</v>
      </c>
      <c r="AY377" t="s">
        <v>74</v>
      </c>
      <c r="AZ377" t="s">
        <v>74</v>
      </c>
      <c r="BA377" t="s">
        <v>74</v>
      </c>
      <c r="BB377" t="s">
        <v>74</v>
      </c>
      <c r="BC377" t="s">
        <v>74</v>
      </c>
      <c r="BD377">
        <v>103379</v>
      </c>
      <c r="BE377" t="s">
        <v>7390</v>
      </c>
      <c r="BF377" t="str">
        <f>HYPERLINK("http://dx.doi.org/10.1016/j.fbio.2023.103379","http://dx.doi.org/10.1016/j.fbio.2023.103379")</f>
        <v>http://dx.doi.org/10.1016/j.fbio.2023.103379</v>
      </c>
      <c r="BG377" t="s">
        <v>74</v>
      </c>
      <c r="BH377" t="s">
        <v>6982</v>
      </c>
      <c r="BI377">
        <v>11</v>
      </c>
      <c r="BJ377" t="s">
        <v>6029</v>
      </c>
      <c r="BK377" t="s">
        <v>100</v>
      </c>
      <c r="BL377" t="s">
        <v>6029</v>
      </c>
      <c r="BM377" t="s">
        <v>7391</v>
      </c>
      <c r="BN377" t="s">
        <v>74</v>
      </c>
      <c r="BO377" t="s">
        <v>74</v>
      </c>
      <c r="BP377" t="s">
        <v>74</v>
      </c>
      <c r="BQ377" t="s">
        <v>74</v>
      </c>
      <c r="BR377" t="s">
        <v>104</v>
      </c>
      <c r="BS377" t="s">
        <v>7392</v>
      </c>
      <c r="BT377" t="str">
        <f>HYPERLINK("https%3A%2F%2Fwww.webofscience.com%2Fwos%2Fwoscc%2Ffull-record%2FWOS:001131687300001","View Full Record in Web of Science")</f>
        <v>View Full Record in Web of Science</v>
      </c>
    </row>
    <row r="378" spans="1:72" x14ac:dyDescent="0.15">
      <c r="A378" t="s">
        <v>72</v>
      </c>
      <c r="B378" t="s">
        <v>7393</v>
      </c>
      <c r="C378" t="s">
        <v>74</v>
      </c>
      <c r="D378" t="s">
        <v>74</v>
      </c>
      <c r="E378" t="s">
        <v>74</v>
      </c>
      <c r="F378" t="s">
        <v>7394</v>
      </c>
      <c r="G378" t="s">
        <v>74</v>
      </c>
      <c r="H378" t="s">
        <v>74</v>
      </c>
      <c r="I378" t="s">
        <v>7395</v>
      </c>
      <c r="J378" t="s">
        <v>7396</v>
      </c>
      <c r="K378" t="s">
        <v>74</v>
      </c>
      <c r="L378" t="s">
        <v>74</v>
      </c>
      <c r="M378" t="s">
        <v>78</v>
      </c>
      <c r="N378" t="s">
        <v>79</v>
      </c>
      <c r="O378" t="s">
        <v>74</v>
      </c>
      <c r="P378" t="s">
        <v>74</v>
      </c>
      <c r="Q378" t="s">
        <v>74</v>
      </c>
      <c r="R378" t="s">
        <v>74</v>
      </c>
      <c r="S378" t="s">
        <v>74</v>
      </c>
      <c r="T378" t="s">
        <v>7397</v>
      </c>
      <c r="U378" t="s">
        <v>7398</v>
      </c>
      <c r="V378" t="s">
        <v>7399</v>
      </c>
      <c r="W378" t="s">
        <v>7400</v>
      </c>
      <c r="X378" t="s">
        <v>7401</v>
      </c>
      <c r="Y378" t="s">
        <v>7402</v>
      </c>
      <c r="Z378" t="s">
        <v>7403</v>
      </c>
      <c r="AA378" t="s">
        <v>7404</v>
      </c>
      <c r="AB378" t="s">
        <v>7405</v>
      </c>
      <c r="AC378" t="s">
        <v>7406</v>
      </c>
      <c r="AD378" t="s">
        <v>7407</v>
      </c>
      <c r="AE378" t="s">
        <v>7408</v>
      </c>
      <c r="AF378" t="s">
        <v>74</v>
      </c>
      <c r="AG378">
        <v>44</v>
      </c>
      <c r="AH378">
        <v>0</v>
      </c>
      <c r="AI378">
        <v>0</v>
      </c>
      <c r="AJ378">
        <v>32</v>
      </c>
      <c r="AK378">
        <v>32</v>
      </c>
      <c r="AL378" t="s">
        <v>947</v>
      </c>
      <c r="AM378" t="s">
        <v>948</v>
      </c>
      <c r="AN378" t="s">
        <v>949</v>
      </c>
      <c r="AO378" t="s">
        <v>7409</v>
      </c>
      <c r="AP378" t="s">
        <v>7410</v>
      </c>
      <c r="AQ378" t="s">
        <v>74</v>
      </c>
      <c r="AR378" t="s">
        <v>7411</v>
      </c>
      <c r="AS378" t="s">
        <v>7412</v>
      </c>
      <c r="AT378" t="s">
        <v>954</v>
      </c>
      <c r="AU378">
        <v>2024</v>
      </c>
      <c r="AV378">
        <v>256</v>
      </c>
      <c r="AW378" t="s">
        <v>74</v>
      </c>
      <c r="AX378">
        <v>1</v>
      </c>
      <c r="AY378" t="s">
        <v>74</v>
      </c>
      <c r="AZ378" t="s">
        <v>74</v>
      </c>
      <c r="BA378" t="s">
        <v>74</v>
      </c>
      <c r="BB378" t="s">
        <v>74</v>
      </c>
      <c r="BC378" t="s">
        <v>74</v>
      </c>
      <c r="BD378">
        <v>128391</v>
      </c>
      <c r="BE378" t="s">
        <v>7413</v>
      </c>
      <c r="BF378" t="str">
        <f>HYPERLINK("http://dx.doi.org/10.1016/j.ijbiomac.2023.128391","http://dx.doi.org/10.1016/j.ijbiomac.2023.128391")</f>
        <v>http://dx.doi.org/10.1016/j.ijbiomac.2023.128391</v>
      </c>
      <c r="BG378" t="s">
        <v>74</v>
      </c>
      <c r="BH378" t="s">
        <v>6982</v>
      </c>
      <c r="BI378">
        <v>12</v>
      </c>
      <c r="BJ378" t="s">
        <v>7414</v>
      </c>
      <c r="BK378" t="s">
        <v>100</v>
      </c>
      <c r="BL378" t="s">
        <v>7415</v>
      </c>
      <c r="BM378" t="s">
        <v>7416</v>
      </c>
      <c r="BN378">
        <v>38029892</v>
      </c>
      <c r="BO378" t="s">
        <v>74</v>
      </c>
      <c r="BP378" t="s">
        <v>74</v>
      </c>
      <c r="BQ378" t="s">
        <v>74</v>
      </c>
      <c r="BR378" t="s">
        <v>104</v>
      </c>
      <c r="BS378" t="s">
        <v>7417</v>
      </c>
      <c r="BT378" t="str">
        <f>HYPERLINK("https%3A%2F%2Fwww.webofscience.com%2Fwos%2Fwoscc%2Ffull-record%2FWOS:001131838100001","View Full Record in Web of Science")</f>
        <v>View Full Record in Web of Science</v>
      </c>
    </row>
    <row r="379" spans="1:72" x14ac:dyDescent="0.15">
      <c r="A379" t="s">
        <v>72</v>
      </c>
      <c r="B379" t="s">
        <v>7418</v>
      </c>
      <c r="C379" t="s">
        <v>74</v>
      </c>
      <c r="D379" t="s">
        <v>74</v>
      </c>
      <c r="E379" t="s">
        <v>74</v>
      </c>
      <c r="F379" t="s">
        <v>7419</v>
      </c>
      <c r="G379" t="s">
        <v>74</v>
      </c>
      <c r="H379" t="s">
        <v>74</v>
      </c>
      <c r="I379" t="s">
        <v>7420</v>
      </c>
      <c r="J379" t="s">
        <v>7421</v>
      </c>
      <c r="K379" t="s">
        <v>74</v>
      </c>
      <c r="L379" t="s">
        <v>74</v>
      </c>
      <c r="M379" t="s">
        <v>78</v>
      </c>
      <c r="N379" t="s">
        <v>79</v>
      </c>
      <c r="O379" t="s">
        <v>74</v>
      </c>
      <c r="P379" t="s">
        <v>74</v>
      </c>
      <c r="Q379" t="s">
        <v>74</v>
      </c>
      <c r="R379" t="s">
        <v>74</v>
      </c>
      <c r="S379" t="s">
        <v>74</v>
      </c>
      <c r="T379" t="s">
        <v>7422</v>
      </c>
      <c r="U379" t="s">
        <v>7423</v>
      </c>
      <c r="V379" t="s">
        <v>7424</v>
      </c>
      <c r="W379" t="s">
        <v>7425</v>
      </c>
      <c r="X379" t="s">
        <v>7426</v>
      </c>
      <c r="Y379" t="s">
        <v>7427</v>
      </c>
      <c r="Z379" t="s">
        <v>7428</v>
      </c>
      <c r="AA379" t="s">
        <v>7429</v>
      </c>
      <c r="AB379" t="s">
        <v>7430</v>
      </c>
      <c r="AC379" t="s">
        <v>7431</v>
      </c>
      <c r="AD379" t="s">
        <v>7432</v>
      </c>
      <c r="AE379" t="s">
        <v>7433</v>
      </c>
      <c r="AF379" t="s">
        <v>74</v>
      </c>
      <c r="AG379">
        <v>98</v>
      </c>
      <c r="AH379">
        <v>0</v>
      </c>
      <c r="AI379">
        <v>0</v>
      </c>
      <c r="AJ379">
        <v>10</v>
      </c>
      <c r="AK379">
        <v>10</v>
      </c>
      <c r="AL379" t="s">
        <v>975</v>
      </c>
      <c r="AM379" t="s">
        <v>976</v>
      </c>
      <c r="AN379" t="s">
        <v>977</v>
      </c>
      <c r="AO379" t="s">
        <v>7434</v>
      </c>
      <c r="AP379" t="s">
        <v>7435</v>
      </c>
      <c r="AQ379" t="s">
        <v>74</v>
      </c>
      <c r="AR379" t="s">
        <v>7436</v>
      </c>
      <c r="AS379" t="s">
        <v>7437</v>
      </c>
      <c r="AT379" t="s">
        <v>954</v>
      </c>
      <c r="AU379">
        <v>2024</v>
      </c>
      <c r="AV379">
        <v>188</v>
      </c>
      <c r="AW379" t="s">
        <v>74</v>
      </c>
      <c r="AX379" t="s">
        <v>74</v>
      </c>
      <c r="AY379" t="s">
        <v>74</v>
      </c>
      <c r="AZ379" t="s">
        <v>74</v>
      </c>
      <c r="BA379" t="s">
        <v>74</v>
      </c>
      <c r="BB379" t="s">
        <v>74</v>
      </c>
      <c r="BC379" t="s">
        <v>74</v>
      </c>
      <c r="BD379">
        <v>109249</v>
      </c>
      <c r="BE379" t="s">
        <v>7438</v>
      </c>
      <c r="BF379" t="str">
        <f>HYPERLINK("http://dx.doi.org/10.1016/j.soilbio.2023.109249","http://dx.doi.org/10.1016/j.soilbio.2023.109249")</f>
        <v>http://dx.doi.org/10.1016/j.soilbio.2023.109249</v>
      </c>
      <c r="BG379" t="s">
        <v>74</v>
      </c>
      <c r="BH379" t="s">
        <v>6982</v>
      </c>
      <c r="BI379">
        <v>12</v>
      </c>
      <c r="BJ379" t="s">
        <v>7439</v>
      </c>
      <c r="BK379" t="s">
        <v>100</v>
      </c>
      <c r="BL379" t="s">
        <v>6049</v>
      </c>
      <c r="BM379" t="s">
        <v>7440</v>
      </c>
      <c r="BN379" t="s">
        <v>74</v>
      </c>
      <c r="BO379" t="s">
        <v>74</v>
      </c>
      <c r="BP379" t="s">
        <v>74</v>
      </c>
      <c r="BQ379" t="s">
        <v>74</v>
      </c>
      <c r="BR379" t="s">
        <v>104</v>
      </c>
      <c r="BS379" t="s">
        <v>7441</v>
      </c>
      <c r="BT379" t="str">
        <f>HYPERLINK("https%3A%2F%2Fwww.webofscience.com%2Fwos%2Fwoscc%2Ffull-record%2FWOS:001127633200001","View Full Record in Web of Science")</f>
        <v>View Full Record in Web of Science</v>
      </c>
    </row>
    <row r="380" spans="1:72" x14ac:dyDescent="0.15">
      <c r="A380" t="s">
        <v>72</v>
      </c>
      <c r="B380" t="s">
        <v>7442</v>
      </c>
      <c r="C380" t="s">
        <v>74</v>
      </c>
      <c r="D380" t="s">
        <v>74</v>
      </c>
      <c r="E380" t="s">
        <v>74</v>
      </c>
      <c r="F380" t="s">
        <v>7443</v>
      </c>
      <c r="G380" t="s">
        <v>74</v>
      </c>
      <c r="H380" t="s">
        <v>74</v>
      </c>
      <c r="I380" t="s">
        <v>7444</v>
      </c>
      <c r="J380" t="s">
        <v>1746</v>
      </c>
      <c r="K380" t="s">
        <v>74</v>
      </c>
      <c r="L380" t="s">
        <v>74</v>
      </c>
      <c r="M380" t="s">
        <v>78</v>
      </c>
      <c r="N380" t="s">
        <v>441</v>
      </c>
      <c r="O380" t="s">
        <v>74</v>
      </c>
      <c r="P380" t="s">
        <v>74</v>
      </c>
      <c r="Q380" t="s">
        <v>74</v>
      </c>
      <c r="R380" t="s">
        <v>74</v>
      </c>
      <c r="S380" t="s">
        <v>74</v>
      </c>
      <c r="T380" t="s">
        <v>7445</v>
      </c>
      <c r="U380" t="s">
        <v>7446</v>
      </c>
      <c r="V380" t="s">
        <v>7447</v>
      </c>
      <c r="W380" t="s">
        <v>7448</v>
      </c>
      <c r="X380" t="s">
        <v>7449</v>
      </c>
      <c r="Y380" t="s">
        <v>7450</v>
      </c>
      <c r="Z380" t="s">
        <v>7451</v>
      </c>
      <c r="AA380" t="s">
        <v>7452</v>
      </c>
      <c r="AB380" t="s">
        <v>7453</v>
      </c>
      <c r="AC380" t="s">
        <v>74</v>
      </c>
      <c r="AD380" t="s">
        <v>74</v>
      </c>
      <c r="AE380" t="s">
        <v>74</v>
      </c>
      <c r="AF380" t="s">
        <v>74</v>
      </c>
      <c r="AG380">
        <v>136</v>
      </c>
      <c r="AH380">
        <v>0</v>
      </c>
      <c r="AI380">
        <v>0</v>
      </c>
      <c r="AJ380">
        <v>3</v>
      </c>
      <c r="AK380">
        <v>3</v>
      </c>
      <c r="AL380" t="s">
        <v>1758</v>
      </c>
      <c r="AM380" t="s">
        <v>1759</v>
      </c>
      <c r="AN380" t="s">
        <v>1760</v>
      </c>
      <c r="AO380" t="s">
        <v>74</v>
      </c>
      <c r="AP380" t="s">
        <v>1761</v>
      </c>
      <c r="AQ380" t="s">
        <v>74</v>
      </c>
      <c r="AR380" t="s">
        <v>1762</v>
      </c>
      <c r="AS380" t="s">
        <v>1763</v>
      </c>
      <c r="AT380" t="s">
        <v>7261</v>
      </c>
      <c r="AU380">
        <v>2023</v>
      </c>
      <c r="AV380">
        <v>10</v>
      </c>
      <c r="AW380" t="s">
        <v>74</v>
      </c>
      <c r="AX380" t="s">
        <v>74</v>
      </c>
      <c r="AY380" t="s">
        <v>74</v>
      </c>
      <c r="AZ380" t="s">
        <v>74</v>
      </c>
      <c r="BA380" t="s">
        <v>74</v>
      </c>
      <c r="BB380" t="s">
        <v>74</v>
      </c>
      <c r="BC380" t="s">
        <v>74</v>
      </c>
      <c r="BD380">
        <v>1241023</v>
      </c>
      <c r="BE380" t="s">
        <v>7454</v>
      </c>
      <c r="BF380" t="str">
        <f>HYPERLINK("http://dx.doi.org/10.3389/fmars.2023.1241023","http://dx.doi.org/10.3389/fmars.2023.1241023")</f>
        <v>http://dx.doi.org/10.3389/fmars.2023.1241023</v>
      </c>
      <c r="BG380" t="s">
        <v>74</v>
      </c>
      <c r="BH380" t="s">
        <v>74</v>
      </c>
      <c r="BI380">
        <v>20</v>
      </c>
      <c r="BJ380" t="s">
        <v>1135</v>
      </c>
      <c r="BK380" t="s">
        <v>100</v>
      </c>
      <c r="BL380" t="s">
        <v>1136</v>
      </c>
      <c r="BM380" t="s">
        <v>7455</v>
      </c>
      <c r="BN380" t="s">
        <v>74</v>
      </c>
      <c r="BO380" t="s">
        <v>4144</v>
      </c>
      <c r="BP380" t="s">
        <v>74</v>
      </c>
      <c r="BQ380" t="s">
        <v>74</v>
      </c>
      <c r="BR380" t="s">
        <v>104</v>
      </c>
      <c r="BS380" t="s">
        <v>7456</v>
      </c>
      <c r="BT380" t="str">
        <f>HYPERLINK("https%3A%2F%2Fwww.webofscience.com%2Fwos%2Fwoscc%2Ffull-record%2FWOS:001122464400001","View Full Record in Web of Science")</f>
        <v>View Full Record in Web of Science</v>
      </c>
    </row>
    <row r="381" spans="1:72" x14ac:dyDescent="0.15">
      <c r="A381" t="s">
        <v>72</v>
      </c>
      <c r="B381" t="s">
        <v>7457</v>
      </c>
      <c r="C381" t="s">
        <v>74</v>
      </c>
      <c r="D381" t="s">
        <v>74</v>
      </c>
      <c r="E381" t="s">
        <v>74</v>
      </c>
      <c r="F381" t="s">
        <v>7458</v>
      </c>
      <c r="G381" t="s">
        <v>74</v>
      </c>
      <c r="H381" t="s">
        <v>74</v>
      </c>
      <c r="I381" t="s">
        <v>7459</v>
      </c>
      <c r="J381" t="s">
        <v>7460</v>
      </c>
      <c r="K381" t="s">
        <v>74</v>
      </c>
      <c r="L381" t="s">
        <v>74</v>
      </c>
      <c r="M381" t="s">
        <v>78</v>
      </c>
      <c r="N381" t="s">
        <v>79</v>
      </c>
      <c r="O381" t="s">
        <v>74</v>
      </c>
      <c r="P381" t="s">
        <v>74</v>
      </c>
      <c r="Q381" t="s">
        <v>74</v>
      </c>
      <c r="R381" t="s">
        <v>74</v>
      </c>
      <c r="S381" t="s">
        <v>74</v>
      </c>
      <c r="T381" t="s">
        <v>7461</v>
      </c>
      <c r="U381" t="s">
        <v>7462</v>
      </c>
      <c r="V381" t="s">
        <v>7463</v>
      </c>
      <c r="W381" t="s">
        <v>7464</v>
      </c>
      <c r="X381" t="s">
        <v>7465</v>
      </c>
      <c r="Y381" t="s">
        <v>7466</v>
      </c>
      <c r="Z381" t="s">
        <v>7467</v>
      </c>
      <c r="AA381" t="s">
        <v>74</v>
      </c>
      <c r="AB381" t="s">
        <v>7468</v>
      </c>
      <c r="AC381" t="s">
        <v>7469</v>
      </c>
      <c r="AD381" t="s">
        <v>7470</v>
      </c>
      <c r="AE381" t="s">
        <v>7471</v>
      </c>
      <c r="AF381" t="s">
        <v>74</v>
      </c>
      <c r="AG381">
        <v>48</v>
      </c>
      <c r="AH381">
        <v>0</v>
      </c>
      <c r="AI381">
        <v>0</v>
      </c>
      <c r="AJ381">
        <v>0</v>
      </c>
      <c r="AK381">
        <v>0</v>
      </c>
      <c r="AL381" t="s">
        <v>1880</v>
      </c>
      <c r="AM381" t="s">
        <v>1881</v>
      </c>
      <c r="AN381" t="s">
        <v>1882</v>
      </c>
      <c r="AO381" t="s">
        <v>7472</v>
      </c>
      <c r="AP381" t="s">
        <v>7473</v>
      </c>
      <c r="AQ381" t="s">
        <v>74</v>
      </c>
      <c r="AR381" t="s">
        <v>7460</v>
      </c>
      <c r="AS381" t="s">
        <v>7474</v>
      </c>
      <c r="AT381" t="s">
        <v>7261</v>
      </c>
      <c r="AU381">
        <v>2023</v>
      </c>
      <c r="AV381" t="s">
        <v>74</v>
      </c>
      <c r="AW381">
        <v>1185</v>
      </c>
      <c r="AX381" t="s">
        <v>74</v>
      </c>
      <c r="AY381" t="s">
        <v>74</v>
      </c>
      <c r="AZ381" t="s">
        <v>74</v>
      </c>
      <c r="BA381" t="s">
        <v>74</v>
      </c>
      <c r="BB381">
        <v>163</v>
      </c>
      <c r="BC381">
        <v>180</v>
      </c>
      <c r="BD381" t="s">
        <v>74</v>
      </c>
      <c r="BE381" t="s">
        <v>7475</v>
      </c>
      <c r="BF381" t="str">
        <f>HYPERLINK("http://dx.doi.org/10.3897/zookeys.1185.108286","http://dx.doi.org/10.3897/zookeys.1185.108286")</f>
        <v>http://dx.doi.org/10.3897/zookeys.1185.108286</v>
      </c>
      <c r="BG381" t="s">
        <v>74</v>
      </c>
      <c r="BH381" t="s">
        <v>74</v>
      </c>
      <c r="BI381">
        <v>18</v>
      </c>
      <c r="BJ381" t="s">
        <v>1568</v>
      </c>
      <c r="BK381" t="s">
        <v>100</v>
      </c>
      <c r="BL381" t="s">
        <v>1568</v>
      </c>
      <c r="BM381" t="s">
        <v>7476</v>
      </c>
      <c r="BN381">
        <v>38074904</v>
      </c>
      <c r="BO381" t="s">
        <v>131</v>
      </c>
      <c r="BP381" t="s">
        <v>74</v>
      </c>
      <c r="BQ381" t="s">
        <v>74</v>
      </c>
      <c r="BR381" t="s">
        <v>104</v>
      </c>
      <c r="BS381" t="s">
        <v>7477</v>
      </c>
      <c r="BT381" t="str">
        <f>HYPERLINK("https%3A%2F%2Fwww.webofscience.com%2Fwos%2Fwoscc%2Ffull-record%2FWOS:001116829200001","View Full Record in Web of Science")</f>
        <v>View Full Record in Web of Science</v>
      </c>
    </row>
    <row r="382" spans="1:72" x14ac:dyDescent="0.15">
      <c r="A382" t="s">
        <v>72</v>
      </c>
      <c r="B382" t="s">
        <v>7478</v>
      </c>
      <c r="C382" t="s">
        <v>74</v>
      </c>
      <c r="D382" t="s">
        <v>74</v>
      </c>
      <c r="E382" t="s">
        <v>74</v>
      </c>
      <c r="F382" t="s">
        <v>7479</v>
      </c>
      <c r="G382" t="s">
        <v>74</v>
      </c>
      <c r="H382" t="s">
        <v>74</v>
      </c>
      <c r="I382" t="s">
        <v>7480</v>
      </c>
      <c r="J382" t="s">
        <v>1195</v>
      </c>
      <c r="K382" t="s">
        <v>74</v>
      </c>
      <c r="L382" t="s">
        <v>74</v>
      </c>
      <c r="M382" t="s">
        <v>78</v>
      </c>
      <c r="N382" t="s">
        <v>79</v>
      </c>
      <c r="O382" t="s">
        <v>74</v>
      </c>
      <c r="P382" t="s">
        <v>74</v>
      </c>
      <c r="Q382" t="s">
        <v>74</v>
      </c>
      <c r="R382" t="s">
        <v>74</v>
      </c>
      <c r="S382" t="s">
        <v>74</v>
      </c>
      <c r="T382" t="s">
        <v>74</v>
      </c>
      <c r="U382" t="s">
        <v>7481</v>
      </c>
      <c r="V382" t="s">
        <v>7482</v>
      </c>
      <c r="W382" t="s">
        <v>7483</v>
      </c>
      <c r="X382" t="s">
        <v>7484</v>
      </c>
      <c r="Y382" t="s">
        <v>3149</v>
      </c>
      <c r="Z382" t="s">
        <v>3150</v>
      </c>
      <c r="AA382" t="s">
        <v>7485</v>
      </c>
      <c r="AB382" t="s">
        <v>7486</v>
      </c>
      <c r="AC382" t="s">
        <v>7487</v>
      </c>
      <c r="AD382" t="s">
        <v>7488</v>
      </c>
      <c r="AE382" t="s">
        <v>7489</v>
      </c>
      <c r="AF382" t="s">
        <v>74</v>
      </c>
      <c r="AG382">
        <v>36</v>
      </c>
      <c r="AH382">
        <v>0</v>
      </c>
      <c r="AI382">
        <v>0</v>
      </c>
      <c r="AJ382">
        <v>11</v>
      </c>
      <c r="AK382">
        <v>11</v>
      </c>
      <c r="AL382" t="s">
        <v>1208</v>
      </c>
      <c r="AM382" t="s">
        <v>1209</v>
      </c>
      <c r="AN382" t="s">
        <v>1210</v>
      </c>
      <c r="AO382" t="s">
        <v>1211</v>
      </c>
      <c r="AP382" t="s">
        <v>1212</v>
      </c>
      <c r="AQ382" t="s">
        <v>74</v>
      </c>
      <c r="AR382" t="s">
        <v>1213</v>
      </c>
      <c r="AS382" t="s">
        <v>1214</v>
      </c>
      <c r="AT382" t="s">
        <v>7261</v>
      </c>
      <c r="AU382">
        <v>2023</v>
      </c>
      <c r="AV382">
        <v>50</v>
      </c>
      <c r="AW382">
        <v>22</v>
      </c>
      <c r="AX382" t="s">
        <v>74</v>
      </c>
      <c r="AY382" t="s">
        <v>74</v>
      </c>
      <c r="AZ382" t="s">
        <v>74</v>
      </c>
      <c r="BA382" t="s">
        <v>74</v>
      </c>
      <c r="BB382" t="s">
        <v>74</v>
      </c>
      <c r="BC382" t="s">
        <v>74</v>
      </c>
      <c r="BD382" t="s">
        <v>7490</v>
      </c>
      <c r="BE382" t="s">
        <v>7491</v>
      </c>
      <c r="BF382" t="str">
        <f>HYPERLINK("http://dx.doi.org/10.1029/2023GL105690","http://dx.doi.org/10.1029/2023GL105690")</f>
        <v>http://dx.doi.org/10.1029/2023GL105690</v>
      </c>
      <c r="BG382" t="s">
        <v>74</v>
      </c>
      <c r="BH382" t="s">
        <v>74</v>
      </c>
      <c r="BI382">
        <v>9</v>
      </c>
      <c r="BJ382" t="s">
        <v>535</v>
      </c>
      <c r="BK382" t="s">
        <v>100</v>
      </c>
      <c r="BL382" t="s">
        <v>536</v>
      </c>
      <c r="BM382" t="s">
        <v>7492</v>
      </c>
      <c r="BN382" t="s">
        <v>74</v>
      </c>
      <c r="BO382" t="s">
        <v>7493</v>
      </c>
      <c r="BP382" t="s">
        <v>74</v>
      </c>
      <c r="BQ382" t="s">
        <v>74</v>
      </c>
      <c r="BR382" t="s">
        <v>104</v>
      </c>
      <c r="BS382" t="s">
        <v>7494</v>
      </c>
      <c r="BT382" t="str">
        <f>HYPERLINK("https%3A%2F%2Fwww.webofscience.com%2Fwos%2Fwoscc%2Ffull-record%2FWOS:001105889400001","View Full Record in Web of Science")</f>
        <v>View Full Record in Web of Science</v>
      </c>
    </row>
    <row r="383" spans="1:72" x14ac:dyDescent="0.15">
      <c r="A383" t="s">
        <v>72</v>
      </c>
      <c r="B383" t="s">
        <v>7495</v>
      </c>
      <c r="C383" t="s">
        <v>74</v>
      </c>
      <c r="D383" t="s">
        <v>74</v>
      </c>
      <c r="E383" t="s">
        <v>74</v>
      </c>
      <c r="F383" t="s">
        <v>7496</v>
      </c>
      <c r="G383" t="s">
        <v>74</v>
      </c>
      <c r="H383" t="s">
        <v>74</v>
      </c>
      <c r="I383" t="s">
        <v>7497</v>
      </c>
      <c r="J383" t="s">
        <v>3706</v>
      </c>
      <c r="K383" t="s">
        <v>74</v>
      </c>
      <c r="L383" t="s">
        <v>74</v>
      </c>
      <c r="M383" t="s">
        <v>78</v>
      </c>
      <c r="N383" t="s">
        <v>79</v>
      </c>
      <c r="O383" t="s">
        <v>74</v>
      </c>
      <c r="P383" t="s">
        <v>74</v>
      </c>
      <c r="Q383" t="s">
        <v>74</v>
      </c>
      <c r="R383" t="s">
        <v>74</v>
      </c>
      <c r="S383" t="s">
        <v>74</v>
      </c>
      <c r="T383" t="s">
        <v>7498</v>
      </c>
      <c r="U383" t="s">
        <v>7499</v>
      </c>
      <c r="V383" t="s">
        <v>7500</v>
      </c>
      <c r="W383" t="s">
        <v>7501</v>
      </c>
      <c r="X383" t="s">
        <v>7502</v>
      </c>
      <c r="Y383" t="s">
        <v>7503</v>
      </c>
      <c r="Z383" t="s">
        <v>7504</v>
      </c>
      <c r="AA383" t="s">
        <v>74</v>
      </c>
      <c r="AB383" t="s">
        <v>74</v>
      </c>
      <c r="AC383" t="s">
        <v>7505</v>
      </c>
      <c r="AD383" t="s">
        <v>7506</v>
      </c>
      <c r="AE383" t="s">
        <v>7507</v>
      </c>
      <c r="AF383" t="s">
        <v>74</v>
      </c>
      <c r="AG383">
        <v>49</v>
      </c>
      <c r="AH383">
        <v>0</v>
      </c>
      <c r="AI383">
        <v>0</v>
      </c>
      <c r="AJ383">
        <v>0</v>
      </c>
      <c r="AK383">
        <v>0</v>
      </c>
      <c r="AL383" t="s">
        <v>3719</v>
      </c>
      <c r="AM383" t="s">
        <v>1209</v>
      </c>
      <c r="AN383" t="s">
        <v>3720</v>
      </c>
      <c r="AO383" t="s">
        <v>3721</v>
      </c>
      <c r="AP383" t="s">
        <v>74</v>
      </c>
      <c r="AQ383" t="s">
        <v>74</v>
      </c>
      <c r="AR383" t="s">
        <v>3722</v>
      </c>
      <c r="AS383" t="s">
        <v>3723</v>
      </c>
      <c r="AT383" t="s">
        <v>3724</v>
      </c>
      <c r="AU383">
        <v>2024</v>
      </c>
      <c r="AV383">
        <v>12</v>
      </c>
      <c r="AW383">
        <v>1</v>
      </c>
      <c r="AX383" t="s">
        <v>74</v>
      </c>
      <c r="AY383" t="s">
        <v>74</v>
      </c>
      <c r="AZ383" t="s">
        <v>74</v>
      </c>
      <c r="BA383" t="s">
        <v>74</v>
      </c>
      <c r="BB383" t="s">
        <v>74</v>
      </c>
      <c r="BC383" t="s">
        <v>74</v>
      </c>
      <c r="BD383" t="s">
        <v>74</v>
      </c>
      <c r="BE383" t="s">
        <v>7508</v>
      </c>
      <c r="BF383" t="str">
        <f>HYPERLINK("http://dx.doi.org/10.1128/spectrum.04335-22","http://dx.doi.org/10.1128/spectrum.04335-22")</f>
        <v>http://dx.doi.org/10.1128/spectrum.04335-22</v>
      </c>
      <c r="BG383" t="s">
        <v>74</v>
      </c>
      <c r="BH383" t="s">
        <v>6982</v>
      </c>
      <c r="BI383">
        <v>28</v>
      </c>
      <c r="BJ383" t="s">
        <v>1084</v>
      </c>
      <c r="BK383" t="s">
        <v>100</v>
      </c>
      <c r="BL383" t="s">
        <v>1084</v>
      </c>
      <c r="BM383" t="s">
        <v>3726</v>
      </c>
      <c r="BN383">
        <v>38014988</v>
      </c>
      <c r="BO383" t="s">
        <v>200</v>
      </c>
      <c r="BP383" t="s">
        <v>74</v>
      </c>
      <c r="BQ383" t="s">
        <v>74</v>
      </c>
      <c r="BR383" t="s">
        <v>104</v>
      </c>
      <c r="BS383" t="s">
        <v>7509</v>
      </c>
      <c r="BT383" t="str">
        <f>HYPERLINK("https%3A%2F%2Fwww.webofscience.com%2Fwos%2Fwoscc%2Ffull-record%2FWOS:001110215600001","View Full Record in Web of Science")</f>
        <v>View Full Record in Web of Science</v>
      </c>
    </row>
    <row r="384" spans="1:72" x14ac:dyDescent="0.15">
      <c r="A384" t="s">
        <v>72</v>
      </c>
      <c r="B384" t="s">
        <v>7510</v>
      </c>
      <c r="C384" t="s">
        <v>74</v>
      </c>
      <c r="D384" t="s">
        <v>74</v>
      </c>
      <c r="E384" t="s">
        <v>74</v>
      </c>
      <c r="F384" t="s">
        <v>7511</v>
      </c>
      <c r="G384" t="s">
        <v>74</v>
      </c>
      <c r="H384" t="s">
        <v>74</v>
      </c>
      <c r="I384" t="s">
        <v>7512</v>
      </c>
      <c r="J384" t="s">
        <v>3748</v>
      </c>
      <c r="K384" t="s">
        <v>74</v>
      </c>
      <c r="L384" t="s">
        <v>74</v>
      </c>
      <c r="M384" t="s">
        <v>78</v>
      </c>
      <c r="N384" t="s">
        <v>3749</v>
      </c>
      <c r="O384" t="s">
        <v>74</v>
      </c>
      <c r="P384" t="s">
        <v>74</v>
      </c>
      <c r="Q384" t="s">
        <v>74</v>
      </c>
      <c r="R384" t="s">
        <v>74</v>
      </c>
      <c r="S384" t="s">
        <v>74</v>
      </c>
      <c r="T384" t="s">
        <v>74</v>
      </c>
      <c r="U384" t="s">
        <v>7513</v>
      </c>
      <c r="V384" t="s">
        <v>7514</v>
      </c>
      <c r="W384" t="s">
        <v>7515</v>
      </c>
      <c r="X384" t="s">
        <v>7516</v>
      </c>
      <c r="Y384" t="s">
        <v>7517</v>
      </c>
      <c r="Z384" t="s">
        <v>7518</v>
      </c>
      <c r="AA384" t="s">
        <v>74</v>
      </c>
      <c r="AB384" t="s">
        <v>7519</v>
      </c>
      <c r="AC384" t="s">
        <v>7520</v>
      </c>
      <c r="AD384" t="s">
        <v>7521</v>
      </c>
      <c r="AE384" t="s">
        <v>7522</v>
      </c>
      <c r="AF384" t="s">
        <v>74</v>
      </c>
      <c r="AG384">
        <v>70</v>
      </c>
      <c r="AH384">
        <v>0</v>
      </c>
      <c r="AI384">
        <v>0</v>
      </c>
      <c r="AJ384">
        <v>9</v>
      </c>
      <c r="AK384">
        <v>9</v>
      </c>
      <c r="AL384" t="s">
        <v>3057</v>
      </c>
      <c r="AM384" t="s">
        <v>3058</v>
      </c>
      <c r="AN384" t="s">
        <v>3059</v>
      </c>
      <c r="AO384" t="s">
        <v>74</v>
      </c>
      <c r="AP384" t="s">
        <v>3760</v>
      </c>
      <c r="AQ384" t="s">
        <v>74</v>
      </c>
      <c r="AR384" t="s">
        <v>3761</v>
      </c>
      <c r="AS384" t="s">
        <v>3762</v>
      </c>
      <c r="AT384" t="s">
        <v>7261</v>
      </c>
      <c r="AU384">
        <v>2023</v>
      </c>
      <c r="AV384">
        <v>10</v>
      </c>
      <c r="AW384">
        <v>1</v>
      </c>
      <c r="AX384" t="s">
        <v>74</v>
      </c>
      <c r="AY384" t="s">
        <v>74</v>
      </c>
      <c r="AZ384" t="s">
        <v>74</v>
      </c>
      <c r="BA384" t="s">
        <v>74</v>
      </c>
      <c r="BB384" t="s">
        <v>74</v>
      </c>
      <c r="BC384" t="s">
        <v>74</v>
      </c>
      <c r="BD384">
        <v>836</v>
      </c>
      <c r="BE384" t="s">
        <v>7523</v>
      </c>
      <c r="BF384" t="str">
        <f>HYPERLINK("http://dx.doi.org/10.1038/s41597-023-02740-9","http://dx.doi.org/10.1038/s41597-023-02740-9")</f>
        <v>http://dx.doi.org/10.1038/s41597-023-02740-9</v>
      </c>
      <c r="BG384" t="s">
        <v>74</v>
      </c>
      <c r="BH384" t="s">
        <v>74</v>
      </c>
      <c r="BI384">
        <v>13</v>
      </c>
      <c r="BJ384" t="s">
        <v>1035</v>
      </c>
      <c r="BK384" t="s">
        <v>100</v>
      </c>
      <c r="BL384" t="s">
        <v>1036</v>
      </c>
      <c r="BM384" t="s">
        <v>7524</v>
      </c>
      <c r="BN384">
        <v>38016986</v>
      </c>
      <c r="BO384" t="s">
        <v>200</v>
      </c>
      <c r="BP384" t="s">
        <v>74</v>
      </c>
      <c r="BQ384" t="s">
        <v>74</v>
      </c>
      <c r="BR384" t="s">
        <v>104</v>
      </c>
      <c r="BS384" t="s">
        <v>7525</v>
      </c>
      <c r="BT384" t="str">
        <f>HYPERLINK("https%3A%2F%2Fwww.webofscience.com%2Fwos%2Fwoscc%2Ffull-record%2FWOS:001109942300003","View Full Record in Web of Science")</f>
        <v>View Full Record in Web of Science</v>
      </c>
    </row>
    <row r="385" spans="1:72" x14ac:dyDescent="0.15">
      <c r="A385" t="s">
        <v>72</v>
      </c>
      <c r="B385" t="s">
        <v>7526</v>
      </c>
      <c r="C385" t="s">
        <v>74</v>
      </c>
      <c r="D385" t="s">
        <v>74</v>
      </c>
      <c r="E385" t="s">
        <v>74</v>
      </c>
      <c r="F385" t="s">
        <v>7527</v>
      </c>
      <c r="G385" t="s">
        <v>74</v>
      </c>
      <c r="H385" t="s">
        <v>74</v>
      </c>
      <c r="I385" t="s">
        <v>7528</v>
      </c>
      <c r="J385" t="s">
        <v>1195</v>
      </c>
      <c r="K385" t="s">
        <v>74</v>
      </c>
      <c r="L385" t="s">
        <v>74</v>
      </c>
      <c r="M385" t="s">
        <v>78</v>
      </c>
      <c r="N385" t="s">
        <v>79</v>
      </c>
      <c r="O385" t="s">
        <v>74</v>
      </c>
      <c r="P385" t="s">
        <v>74</v>
      </c>
      <c r="Q385" t="s">
        <v>74</v>
      </c>
      <c r="R385" t="s">
        <v>74</v>
      </c>
      <c r="S385" t="s">
        <v>74</v>
      </c>
      <c r="T385" t="s">
        <v>7529</v>
      </c>
      <c r="U385" t="s">
        <v>7530</v>
      </c>
      <c r="V385" t="s">
        <v>7531</v>
      </c>
      <c r="W385" t="s">
        <v>7532</v>
      </c>
      <c r="X385" t="s">
        <v>7533</v>
      </c>
      <c r="Y385" t="s">
        <v>7534</v>
      </c>
      <c r="Z385" t="s">
        <v>7535</v>
      </c>
      <c r="AA385" t="s">
        <v>7536</v>
      </c>
      <c r="AB385" t="s">
        <v>7537</v>
      </c>
      <c r="AC385" t="s">
        <v>7538</v>
      </c>
      <c r="AD385" t="s">
        <v>7539</v>
      </c>
      <c r="AE385" t="s">
        <v>7540</v>
      </c>
      <c r="AF385" t="s">
        <v>74</v>
      </c>
      <c r="AG385">
        <v>35</v>
      </c>
      <c r="AH385">
        <v>1</v>
      </c>
      <c r="AI385">
        <v>1</v>
      </c>
      <c r="AJ385">
        <v>5</v>
      </c>
      <c r="AK385">
        <v>5</v>
      </c>
      <c r="AL385" t="s">
        <v>1208</v>
      </c>
      <c r="AM385" t="s">
        <v>1209</v>
      </c>
      <c r="AN385" t="s">
        <v>1210</v>
      </c>
      <c r="AO385" t="s">
        <v>1211</v>
      </c>
      <c r="AP385" t="s">
        <v>1212</v>
      </c>
      <c r="AQ385" t="s">
        <v>74</v>
      </c>
      <c r="AR385" t="s">
        <v>1213</v>
      </c>
      <c r="AS385" t="s">
        <v>1214</v>
      </c>
      <c r="AT385" t="s">
        <v>7261</v>
      </c>
      <c r="AU385">
        <v>2023</v>
      </c>
      <c r="AV385">
        <v>50</v>
      </c>
      <c r="AW385">
        <v>22</v>
      </c>
      <c r="AX385" t="s">
        <v>74</v>
      </c>
      <c r="AY385" t="s">
        <v>74</v>
      </c>
      <c r="AZ385" t="s">
        <v>74</v>
      </c>
      <c r="BA385" t="s">
        <v>74</v>
      </c>
      <c r="BB385" t="s">
        <v>74</v>
      </c>
      <c r="BC385" t="s">
        <v>74</v>
      </c>
      <c r="BD385" t="s">
        <v>7541</v>
      </c>
      <c r="BE385" t="s">
        <v>7542</v>
      </c>
      <c r="BF385" t="str">
        <f>HYPERLINK("http://dx.doi.org/10.1029/2023GL104726","http://dx.doi.org/10.1029/2023GL104726")</f>
        <v>http://dx.doi.org/10.1029/2023GL104726</v>
      </c>
      <c r="BG385" t="s">
        <v>74</v>
      </c>
      <c r="BH385" t="s">
        <v>74</v>
      </c>
      <c r="BI385">
        <v>11</v>
      </c>
      <c r="BJ385" t="s">
        <v>535</v>
      </c>
      <c r="BK385" t="s">
        <v>100</v>
      </c>
      <c r="BL385" t="s">
        <v>536</v>
      </c>
      <c r="BM385" t="s">
        <v>7543</v>
      </c>
      <c r="BN385" t="s">
        <v>74</v>
      </c>
      <c r="BO385" t="s">
        <v>3040</v>
      </c>
      <c r="BP385" t="s">
        <v>74</v>
      </c>
      <c r="BQ385" t="s">
        <v>74</v>
      </c>
      <c r="BR385" t="s">
        <v>104</v>
      </c>
      <c r="BS385" t="s">
        <v>7544</v>
      </c>
      <c r="BT385" t="str">
        <f>HYPERLINK("https%3A%2F%2Fwww.webofscience.com%2Fwos%2Fwoscc%2Ffull-record%2FWOS:001102664200001","View Full Record in Web of Science")</f>
        <v>View Full Record in Web of Science</v>
      </c>
    </row>
    <row r="386" spans="1:72" x14ac:dyDescent="0.15">
      <c r="A386" t="s">
        <v>72</v>
      </c>
      <c r="B386" t="s">
        <v>7545</v>
      </c>
      <c r="C386" t="s">
        <v>74</v>
      </c>
      <c r="D386" t="s">
        <v>74</v>
      </c>
      <c r="E386" t="s">
        <v>74</v>
      </c>
      <c r="F386" t="s">
        <v>7546</v>
      </c>
      <c r="G386" t="s">
        <v>74</v>
      </c>
      <c r="H386" t="s">
        <v>74</v>
      </c>
      <c r="I386" t="s">
        <v>7547</v>
      </c>
      <c r="J386" t="s">
        <v>3865</v>
      </c>
      <c r="K386" t="s">
        <v>74</v>
      </c>
      <c r="L386" t="s">
        <v>74</v>
      </c>
      <c r="M386" t="s">
        <v>78</v>
      </c>
      <c r="N386" t="s">
        <v>79</v>
      </c>
      <c r="O386" t="s">
        <v>74</v>
      </c>
      <c r="P386" t="s">
        <v>74</v>
      </c>
      <c r="Q386" t="s">
        <v>74</v>
      </c>
      <c r="R386" t="s">
        <v>74</v>
      </c>
      <c r="S386" t="s">
        <v>74</v>
      </c>
      <c r="T386" t="s">
        <v>7548</v>
      </c>
      <c r="U386" t="s">
        <v>7549</v>
      </c>
      <c r="V386" t="s">
        <v>7550</v>
      </c>
      <c r="W386" t="s">
        <v>7551</v>
      </c>
      <c r="X386" t="s">
        <v>7552</v>
      </c>
      <c r="Y386" t="s">
        <v>7553</v>
      </c>
      <c r="Z386" t="s">
        <v>7554</v>
      </c>
      <c r="AA386" t="s">
        <v>7555</v>
      </c>
      <c r="AB386" t="s">
        <v>7556</v>
      </c>
      <c r="AC386" t="s">
        <v>7557</v>
      </c>
      <c r="AD386" t="s">
        <v>7558</v>
      </c>
      <c r="AE386" t="s">
        <v>7559</v>
      </c>
      <c r="AF386" t="s">
        <v>74</v>
      </c>
      <c r="AG386">
        <v>77</v>
      </c>
      <c r="AH386">
        <v>1</v>
      </c>
      <c r="AI386">
        <v>1</v>
      </c>
      <c r="AJ386">
        <v>5</v>
      </c>
      <c r="AK386">
        <v>5</v>
      </c>
      <c r="AL386" t="s">
        <v>2554</v>
      </c>
      <c r="AM386" t="s">
        <v>2294</v>
      </c>
      <c r="AN386" t="s">
        <v>2555</v>
      </c>
      <c r="AO386" t="s">
        <v>3876</v>
      </c>
      <c r="AP386" t="s">
        <v>3877</v>
      </c>
      <c r="AQ386" t="s">
        <v>74</v>
      </c>
      <c r="AR386" t="s">
        <v>3878</v>
      </c>
      <c r="AS386" t="s">
        <v>3879</v>
      </c>
      <c r="AT386" t="s">
        <v>7560</v>
      </c>
      <c r="AU386">
        <v>2023</v>
      </c>
      <c r="AV386">
        <v>381</v>
      </c>
      <c r="AW386">
        <v>2261</v>
      </c>
      <c r="AX386" t="s">
        <v>74</v>
      </c>
      <c r="AY386" t="s">
        <v>74</v>
      </c>
      <c r="AZ386" t="s">
        <v>74</v>
      </c>
      <c r="BA386" t="s">
        <v>74</v>
      </c>
      <c r="BB386" t="s">
        <v>74</v>
      </c>
      <c r="BC386" t="s">
        <v>74</v>
      </c>
      <c r="BD386">
        <v>20220204</v>
      </c>
      <c r="BE386" t="s">
        <v>7561</v>
      </c>
      <c r="BF386" t="str">
        <f>HYPERLINK("http://dx.doi.org/10.1098/rsta.2022.0204","http://dx.doi.org/10.1098/rsta.2022.0204")</f>
        <v>http://dx.doi.org/10.1098/rsta.2022.0204</v>
      </c>
      <c r="BG386" t="s">
        <v>74</v>
      </c>
      <c r="BH386" t="s">
        <v>74</v>
      </c>
      <c r="BI386">
        <v>17</v>
      </c>
      <c r="BJ386" t="s">
        <v>1035</v>
      </c>
      <c r="BK386" t="s">
        <v>100</v>
      </c>
      <c r="BL386" t="s">
        <v>1036</v>
      </c>
      <c r="BM386" t="s">
        <v>7562</v>
      </c>
      <c r="BN386">
        <v>37807684</v>
      </c>
      <c r="BO386" t="s">
        <v>1717</v>
      </c>
      <c r="BP386" t="s">
        <v>74</v>
      </c>
      <c r="BQ386" t="s">
        <v>74</v>
      </c>
      <c r="BR386" t="s">
        <v>104</v>
      </c>
      <c r="BS386" t="s">
        <v>7563</v>
      </c>
      <c r="BT386" t="str">
        <f>HYPERLINK("https%3A%2F%2Fwww.webofscience.com%2Fwos%2Fwoscc%2Ffull-record%2FWOS:001185514800004","View Full Record in Web of Science")</f>
        <v>View Full Record in Web of Science</v>
      </c>
    </row>
    <row r="387" spans="1:72" x14ac:dyDescent="0.15">
      <c r="A387" t="s">
        <v>72</v>
      </c>
      <c r="B387" t="s">
        <v>7564</v>
      </c>
      <c r="C387" t="s">
        <v>74</v>
      </c>
      <c r="D387" t="s">
        <v>74</v>
      </c>
      <c r="E387" t="s">
        <v>74</v>
      </c>
      <c r="F387" t="s">
        <v>7565</v>
      </c>
      <c r="G387" t="s">
        <v>74</v>
      </c>
      <c r="H387" t="s">
        <v>74</v>
      </c>
      <c r="I387" t="s">
        <v>7566</v>
      </c>
      <c r="J387" t="s">
        <v>2809</v>
      </c>
      <c r="K387" t="s">
        <v>74</v>
      </c>
      <c r="L387" t="s">
        <v>74</v>
      </c>
      <c r="M387" t="s">
        <v>78</v>
      </c>
      <c r="N387" t="s">
        <v>79</v>
      </c>
      <c r="O387" t="s">
        <v>74</v>
      </c>
      <c r="P387" t="s">
        <v>74</v>
      </c>
      <c r="Q387" t="s">
        <v>74</v>
      </c>
      <c r="R387" t="s">
        <v>74</v>
      </c>
      <c r="S387" t="s">
        <v>74</v>
      </c>
      <c r="T387" t="s">
        <v>74</v>
      </c>
      <c r="U387" t="s">
        <v>7567</v>
      </c>
      <c r="V387" t="s">
        <v>7568</v>
      </c>
      <c r="W387" t="s">
        <v>7569</v>
      </c>
      <c r="X387" t="s">
        <v>7570</v>
      </c>
      <c r="Y387" t="s">
        <v>7571</v>
      </c>
      <c r="Z387" t="s">
        <v>7572</v>
      </c>
      <c r="AA387" t="s">
        <v>7573</v>
      </c>
      <c r="AB387" t="s">
        <v>7574</v>
      </c>
      <c r="AC387" t="s">
        <v>7575</v>
      </c>
      <c r="AD387" t="s">
        <v>7576</v>
      </c>
      <c r="AE387" t="s">
        <v>7577</v>
      </c>
      <c r="AF387" t="s">
        <v>74</v>
      </c>
      <c r="AG387">
        <v>70</v>
      </c>
      <c r="AH387">
        <v>0</v>
      </c>
      <c r="AI387">
        <v>0</v>
      </c>
      <c r="AJ387">
        <v>0</v>
      </c>
      <c r="AK387">
        <v>0</v>
      </c>
      <c r="AL387" t="s">
        <v>1838</v>
      </c>
      <c r="AM387" t="s">
        <v>1839</v>
      </c>
      <c r="AN387" t="s">
        <v>1840</v>
      </c>
      <c r="AO387" t="s">
        <v>2818</v>
      </c>
      <c r="AP387" t="s">
        <v>2819</v>
      </c>
      <c r="AQ387" t="s">
        <v>74</v>
      </c>
      <c r="AR387" t="s">
        <v>2809</v>
      </c>
      <c r="AS387" t="s">
        <v>2820</v>
      </c>
      <c r="AT387" t="s">
        <v>7560</v>
      </c>
      <c r="AU387">
        <v>2023</v>
      </c>
      <c r="AV387">
        <v>17</v>
      </c>
      <c r="AW387">
        <v>11</v>
      </c>
      <c r="AX387" t="s">
        <v>74</v>
      </c>
      <c r="AY387" t="s">
        <v>74</v>
      </c>
      <c r="AZ387" t="s">
        <v>74</v>
      </c>
      <c r="BA387" t="s">
        <v>74</v>
      </c>
      <c r="BB387">
        <v>4979</v>
      </c>
      <c r="BC387">
        <v>4993</v>
      </c>
      <c r="BD387" t="s">
        <v>74</v>
      </c>
      <c r="BE387" t="s">
        <v>7578</v>
      </c>
      <c r="BF387" t="str">
        <f>HYPERLINK("http://dx.doi.org/10.5194/tc-17-4979-2023","http://dx.doi.org/10.5194/tc-17-4979-2023")</f>
        <v>http://dx.doi.org/10.5194/tc-17-4979-2023</v>
      </c>
      <c r="BG387" t="s">
        <v>74</v>
      </c>
      <c r="BH387" t="s">
        <v>74</v>
      </c>
      <c r="BI387">
        <v>15</v>
      </c>
      <c r="BJ387" t="s">
        <v>984</v>
      </c>
      <c r="BK387" t="s">
        <v>100</v>
      </c>
      <c r="BL387" t="s">
        <v>985</v>
      </c>
      <c r="BM387" t="s">
        <v>7579</v>
      </c>
      <c r="BN387" t="s">
        <v>74</v>
      </c>
      <c r="BO387" t="s">
        <v>7580</v>
      </c>
      <c r="BP387" t="s">
        <v>74</v>
      </c>
      <c r="BQ387" t="s">
        <v>74</v>
      </c>
      <c r="BR387" t="s">
        <v>104</v>
      </c>
      <c r="BS387" t="s">
        <v>7581</v>
      </c>
      <c r="BT387" t="str">
        <f>HYPERLINK("https%3A%2F%2Fwww.webofscience.com%2Fwos%2Fwoscc%2Ffull-record%2FWOS:001168829500001","View Full Record in Web of Science")</f>
        <v>View Full Record in Web of Science</v>
      </c>
    </row>
    <row r="388" spans="1:72" x14ac:dyDescent="0.15">
      <c r="A388" t="s">
        <v>72</v>
      </c>
      <c r="B388" t="s">
        <v>7582</v>
      </c>
      <c r="C388" t="s">
        <v>74</v>
      </c>
      <c r="D388" t="s">
        <v>74</v>
      </c>
      <c r="E388" t="s">
        <v>74</v>
      </c>
      <c r="F388" t="s">
        <v>7583</v>
      </c>
      <c r="G388" t="s">
        <v>74</v>
      </c>
      <c r="H388" t="s">
        <v>74</v>
      </c>
      <c r="I388" t="s">
        <v>7584</v>
      </c>
      <c r="J388" t="s">
        <v>2809</v>
      </c>
      <c r="K388" t="s">
        <v>74</v>
      </c>
      <c r="L388" t="s">
        <v>74</v>
      </c>
      <c r="M388" t="s">
        <v>78</v>
      </c>
      <c r="N388" t="s">
        <v>79</v>
      </c>
      <c r="O388" t="s">
        <v>74</v>
      </c>
      <c r="P388" t="s">
        <v>74</v>
      </c>
      <c r="Q388" t="s">
        <v>74</v>
      </c>
      <c r="R388" t="s">
        <v>74</v>
      </c>
      <c r="S388" t="s">
        <v>74</v>
      </c>
      <c r="T388" t="s">
        <v>74</v>
      </c>
      <c r="U388" t="s">
        <v>7585</v>
      </c>
      <c r="V388" t="s">
        <v>7586</v>
      </c>
      <c r="W388" t="s">
        <v>7587</v>
      </c>
      <c r="X388" t="s">
        <v>7588</v>
      </c>
      <c r="Y388" t="s">
        <v>7589</v>
      </c>
      <c r="Z388" t="s">
        <v>7590</v>
      </c>
      <c r="AA388" t="s">
        <v>7591</v>
      </c>
      <c r="AB388" t="s">
        <v>7592</v>
      </c>
      <c r="AC388" t="s">
        <v>7593</v>
      </c>
      <c r="AD388" t="s">
        <v>7593</v>
      </c>
      <c r="AE388" t="s">
        <v>7594</v>
      </c>
      <c r="AF388" t="s">
        <v>74</v>
      </c>
      <c r="AG388">
        <v>50</v>
      </c>
      <c r="AH388">
        <v>0</v>
      </c>
      <c r="AI388">
        <v>0</v>
      </c>
      <c r="AJ388">
        <v>2</v>
      </c>
      <c r="AK388">
        <v>2</v>
      </c>
      <c r="AL388" t="s">
        <v>1838</v>
      </c>
      <c r="AM388" t="s">
        <v>1839</v>
      </c>
      <c r="AN388" t="s">
        <v>1840</v>
      </c>
      <c r="AO388" t="s">
        <v>2818</v>
      </c>
      <c r="AP388" t="s">
        <v>2819</v>
      </c>
      <c r="AQ388" t="s">
        <v>74</v>
      </c>
      <c r="AR388" t="s">
        <v>2809</v>
      </c>
      <c r="AS388" t="s">
        <v>2820</v>
      </c>
      <c r="AT388" t="s">
        <v>7560</v>
      </c>
      <c r="AU388">
        <v>2023</v>
      </c>
      <c r="AV388">
        <v>17</v>
      </c>
      <c r="AW388">
        <v>11</v>
      </c>
      <c r="AX388" t="s">
        <v>74</v>
      </c>
      <c r="AY388" t="s">
        <v>74</v>
      </c>
      <c r="AZ388" t="s">
        <v>74</v>
      </c>
      <c r="BA388" t="s">
        <v>74</v>
      </c>
      <c r="BB388">
        <v>4995</v>
      </c>
      <c r="BC388">
        <v>5006</v>
      </c>
      <c r="BD388" t="s">
        <v>74</v>
      </c>
      <c r="BE388" t="s">
        <v>7595</v>
      </c>
      <c r="BF388" t="str">
        <f>HYPERLINK("http://dx.doi.org/10.5194/tc-17-4995-2023","http://dx.doi.org/10.5194/tc-17-4995-2023")</f>
        <v>http://dx.doi.org/10.5194/tc-17-4995-2023</v>
      </c>
      <c r="BG388" t="s">
        <v>74</v>
      </c>
      <c r="BH388" t="s">
        <v>74</v>
      </c>
      <c r="BI388">
        <v>12</v>
      </c>
      <c r="BJ388" t="s">
        <v>984</v>
      </c>
      <c r="BK388" t="s">
        <v>100</v>
      </c>
      <c r="BL388" t="s">
        <v>985</v>
      </c>
      <c r="BM388" t="s">
        <v>7596</v>
      </c>
      <c r="BN388" t="s">
        <v>74</v>
      </c>
      <c r="BO388" t="s">
        <v>349</v>
      </c>
      <c r="BP388" t="s">
        <v>74</v>
      </c>
      <c r="BQ388" t="s">
        <v>74</v>
      </c>
      <c r="BR388" t="s">
        <v>104</v>
      </c>
      <c r="BS388" t="s">
        <v>7597</v>
      </c>
      <c r="BT388" t="str">
        <f>HYPERLINK("https%3A%2F%2Fwww.webofscience.com%2Fwos%2Fwoscc%2Ffull-record%2FWOS:001168840600001","View Full Record in Web of Science")</f>
        <v>View Full Record in Web of Science</v>
      </c>
    </row>
    <row r="389" spans="1:72" x14ac:dyDescent="0.15">
      <c r="A389" t="s">
        <v>72</v>
      </c>
      <c r="B389" t="s">
        <v>7598</v>
      </c>
      <c r="C389" t="s">
        <v>74</v>
      </c>
      <c r="D389" t="s">
        <v>74</v>
      </c>
      <c r="E389" t="s">
        <v>74</v>
      </c>
      <c r="F389" t="s">
        <v>7599</v>
      </c>
      <c r="G389" t="s">
        <v>74</v>
      </c>
      <c r="H389" t="s">
        <v>74</v>
      </c>
      <c r="I389" t="s">
        <v>7600</v>
      </c>
      <c r="J389" t="s">
        <v>7601</v>
      </c>
      <c r="K389" t="s">
        <v>74</v>
      </c>
      <c r="L389" t="s">
        <v>74</v>
      </c>
      <c r="M389" t="s">
        <v>78</v>
      </c>
      <c r="N389" t="s">
        <v>79</v>
      </c>
      <c r="O389" t="s">
        <v>74</v>
      </c>
      <c r="P389" t="s">
        <v>74</v>
      </c>
      <c r="Q389" t="s">
        <v>74</v>
      </c>
      <c r="R389" t="s">
        <v>74</v>
      </c>
      <c r="S389" t="s">
        <v>74</v>
      </c>
      <c r="T389" t="s">
        <v>74</v>
      </c>
      <c r="U389" t="s">
        <v>7602</v>
      </c>
      <c r="V389" t="s">
        <v>7603</v>
      </c>
      <c r="W389" t="s">
        <v>7604</v>
      </c>
      <c r="X389" t="s">
        <v>7605</v>
      </c>
      <c r="Y389" t="s">
        <v>7606</v>
      </c>
      <c r="Z389" t="s">
        <v>7607</v>
      </c>
      <c r="AA389" t="s">
        <v>7608</v>
      </c>
      <c r="AB389" t="s">
        <v>7609</v>
      </c>
      <c r="AC389" t="s">
        <v>7610</v>
      </c>
      <c r="AD389" t="s">
        <v>7611</v>
      </c>
      <c r="AE389" t="s">
        <v>7612</v>
      </c>
      <c r="AF389" t="s">
        <v>74</v>
      </c>
      <c r="AG389">
        <v>253</v>
      </c>
      <c r="AH389">
        <v>0</v>
      </c>
      <c r="AI389">
        <v>0</v>
      </c>
      <c r="AJ389">
        <v>6</v>
      </c>
      <c r="AK389">
        <v>6</v>
      </c>
      <c r="AL389" t="s">
        <v>947</v>
      </c>
      <c r="AM389" t="s">
        <v>948</v>
      </c>
      <c r="AN389" t="s">
        <v>949</v>
      </c>
      <c r="AO389" t="s">
        <v>7613</v>
      </c>
      <c r="AP389" t="s">
        <v>74</v>
      </c>
      <c r="AQ389" t="s">
        <v>74</v>
      </c>
      <c r="AR389" t="s">
        <v>7614</v>
      </c>
      <c r="AS389" t="s">
        <v>7615</v>
      </c>
      <c r="AT389" t="s">
        <v>1947</v>
      </c>
      <c r="AU389">
        <v>2023</v>
      </c>
      <c r="AV389">
        <v>42</v>
      </c>
      <c r="AW389" t="s">
        <v>74</v>
      </c>
      <c r="AX389" t="s">
        <v>74</v>
      </c>
      <c r="AY389" t="s">
        <v>74</v>
      </c>
      <c r="AZ389" t="s">
        <v>74</v>
      </c>
      <c r="BA389" t="s">
        <v>74</v>
      </c>
      <c r="BB389" t="s">
        <v>74</v>
      </c>
      <c r="BC389" t="s">
        <v>74</v>
      </c>
      <c r="BD389">
        <v>100622</v>
      </c>
      <c r="BE389" t="s">
        <v>7616</v>
      </c>
      <c r="BF389" t="str">
        <f>HYPERLINK("http://dx.doi.org/10.1016/j.wace.2023.100622","http://dx.doi.org/10.1016/j.wace.2023.100622")</f>
        <v>http://dx.doi.org/10.1016/j.wace.2023.100622</v>
      </c>
      <c r="BG389" t="s">
        <v>74</v>
      </c>
      <c r="BH389" t="s">
        <v>6982</v>
      </c>
      <c r="BI389">
        <v>18</v>
      </c>
      <c r="BJ389" t="s">
        <v>1522</v>
      </c>
      <c r="BK389" t="s">
        <v>100</v>
      </c>
      <c r="BL389" t="s">
        <v>1522</v>
      </c>
      <c r="BM389" t="s">
        <v>7617</v>
      </c>
      <c r="BN389" t="s">
        <v>74</v>
      </c>
      <c r="BO389" t="s">
        <v>131</v>
      </c>
      <c r="BP389" t="s">
        <v>74</v>
      </c>
      <c r="BQ389" t="s">
        <v>74</v>
      </c>
      <c r="BR389" t="s">
        <v>104</v>
      </c>
      <c r="BS389" t="s">
        <v>7618</v>
      </c>
      <c r="BT389" t="str">
        <f>HYPERLINK("https%3A%2F%2Fwww.webofscience.com%2Fwos%2Fwoscc%2Ffull-record%2FWOS:001149847000001","View Full Record in Web of Science")</f>
        <v>View Full Record in Web of Science</v>
      </c>
    </row>
    <row r="390" spans="1:72" x14ac:dyDescent="0.15">
      <c r="A390" t="s">
        <v>72</v>
      </c>
      <c r="B390" t="s">
        <v>7619</v>
      </c>
      <c r="C390" t="s">
        <v>74</v>
      </c>
      <c r="D390" t="s">
        <v>74</v>
      </c>
      <c r="E390" t="s">
        <v>74</v>
      </c>
      <c r="F390" t="s">
        <v>7620</v>
      </c>
      <c r="G390" t="s">
        <v>74</v>
      </c>
      <c r="H390" t="s">
        <v>74</v>
      </c>
      <c r="I390" t="s">
        <v>7621</v>
      </c>
      <c r="J390" t="s">
        <v>3045</v>
      </c>
      <c r="K390" t="s">
        <v>74</v>
      </c>
      <c r="L390" t="s">
        <v>74</v>
      </c>
      <c r="M390" t="s">
        <v>78</v>
      </c>
      <c r="N390" t="s">
        <v>79</v>
      </c>
      <c r="O390" t="s">
        <v>74</v>
      </c>
      <c r="P390" t="s">
        <v>74</v>
      </c>
      <c r="Q390" t="s">
        <v>74</v>
      </c>
      <c r="R390" t="s">
        <v>74</v>
      </c>
      <c r="S390" t="s">
        <v>74</v>
      </c>
      <c r="T390" t="s">
        <v>74</v>
      </c>
      <c r="U390" t="s">
        <v>7622</v>
      </c>
      <c r="V390" t="s">
        <v>7623</v>
      </c>
      <c r="W390" t="s">
        <v>7624</v>
      </c>
      <c r="X390" t="s">
        <v>7625</v>
      </c>
      <c r="Y390" t="s">
        <v>7626</v>
      </c>
      <c r="Z390" t="s">
        <v>7627</v>
      </c>
      <c r="AA390" t="s">
        <v>74</v>
      </c>
      <c r="AB390" t="s">
        <v>74</v>
      </c>
      <c r="AC390" t="s">
        <v>7628</v>
      </c>
      <c r="AD390" t="s">
        <v>7629</v>
      </c>
      <c r="AE390" t="s">
        <v>7630</v>
      </c>
      <c r="AF390" t="s">
        <v>74</v>
      </c>
      <c r="AG390">
        <v>46</v>
      </c>
      <c r="AH390">
        <v>0</v>
      </c>
      <c r="AI390">
        <v>0</v>
      </c>
      <c r="AJ390">
        <v>1</v>
      </c>
      <c r="AK390">
        <v>1</v>
      </c>
      <c r="AL390" t="s">
        <v>3057</v>
      </c>
      <c r="AM390" t="s">
        <v>3058</v>
      </c>
      <c r="AN390" t="s">
        <v>3059</v>
      </c>
      <c r="AO390" t="s">
        <v>3060</v>
      </c>
      <c r="AP390" t="s">
        <v>74</v>
      </c>
      <c r="AQ390" t="s">
        <v>74</v>
      </c>
      <c r="AR390" t="s">
        <v>3061</v>
      </c>
      <c r="AS390" t="s">
        <v>3062</v>
      </c>
      <c r="AT390" t="s">
        <v>7560</v>
      </c>
      <c r="AU390">
        <v>2023</v>
      </c>
      <c r="AV390">
        <v>13</v>
      </c>
      <c r="AW390">
        <v>1</v>
      </c>
      <c r="AX390" t="s">
        <v>74</v>
      </c>
      <c r="AY390" t="s">
        <v>74</v>
      </c>
      <c r="AZ390" t="s">
        <v>74</v>
      </c>
      <c r="BA390" t="s">
        <v>74</v>
      </c>
      <c r="BB390" t="s">
        <v>74</v>
      </c>
      <c r="BC390" t="s">
        <v>74</v>
      </c>
      <c r="BD390">
        <v>20829</v>
      </c>
      <c r="BE390" t="s">
        <v>7631</v>
      </c>
      <c r="BF390" t="str">
        <f>HYPERLINK("http://dx.doi.org/10.1038/s41598-023-48074-9","http://dx.doi.org/10.1038/s41598-023-48074-9")</f>
        <v>http://dx.doi.org/10.1038/s41598-023-48074-9</v>
      </c>
      <c r="BG390" t="s">
        <v>74</v>
      </c>
      <c r="BH390" t="s">
        <v>74</v>
      </c>
      <c r="BI390">
        <v>9</v>
      </c>
      <c r="BJ390" t="s">
        <v>1035</v>
      </c>
      <c r="BK390" t="s">
        <v>100</v>
      </c>
      <c r="BL390" t="s">
        <v>1036</v>
      </c>
      <c r="BM390" t="s">
        <v>7632</v>
      </c>
      <c r="BN390">
        <v>38012378</v>
      </c>
      <c r="BO390" t="s">
        <v>131</v>
      </c>
      <c r="BP390" t="s">
        <v>74</v>
      </c>
      <c r="BQ390" t="s">
        <v>74</v>
      </c>
      <c r="BR390" t="s">
        <v>104</v>
      </c>
      <c r="BS390" t="s">
        <v>7633</v>
      </c>
      <c r="BT390" t="str">
        <f>HYPERLINK("https%3A%2F%2Fwww.webofscience.com%2Fwos%2Fwoscc%2Ffull-record%2FWOS:001144297500079","View Full Record in Web of Science")</f>
        <v>View Full Record in Web of Science</v>
      </c>
    </row>
    <row r="391" spans="1:72" x14ac:dyDescent="0.15">
      <c r="A391" t="s">
        <v>72</v>
      </c>
      <c r="B391" t="s">
        <v>7634</v>
      </c>
      <c r="C391" t="s">
        <v>74</v>
      </c>
      <c r="D391" t="s">
        <v>74</v>
      </c>
      <c r="E391" t="s">
        <v>74</v>
      </c>
      <c r="F391" t="s">
        <v>7635</v>
      </c>
      <c r="G391" t="s">
        <v>74</v>
      </c>
      <c r="H391" t="s">
        <v>74</v>
      </c>
      <c r="I391" t="s">
        <v>7636</v>
      </c>
      <c r="J391" t="s">
        <v>3045</v>
      </c>
      <c r="K391" t="s">
        <v>74</v>
      </c>
      <c r="L391" t="s">
        <v>74</v>
      </c>
      <c r="M391" t="s">
        <v>78</v>
      </c>
      <c r="N391" t="s">
        <v>79</v>
      </c>
      <c r="O391" t="s">
        <v>74</v>
      </c>
      <c r="P391" t="s">
        <v>74</v>
      </c>
      <c r="Q391" t="s">
        <v>74</v>
      </c>
      <c r="R391" t="s">
        <v>74</v>
      </c>
      <c r="S391" t="s">
        <v>74</v>
      </c>
      <c r="T391" t="s">
        <v>74</v>
      </c>
      <c r="U391" t="s">
        <v>7637</v>
      </c>
      <c r="V391" t="s">
        <v>7638</v>
      </c>
      <c r="W391" t="s">
        <v>7639</v>
      </c>
      <c r="X391" t="s">
        <v>7640</v>
      </c>
      <c r="Y391" t="s">
        <v>7641</v>
      </c>
      <c r="Z391" t="s">
        <v>7642</v>
      </c>
      <c r="AA391" t="s">
        <v>74</v>
      </c>
      <c r="AB391" t="s">
        <v>74</v>
      </c>
      <c r="AC391" t="s">
        <v>7643</v>
      </c>
      <c r="AD391" t="s">
        <v>7644</v>
      </c>
      <c r="AE391" t="s">
        <v>7645</v>
      </c>
      <c r="AF391" t="s">
        <v>74</v>
      </c>
      <c r="AG391">
        <v>71</v>
      </c>
      <c r="AH391">
        <v>0</v>
      </c>
      <c r="AI391">
        <v>0</v>
      </c>
      <c r="AJ391">
        <v>4</v>
      </c>
      <c r="AK391">
        <v>4</v>
      </c>
      <c r="AL391" t="s">
        <v>3057</v>
      </c>
      <c r="AM391" t="s">
        <v>3058</v>
      </c>
      <c r="AN391" t="s">
        <v>3059</v>
      </c>
      <c r="AO391" t="s">
        <v>3060</v>
      </c>
      <c r="AP391" t="s">
        <v>74</v>
      </c>
      <c r="AQ391" t="s">
        <v>74</v>
      </c>
      <c r="AR391" t="s">
        <v>3061</v>
      </c>
      <c r="AS391" t="s">
        <v>3062</v>
      </c>
      <c r="AT391" t="s">
        <v>7560</v>
      </c>
      <c r="AU391">
        <v>2023</v>
      </c>
      <c r="AV391">
        <v>13</v>
      </c>
      <c r="AW391">
        <v>1</v>
      </c>
      <c r="AX391" t="s">
        <v>74</v>
      </c>
      <c r="AY391" t="s">
        <v>74</v>
      </c>
      <c r="AZ391" t="s">
        <v>74</v>
      </c>
      <c r="BA391" t="s">
        <v>74</v>
      </c>
      <c r="BB391" t="s">
        <v>74</v>
      </c>
      <c r="BC391" t="s">
        <v>74</v>
      </c>
      <c r="BD391">
        <v>20619</v>
      </c>
      <c r="BE391" t="s">
        <v>7646</v>
      </c>
      <c r="BF391" t="str">
        <f>HYPERLINK("http://dx.doi.org/10.1038/s41598-023-47522-w","http://dx.doi.org/10.1038/s41598-023-47522-w")</f>
        <v>http://dx.doi.org/10.1038/s41598-023-47522-w</v>
      </c>
      <c r="BG391" t="s">
        <v>74</v>
      </c>
      <c r="BH391" t="s">
        <v>74</v>
      </c>
      <c r="BI391">
        <v>12</v>
      </c>
      <c r="BJ391" t="s">
        <v>1035</v>
      </c>
      <c r="BK391" t="s">
        <v>100</v>
      </c>
      <c r="BL391" t="s">
        <v>1036</v>
      </c>
      <c r="BM391" t="s">
        <v>7632</v>
      </c>
      <c r="BN391">
        <v>38012284</v>
      </c>
      <c r="BO391" t="s">
        <v>131</v>
      </c>
      <c r="BP391" t="s">
        <v>74</v>
      </c>
      <c r="BQ391" t="s">
        <v>74</v>
      </c>
      <c r="BR391" t="s">
        <v>104</v>
      </c>
      <c r="BS391" t="s">
        <v>7647</v>
      </c>
      <c r="BT391" t="str">
        <f>HYPERLINK("https%3A%2F%2Fwww.webofscience.com%2Fwos%2Fwoscc%2Ffull-record%2FWOS:001144297500037","View Full Record in Web of Science")</f>
        <v>View Full Record in Web of Science</v>
      </c>
    </row>
    <row r="392" spans="1:72" x14ac:dyDescent="0.15">
      <c r="A392" t="s">
        <v>72</v>
      </c>
      <c r="B392" t="s">
        <v>7648</v>
      </c>
      <c r="C392" t="s">
        <v>74</v>
      </c>
      <c r="D392" t="s">
        <v>74</v>
      </c>
      <c r="E392" t="s">
        <v>74</v>
      </c>
      <c r="F392" t="s">
        <v>7649</v>
      </c>
      <c r="G392" t="s">
        <v>74</v>
      </c>
      <c r="H392" t="s">
        <v>74</v>
      </c>
      <c r="I392" t="s">
        <v>7650</v>
      </c>
      <c r="J392" t="s">
        <v>1017</v>
      </c>
      <c r="K392" t="s">
        <v>74</v>
      </c>
      <c r="L392" t="s">
        <v>74</v>
      </c>
      <c r="M392" t="s">
        <v>78</v>
      </c>
      <c r="N392" t="s">
        <v>79</v>
      </c>
      <c r="O392" t="s">
        <v>74</v>
      </c>
      <c r="P392" t="s">
        <v>74</v>
      </c>
      <c r="Q392" t="s">
        <v>74</v>
      </c>
      <c r="R392" t="s">
        <v>74</v>
      </c>
      <c r="S392" t="s">
        <v>74</v>
      </c>
      <c r="T392" t="s">
        <v>74</v>
      </c>
      <c r="U392" t="s">
        <v>7651</v>
      </c>
      <c r="V392" t="s">
        <v>7652</v>
      </c>
      <c r="W392" t="s">
        <v>7653</v>
      </c>
      <c r="X392" t="s">
        <v>7654</v>
      </c>
      <c r="Y392" t="s">
        <v>7655</v>
      </c>
      <c r="Z392" t="s">
        <v>7656</v>
      </c>
      <c r="AA392" t="s">
        <v>74</v>
      </c>
      <c r="AB392" t="s">
        <v>7657</v>
      </c>
      <c r="AC392" t="s">
        <v>7658</v>
      </c>
      <c r="AD392" t="s">
        <v>7658</v>
      </c>
      <c r="AE392" t="s">
        <v>7659</v>
      </c>
      <c r="AF392" t="s">
        <v>74</v>
      </c>
      <c r="AG392">
        <v>101</v>
      </c>
      <c r="AH392">
        <v>0</v>
      </c>
      <c r="AI392">
        <v>0</v>
      </c>
      <c r="AJ392">
        <v>1</v>
      </c>
      <c r="AK392">
        <v>1</v>
      </c>
      <c r="AL392" t="s">
        <v>1027</v>
      </c>
      <c r="AM392" t="s">
        <v>1028</v>
      </c>
      <c r="AN392" t="s">
        <v>1029</v>
      </c>
      <c r="AO392" t="s">
        <v>1030</v>
      </c>
      <c r="AP392" t="s">
        <v>74</v>
      </c>
      <c r="AQ392" t="s">
        <v>74</v>
      </c>
      <c r="AR392" t="s">
        <v>1017</v>
      </c>
      <c r="AS392" t="s">
        <v>1031</v>
      </c>
      <c r="AT392" t="s">
        <v>7560</v>
      </c>
      <c r="AU392">
        <v>2023</v>
      </c>
      <c r="AV392">
        <v>18</v>
      </c>
      <c r="AW392">
        <v>11</v>
      </c>
      <c r="AX392" t="s">
        <v>74</v>
      </c>
      <c r="AY392" t="s">
        <v>74</v>
      </c>
      <c r="AZ392" t="s">
        <v>74</v>
      </c>
      <c r="BA392" t="s">
        <v>74</v>
      </c>
      <c r="BB392" t="s">
        <v>74</v>
      </c>
      <c r="BC392" t="s">
        <v>74</v>
      </c>
      <c r="BD392" t="s">
        <v>7660</v>
      </c>
      <c r="BE392" t="s">
        <v>7661</v>
      </c>
      <c r="BF392" t="str">
        <f>HYPERLINK("http://dx.doi.org/10.1371/journal.pone.0294063","http://dx.doi.org/10.1371/journal.pone.0294063")</f>
        <v>http://dx.doi.org/10.1371/journal.pone.0294063</v>
      </c>
      <c r="BG392" t="s">
        <v>74</v>
      </c>
      <c r="BH392" t="s">
        <v>74</v>
      </c>
      <c r="BI392">
        <v>22</v>
      </c>
      <c r="BJ392" t="s">
        <v>1035</v>
      </c>
      <c r="BK392" t="s">
        <v>100</v>
      </c>
      <c r="BL392" t="s">
        <v>1036</v>
      </c>
      <c r="BM392" t="s">
        <v>7662</v>
      </c>
      <c r="BN392">
        <v>38011081</v>
      </c>
      <c r="BO392" t="s">
        <v>200</v>
      </c>
      <c r="BP392" t="s">
        <v>74</v>
      </c>
      <c r="BQ392" t="s">
        <v>74</v>
      </c>
      <c r="BR392" t="s">
        <v>104</v>
      </c>
      <c r="BS392" t="s">
        <v>7663</v>
      </c>
      <c r="BT392" t="str">
        <f>HYPERLINK("https%3A%2F%2Fwww.webofscience.com%2Fwos%2Fwoscc%2Ffull-record%2FWOS:001124506000045","View Full Record in Web of Science")</f>
        <v>View Full Record in Web of Science</v>
      </c>
    </row>
    <row r="393" spans="1:72" x14ac:dyDescent="0.15">
      <c r="A393" t="s">
        <v>72</v>
      </c>
      <c r="B393" t="s">
        <v>7664</v>
      </c>
      <c r="C393" t="s">
        <v>74</v>
      </c>
      <c r="D393" t="s">
        <v>74</v>
      </c>
      <c r="E393" t="s">
        <v>74</v>
      </c>
      <c r="F393" t="s">
        <v>7665</v>
      </c>
      <c r="G393" t="s">
        <v>74</v>
      </c>
      <c r="H393" t="s">
        <v>74</v>
      </c>
      <c r="I393" t="s">
        <v>7666</v>
      </c>
      <c r="J393" t="s">
        <v>3748</v>
      </c>
      <c r="K393" t="s">
        <v>74</v>
      </c>
      <c r="L393" t="s">
        <v>74</v>
      </c>
      <c r="M393" t="s">
        <v>78</v>
      </c>
      <c r="N393" t="s">
        <v>3749</v>
      </c>
      <c r="O393" t="s">
        <v>74</v>
      </c>
      <c r="P393" t="s">
        <v>74</v>
      </c>
      <c r="Q393" t="s">
        <v>74</v>
      </c>
      <c r="R393" t="s">
        <v>74</v>
      </c>
      <c r="S393" t="s">
        <v>74</v>
      </c>
      <c r="T393" t="s">
        <v>74</v>
      </c>
      <c r="U393" t="s">
        <v>7667</v>
      </c>
      <c r="V393" t="s">
        <v>7668</v>
      </c>
      <c r="W393" t="s">
        <v>7669</v>
      </c>
      <c r="X393" t="s">
        <v>7670</v>
      </c>
      <c r="Y393" t="s">
        <v>7671</v>
      </c>
      <c r="Z393" t="s">
        <v>7672</v>
      </c>
      <c r="AA393" t="s">
        <v>74</v>
      </c>
      <c r="AB393" t="s">
        <v>7673</v>
      </c>
      <c r="AC393" t="s">
        <v>7674</v>
      </c>
      <c r="AD393" t="s">
        <v>7675</v>
      </c>
      <c r="AE393" t="s">
        <v>7676</v>
      </c>
      <c r="AF393" t="s">
        <v>74</v>
      </c>
      <c r="AG393">
        <v>57</v>
      </c>
      <c r="AH393">
        <v>0</v>
      </c>
      <c r="AI393">
        <v>0</v>
      </c>
      <c r="AJ393">
        <v>3</v>
      </c>
      <c r="AK393">
        <v>3</v>
      </c>
      <c r="AL393" t="s">
        <v>3057</v>
      </c>
      <c r="AM393" t="s">
        <v>3058</v>
      </c>
      <c r="AN393" t="s">
        <v>3059</v>
      </c>
      <c r="AO393" t="s">
        <v>74</v>
      </c>
      <c r="AP393" t="s">
        <v>3760</v>
      </c>
      <c r="AQ393" t="s">
        <v>74</v>
      </c>
      <c r="AR393" t="s">
        <v>3761</v>
      </c>
      <c r="AS393" t="s">
        <v>3762</v>
      </c>
      <c r="AT393" t="s">
        <v>7560</v>
      </c>
      <c r="AU393">
        <v>2023</v>
      </c>
      <c r="AV393">
        <v>10</v>
      </c>
      <c r="AW393">
        <v>1</v>
      </c>
      <c r="AX393" t="s">
        <v>74</v>
      </c>
      <c r="AY393" t="s">
        <v>74</v>
      </c>
      <c r="AZ393" t="s">
        <v>74</v>
      </c>
      <c r="BA393" t="s">
        <v>74</v>
      </c>
      <c r="BB393" t="s">
        <v>74</v>
      </c>
      <c r="BC393" t="s">
        <v>74</v>
      </c>
      <c r="BD393">
        <v>833</v>
      </c>
      <c r="BE393" t="s">
        <v>7677</v>
      </c>
      <c r="BF393" t="str">
        <f>HYPERLINK("http://dx.doi.org/10.1038/s41597-023-02720-z","http://dx.doi.org/10.1038/s41597-023-02720-z")</f>
        <v>http://dx.doi.org/10.1038/s41597-023-02720-z</v>
      </c>
      <c r="BG393" t="s">
        <v>74</v>
      </c>
      <c r="BH393" t="s">
        <v>74</v>
      </c>
      <c r="BI393">
        <v>12</v>
      </c>
      <c r="BJ393" t="s">
        <v>1035</v>
      </c>
      <c r="BK393" t="s">
        <v>100</v>
      </c>
      <c r="BL393" t="s">
        <v>1036</v>
      </c>
      <c r="BM393" t="s">
        <v>7678</v>
      </c>
      <c r="BN393">
        <v>38012190</v>
      </c>
      <c r="BO393" t="s">
        <v>131</v>
      </c>
      <c r="BP393" t="s">
        <v>74</v>
      </c>
      <c r="BQ393" t="s">
        <v>74</v>
      </c>
      <c r="BR393" t="s">
        <v>104</v>
      </c>
      <c r="BS393" t="s">
        <v>7679</v>
      </c>
      <c r="BT393" t="str">
        <f>HYPERLINK("https%3A%2F%2Fwww.webofscience.com%2Fwos%2Fwoscc%2Ffull-record%2FWOS:001114090000001","View Full Record in Web of Science")</f>
        <v>View Full Record in Web of Science</v>
      </c>
    </row>
    <row r="394" spans="1:72" x14ac:dyDescent="0.15">
      <c r="A394" t="s">
        <v>72</v>
      </c>
      <c r="B394" t="s">
        <v>7680</v>
      </c>
      <c r="C394" t="s">
        <v>74</v>
      </c>
      <c r="D394" t="s">
        <v>74</v>
      </c>
      <c r="E394" t="s">
        <v>74</v>
      </c>
      <c r="F394" t="s">
        <v>7681</v>
      </c>
      <c r="G394" t="s">
        <v>74</v>
      </c>
      <c r="H394" t="s">
        <v>74</v>
      </c>
      <c r="I394" t="s">
        <v>7682</v>
      </c>
      <c r="J394" t="s">
        <v>1504</v>
      </c>
      <c r="K394" t="s">
        <v>74</v>
      </c>
      <c r="L394" t="s">
        <v>74</v>
      </c>
      <c r="M394" t="s">
        <v>78</v>
      </c>
      <c r="N394" t="s">
        <v>79</v>
      </c>
      <c r="O394" t="s">
        <v>74</v>
      </c>
      <c r="P394" t="s">
        <v>74</v>
      </c>
      <c r="Q394" t="s">
        <v>74</v>
      </c>
      <c r="R394" t="s">
        <v>74</v>
      </c>
      <c r="S394" t="s">
        <v>74</v>
      </c>
      <c r="T394" t="s">
        <v>74</v>
      </c>
      <c r="U394" t="s">
        <v>7683</v>
      </c>
      <c r="V394" t="s">
        <v>7684</v>
      </c>
      <c r="W394" t="s">
        <v>7685</v>
      </c>
      <c r="X394" t="s">
        <v>7686</v>
      </c>
      <c r="Y394" t="s">
        <v>7687</v>
      </c>
      <c r="Z394" t="s">
        <v>7688</v>
      </c>
      <c r="AA394" t="s">
        <v>7689</v>
      </c>
      <c r="AB394" t="s">
        <v>7690</v>
      </c>
      <c r="AC394" t="s">
        <v>7691</v>
      </c>
      <c r="AD394" t="s">
        <v>7692</v>
      </c>
      <c r="AE394" t="s">
        <v>7693</v>
      </c>
      <c r="AF394" t="s">
        <v>74</v>
      </c>
      <c r="AG394">
        <v>53</v>
      </c>
      <c r="AH394">
        <v>2</v>
      </c>
      <c r="AI394">
        <v>2</v>
      </c>
      <c r="AJ394">
        <v>16</v>
      </c>
      <c r="AK394">
        <v>16</v>
      </c>
      <c r="AL394" t="s">
        <v>1208</v>
      </c>
      <c r="AM394" t="s">
        <v>1209</v>
      </c>
      <c r="AN394" t="s">
        <v>1210</v>
      </c>
      <c r="AO394" t="s">
        <v>1515</v>
      </c>
      <c r="AP394" t="s">
        <v>1516</v>
      </c>
      <c r="AQ394" t="s">
        <v>74</v>
      </c>
      <c r="AR394" t="s">
        <v>1517</v>
      </c>
      <c r="AS394" t="s">
        <v>1518</v>
      </c>
      <c r="AT394" t="s">
        <v>7560</v>
      </c>
      <c r="AU394">
        <v>2023</v>
      </c>
      <c r="AV394">
        <v>128</v>
      </c>
      <c r="AW394">
        <v>22</v>
      </c>
      <c r="AX394" t="s">
        <v>74</v>
      </c>
      <c r="AY394" t="s">
        <v>74</v>
      </c>
      <c r="AZ394" t="s">
        <v>74</v>
      </c>
      <c r="BA394" t="s">
        <v>74</v>
      </c>
      <c r="BB394" t="s">
        <v>74</v>
      </c>
      <c r="BC394" t="s">
        <v>74</v>
      </c>
      <c r="BD394" t="s">
        <v>7694</v>
      </c>
      <c r="BE394" t="s">
        <v>7695</v>
      </c>
      <c r="BF394" t="str">
        <f>HYPERLINK("http://dx.doi.org/10.1029/2023JD039480","http://dx.doi.org/10.1029/2023JD039480")</f>
        <v>http://dx.doi.org/10.1029/2023JD039480</v>
      </c>
      <c r="BG394" t="s">
        <v>74</v>
      </c>
      <c r="BH394" t="s">
        <v>74</v>
      </c>
      <c r="BI394">
        <v>14</v>
      </c>
      <c r="BJ394" t="s">
        <v>1522</v>
      </c>
      <c r="BK394" t="s">
        <v>100</v>
      </c>
      <c r="BL394" t="s">
        <v>1522</v>
      </c>
      <c r="BM394" t="s">
        <v>7696</v>
      </c>
      <c r="BN394" t="s">
        <v>74</v>
      </c>
      <c r="BO394" t="s">
        <v>74</v>
      </c>
      <c r="BP394" t="s">
        <v>74</v>
      </c>
      <c r="BQ394" t="s">
        <v>74</v>
      </c>
      <c r="BR394" t="s">
        <v>104</v>
      </c>
      <c r="BS394" t="s">
        <v>7697</v>
      </c>
      <c r="BT394" t="str">
        <f>HYPERLINK("https%3A%2F%2Fwww.webofscience.com%2Fwos%2Fwoscc%2Ffull-record%2FWOS:001109265700001","View Full Record in Web of Science")</f>
        <v>View Full Record in Web of Science</v>
      </c>
    </row>
    <row r="395" spans="1:72" x14ac:dyDescent="0.15">
      <c r="A395" t="s">
        <v>72</v>
      </c>
      <c r="B395" t="s">
        <v>7698</v>
      </c>
      <c r="C395" t="s">
        <v>74</v>
      </c>
      <c r="D395" t="s">
        <v>74</v>
      </c>
      <c r="E395" t="s">
        <v>74</v>
      </c>
      <c r="F395" t="s">
        <v>7699</v>
      </c>
      <c r="G395" t="s">
        <v>74</v>
      </c>
      <c r="H395" t="s">
        <v>74</v>
      </c>
      <c r="I395" t="s">
        <v>7700</v>
      </c>
      <c r="J395" t="s">
        <v>7701</v>
      </c>
      <c r="K395" t="s">
        <v>74</v>
      </c>
      <c r="L395" t="s">
        <v>74</v>
      </c>
      <c r="M395" t="s">
        <v>78</v>
      </c>
      <c r="N395" t="s">
        <v>79</v>
      </c>
      <c r="O395" t="s">
        <v>74</v>
      </c>
      <c r="P395" t="s">
        <v>74</v>
      </c>
      <c r="Q395" t="s">
        <v>74</v>
      </c>
      <c r="R395" t="s">
        <v>74</v>
      </c>
      <c r="S395" t="s">
        <v>74</v>
      </c>
      <c r="T395" t="s">
        <v>74</v>
      </c>
      <c r="U395" t="s">
        <v>7702</v>
      </c>
      <c r="V395" t="s">
        <v>7703</v>
      </c>
      <c r="W395" t="s">
        <v>7704</v>
      </c>
      <c r="X395" t="s">
        <v>7705</v>
      </c>
      <c r="Y395" t="s">
        <v>7706</v>
      </c>
      <c r="Z395" t="s">
        <v>7707</v>
      </c>
      <c r="AA395" t="s">
        <v>7708</v>
      </c>
      <c r="AB395" t="s">
        <v>7709</v>
      </c>
      <c r="AC395" t="s">
        <v>7710</v>
      </c>
      <c r="AD395" t="s">
        <v>7711</v>
      </c>
      <c r="AE395" t="s">
        <v>7712</v>
      </c>
      <c r="AF395" t="s">
        <v>74</v>
      </c>
      <c r="AG395">
        <v>66</v>
      </c>
      <c r="AH395">
        <v>2</v>
      </c>
      <c r="AI395">
        <v>2</v>
      </c>
      <c r="AJ395">
        <v>4</v>
      </c>
      <c r="AK395">
        <v>4</v>
      </c>
      <c r="AL395" t="s">
        <v>1101</v>
      </c>
      <c r="AM395" t="s">
        <v>1102</v>
      </c>
      <c r="AN395" t="s">
        <v>1103</v>
      </c>
      <c r="AO395" t="s">
        <v>7713</v>
      </c>
      <c r="AP395" t="s">
        <v>7714</v>
      </c>
      <c r="AQ395" t="s">
        <v>74</v>
      </c>
      <c r="AR395" t="s">
        <v>7715</v>
      </c>
      <c r="AS395" t="s">
        <v>7716</v>
      </c>
      <c r="AT395" t="s">
        <v>954</v>
      </c>
      <c r="AU395">
        <v>2024</v>
      </c>
      <c r="AV395">
        <v>59</v>
      </c>
      <c r="AW395">
        <v>1</v>
      </c>
      <c r="AX395" t="s">
        <v>74</v>
      </c>
      <c r="AY395" t="s">
        <v>74</v>
      </c>
      <c r="AZ395" t="s">
        <v>74</v>
      </c>
      <c r="BA395" t="s">
        <v>74</v>
      </c>
      <c r="BB395">
        <v>3</v>
      </c>
      <c r="BC395">
        <v>22</v>
      </c>
      <c r="BD395" t="s">
        <v>74</v>
      </c>
      <c r="BE395" t="s">
        <v>7717</v>
      </c>
      <c r="BF395" t="str">
        <f>HYPERLINK("http://dx.doi.org/10.1111/maps.14096","http://dx.doi.org/10.1111/maps.14096")</f>
        <v>http://dx.doi.org/10.1111/maps.14096</v>
      </c>
      <c r="BG395" t="s">
        <v>74</v>
      </c>
      <c r="BH395" t="s">
        <v>6982</v>
      </c>
      <c r="BI395">
        <v>20</v>
      </c>
      <c r="BJ395" t="s">
        <v>4252</v>
      </c>
      <c r="BK395" t="s">
        <v>100</v>
      </c>
      <c r="BL395" t="s">
        <v>4252</v>
      </c>
      <c r="BM395" t="s">
        <v>7718</v>
      </c>
      <c r="BN395" t="s">
        <v>74</v>
      </c>
      <c r="BO395" t="s">
        <v>74</v>
      </c>
      <c r="BP395" t="s">
        <v>74</v>
      </c>
      <c r="BQ395" t="s">
        <v>74</v>
      </c>
      <c r="BR395" t="s">
        <v>104</v>
      </c>
      <c r="BS395" t="s">
        <v>7719</v>
      </c>
      <c r="BT395" t="str">
        <f>HYPERLINK("https%3A%2F%2Fwww.webofscience.com%2Fwos%2Fwoscc%2Ffull-record%2FWOS:001108953600001","View Full Record in Web of Science")</f>
        <v>View Full Record in Web of Science</v>
      </c>
    </row>
    <row r="396" spans="1:72" x14ac:dyDescent="0.15">
      <c r="A396" t="s">
        <v>72</v>
      </c>
      <c r="B396" t="s">
        <v>7720</v>
      </c>
      <c r="C396" t="s">
        <v>74</v>
      </c>
      <c r="D396" t="s">
        <v>74</v>
      </c>
      <c r="E396" t="s">
        <v>74</v>
      </c>
      <c r="F396" t="s">
        <v>7721</v>
      </c>
      <c r="G396" t="s">
        <v>74</v>
      </c>
      <c r="H396" t="s">
        <v>74</v>
      </c>
      <c r="I396" t="s">
        <v>7722</v>
      </c>
      <c r="J396" t="s">
        <v>4870</v>
      </c>
      <c r="K396" t="s">
        <v>74</v>
      </c>
      <c r="L396" t="s">
        <v>74</v>
      </c>
      <c r="M396" t="s">
        <v>78</v>
      </c>
      <c r="N396" t="s">
        <v>79</v>
      </c>
      <c r="O396" t="s">
        <v>74</v>
      </c>
      <c r="P396" t="s">
        <v>74</v>
      </c>
      <c r="Q396" t="s">
        <v>74</v>
      </c>
      <c r="R396" t="s">
        <v>74</v>
      </c>
      <c r="S396" t="s">
        <v>74</v>
      </c>
      <c r="T396" t="s">
        <v>74</v>
      </c>
      <c r="U396" t="s">
        <v>74</v>
      </c>
      <c r="V396" t="s">
        <v>7723</v>
      </c>
      <c r="W396" t="s">
        <v>7724</v>
      </c>
      <c r="X396" t="s">
        <v>7725</v>
      </c>
      <c r="Y396" t="s">
        <v>7726</v>
      </c>
      <c r="Z396" t="s">
        <v>7727</v>
      </c>
      <c r="AA396" t="s">
        <v>74</v>
      </c>
      <c r="AB396" t="s">
        <v>7728</v>
      </c>
      <c r="AC396" t="s">
        <v>7729</v>
      </c>
      <c r="AD396" t="s">
        <v>7730</v>
      </c>
      <c r="AE396" t="s">
        <v>7731</v>
      </c>
      <c r="AF396" t="s">
        <v>74</v>
      </c>
      <c r="AG396">
        <v>26</v>
      </c>
      <c r="AH396">
        <v>0</v>
      </c>
      <c r="AI396">
        <v>0</v>
      </c>
      <c r="AJ396">
        <v>0</v>
      </c>
      <c r="AK396">
        <v>0</v>
      </c>
      <c r="AL396" t="s">
        <v>3057</v>
      </c>
      <c r="AM396" t="s">
        <v>3058</v>
      </c>
      <c r="AN396" t="s">
        <v>3059</v>
      </c>
      <c r="AO396" t="s">
        <v>4881</v>
      </c>
      <c r="AP396" t="s">
        <v>4882</v>
      </c>
      <c r="AQ396" t="s">
        <v>74</v>
      </c>
      <c r="AR396" t="s">
        <v>4883</v>
      </c>
      <c r="AS396" t="s">
        <v>4884</v>
      </c>
      <c r="AT396" t="s">
        <v>1947</v>
      </c>
      <c r="AU396">
        <v>2023</v>
      </c>
      <c r="AV396">
        <v>16</v>
      </c>
      <c r="AW396">
        <v>12</v>
      </c>
      <c r="AX396" t="s">
        <v>74</v>
      </c>
      <c r="AY396" t="s">
        <v>74</v>
      </c>
      <c r="AZ396" t="s">
        <v>74</v>
      </c>
      <c r="BA396" t="s">
        <v>74</v>
      </c>
      <c r="BB396" t="s">
        <v>74</v>
      </c>
      <c r="BC396" t="s">
        <v>74</v>
      </c>
      <c r="BD396" t="s">
        <v>74</v>
      </c>
      <c r="BE396" t="s">
        <v>7732</v>
      </c>
      <c r="BF396" t="str">
        <f>HYPERLINK("http://dx.doi.org/10.1038/s41561-023-01315-y","http://dx.doi.org/10.1038/s41561-023-01315-y")</f>
        <v>http://dx.doi.org/10.1038/s41561-023-01315-y</v>
      </c>
      <c r="BG396" t="s">
        <v>74</v>
      </c>
      <c r="BH396" t="s">
        <v>6982</v>
      </c>
      <c r="BI396">
        <v>8</v>
      </c>
      <c r="BJ396" t="s">
        <v>535</v>
      </c>
      <c r="BK396" t="s">
        <v>100</v>
      </c>
      <c r="BL396" t="s">
        <v>536</v>
      </c>
      <c r="BM396" t="s">
        <v>7733</v>
      </c>
      <c r="BN396" t="s">
        <v>74</v>
      </c>
      <c r="BO396" t="s">
        <v>74</v>
      </c>
      <c r="BP396" t="s">
        <v>74</v>
      </c>
      <c r="BQ396" t="s">
        <v>74</v>
      </c>
      <c r="BR396" t="s">
        <v>104</v>
      </c>
      <c r="BS396" t="s">
        <v>7734</v>
      </c>
      <c r="BT396" t="str">
        <f>HYPERLINK("https%3A%2F%2Fwww.webofscience.com%2Fwos%2Fwoscc%2Ffull-record%2FWOS:001114778300002","View Full Record in Web of Science")</f>
        <v>View Full Record in Web of Science</v>
      </c>
    </row>
    <row r="397" spans="1:72" x14ac:dyDescent="0.15">
      <c r="A397" t="s">
        <v>72</v>
      </c>
      <c r="B397" t="s">
        <v>7735</v>
      </c>
      <c r="C397" t="s">
        <v>74</v>
      </c>
      <c r="D397" t="s">
        <v>74</v>
      </c>
      <c r="E397" t="s">
        <v>74</v>
      </c>
      <c r="F397" t="s">
        <v>7736</v>
      </c>
      <c r="G397" t="s">
        <v>74</v>
      </c>
      <c r="H397" t="s">
        <v>74</v>
      </c>
      <c r="I397" t="s">
        <v>7737</v>
      </c>
      <c r="J397" t="s">
        <v>7738</v>
      </c>
      <c r="K397" t="s">
        <v>74</v>
      </c>
      <c r="L397" t="s">
        <v>74</v>
      </c>
      <c r="M397" t="s">
        <v>78</v>
      </c>
      <c r="N397" t="s">
        <v>79</v>
      </c>
      <c r="O397" t="s">
        <v>74</v>
      </c>
      <c r="P397" t="s">
        <v>74</v>
      </c>
      <c r="Q397" t="s">
        <v>74</v>
      </c>
      <c r="R397" t="s">
        <v>74</v>
      </c>
      <c r="S397" t="s">
        <v>74</v>
      </c>
      <c r="T397" t="s">
        <v>74</v>
      </c>
      <c r="U397" t="s">
        <v>7739</v>
      </c>
      <c r="V397" t="s">
        <v>7740</v>
      </c>
      <c r="W397" t="s">
        <v>7741</v>
      </c>
      <c r="X397" t="s">
        <v>7742</v>
      </c>
      <c r="Y397" t="s">
        <v>7743</v>
      </c>
      <c r="Z397" t="s">
        <v>7744</v>
      </c>
      <c r="AA397" t="s">
        <v>7745</v>
      </c>
      <c r="AB397" t="s">
        <v>7746</v>
      </c>
      <c r="AC397" t="s">
        <v>7747</v>
      </c>
      <c r="AD397" t="s">
        <v>7748</v>
      </c>
      <c r="AE397" t="s">
        <v>7749</v>
      </c>
      <c r="AF397" t="s">
        <v>74</v>
      </c>
      <c r="AG397">
        <v>90</v>
      </c>
      <c r="AH397">
        <v>0</v>
      </c>
      <c r="AI397">
        <v>0</v>
      </c>
      <c r="AJ397">
        <v>6</v>
      </c>
      <c r="AK397">
        <v>6</v>
      </c>
      <c r="AL397" t="s">
        <v>1101</v>
      </c>
      <c r="AM397" t="s">
        <v>1102</v>
      </c>
      <c r="AN397" t="s">
        <v>1103</v>
      </c>
      <c r="AO397" t="s">
        <v>7750</v>
      </c>
      <c r="AP397" t="s">
        <v>7751</v>
      </c>
      <c r="AQ397" t="s">
        <v>74</v>
      </c>
      <c r="AR397" t="s">
        <v>7752</v>
      </c>
      <c r="AS397" t="s">
        <v>7753</v>
      </c>
      <c r="AT397" t="s">
        <v>1947</v>
      </c>
      <c r="AU397">
        <v>2023</v>
      </c>
      <c r="AV397">
        <v>68</v>
      </c>
      <c r="AW397">
        <v>12</v>
      </c>
      <c r="AX397" t="s">
        <v>74</v>
      </c>
      <c r="AY397" t="s">
        <v>74</v>
      </c>
      <c r="AZ397" t="s">
        <v>74</v>
      </c>
      <c r="BA397" t="s">
        <v>74</v>
      </c>
      <c r="BB397">
        <v>2668</v>
      </c>
      <c r="BC397">
        <v>2687</v>
      </c>
      <c r="BD397" t="s">
        <v>74</v>
      </c>
      <c r="BE397" t="s">
        <v>7754</v>
      </c>
      <c r="BF397" t="str">
        <f>HYPERLINK("http://dx.doi.org/10.1002/lno.12453","http://dx.doi.org/10.1002/lno.12453")</f>
        <v>http://dx.doi.org/10.1002/lno.12453</v>
      </c>
      <c r="BG397" t="s">
        <v>74</v>
      </c>
      <c r="BH397" t="s">
        <v>6982</v>
      </c>
      <c r="BI397">
        <v>20</v>
      </c>
      <c r="BJ397" t="s">
        <v>7755</v>
      </c>
      <c r="BK397" t="s">
        <v>100</v>
      </c>
      <c r="BL397" t="s">
        <v>1476</v>
      </c>
      <c r="BM397" t="s">
        <v>7756</v>
      </c>
      <c r="BN397" t="s">
        <v>74</v>
      </c>
      <c r="BO397" t="s">
        <v>103</v>
      </c>
      <c r="BP397" t="s">
        <v>74</v>
      </c>
      <c r="BQ397" t="s">
        <v>74</v>
      </c>
      <c r="BR397" t="s">
        <v>104</v>
      </c>
      <c r="BS397" t="s">
        <v>7757</v>
      </c>
      <c r="BT397" t="str">
        <f>HYPERLINK("https%3A%2F%2Fwww.webofscience.com%2Fwos%2Fwoscc%2Ffull-record%2FWOS:001108717900001","View Full Record in Web of Science")</f>
        <v>View Full Record in Web of Science</v>
      </c>
    </row>
    <row r="398" spans="1:72" x14ac:dyDescent="0.15">
      <c r="A398" t="s">
        <v>72</v>
      </c>
      <c r="B398" t="s">
        <v>7758</v>
      </c>
      <c r="C398" t="s">
        <v>74</v>
      </c>
      <c r="D398" t="s">
        <v>74</v>
      </c>
      <c r="E398" t="s">
        <v>74</v>
      </c>
      <c r="F398" t="s">
        <v>7759</v>
      </c>
      <c r="G398" t="s">
        <v>74</v>
      </c>
      <c r="H398" t="s">
        <v>74</v>
      </c>
      <c r="I398" t="s">
        <v>7760</v>
      </c>
      <c r="J398" t="s">
        <v>1504</v>
      </c>
      <c r="K398" t="s">
        <v>74</v>
      </c>
      <c r="L398" t="s">
        <v>74</v>
      </c>
      <c r="M398" t="s">
        <v>78</v>
      </c>
      <c r="N398" t="s">
        <v>79</v>
      </c>
      <c r="O398" t="s">
        <v>74</v>
      </c>
      <c r="P398" t="s">
        <v>74</v>
      </c>
      <c r="Q398" t="s">
        <v>74</v>
      </c>
      <c r="R398" t="s">
        <v>74</v>
      </c>
      <c r="S398" t="s">
        <v>74</v>
      </c>
      <c r="T398" t="s">
        <v>7761</v>
      </c>
      <c r="U398" t="s">
        <v>7762</v>
      </c>
      <c r="V398" t="s">
        <v>7763</v>
      </c>
      <c r="W398" t="s">
        <v>7764</v>
      </c>
      <c r="X398" t="s">
        <v>7765</v>
      </c>
      <c r="Y398" t="s">
        <v>7766</v>
      </c>
      <c r="Z398" t="s">
        <v>7767</v>
      </c>
      <c r="AA398" t="s">
        <v>7768</v>
      </c>
      <c r="AB398" t="s">
        <v>7769</v>
      </c>
      <c r="AC398" t="s">
        <v>7770</v>
      </c>
      <c r="AD398" t="s">
        <v>7771</v>
      </c>
      <c r="AE398" t="s">
        <v>7772</v>
      </c>
      <c r="AF398" t="s">
        <v>74</v>
      </c>
      <c r="AG398">
        <v>121</v>
      </c>
      <c r="AH398">
        <v>1</v>
      </c>
      <c r="AI398">
        <v>1</v>
      </c>
      <c r="AJ398">
        <v>6</v>
      </c>
      <c r="AK398">
        <v>6</v>
      </c>
      <c r="AL398" t="s">
        <v>1208</v>
      </c>
      <c r="AM398" t="s">
        <v>1209</v>
      </c>
      <c r="AN398" t="s">
        <v>1210</v>
      </c>
      <c r="AO398" t="s">
        <v>1515</v>
      </c>
      <c r="AP398" t="s">
        <v>1516</v>
      </c>
      <c r="AQ398" t="s">
        <v>74</v>
      </c>
      <c r="AR398" t="s">
        <v>1517</v>
      </c>
      <c r="AS398" t="s">
        <v>1518</v>
      </c>
      <c r="AT398" t="s">
        <v>7560</v>
      </c>
      <c r="AU398">
        <v>2023</v>
      </c>
      <c r="AV398">
        <v>128</v>
      </c>
      <c r="AW398">
        <v>22</v>
      </c>
      <c r="AX398" t="s">
        <v>74</v>
      </c>
      <c r="AY398" t="s">
        <v>74</v>
      </c>
      <c r="AZ398" t="s">
        <v>74</v>
      </c>
      <c r="BA398" t="s">
        <v>74</v>
      </c>
      <c r="BB398" t="s">
        <v>74</v>
      </c>
      <c r="BC398" t="s">
        <v>74</v>
      </c>
      <c r="BD398" t="s">
        <v>7773</v>
      </c>
      <c r="BE398" t="s">
        <v>7774</v>
      </c>
      <c r="BF398" t="str">
        <f>HYPERLINK("http://dx.doi.org/10.1029/2023JD039434","http://dx.doi.org/10.1029/2023JD039434")</f>
        <v>http://dx.doi.org/10.1029/2023JD039434</v>
      </c>
      <c r="BG398" t="s">
        <v>74</v>
      </c>
      <c r="BH398" t="s">
        <v>74</v>
      </c>
      <c r="BI398">
        <v>31</v>
      </c>
      <c r="BJ398" t="s">
        <v>1522</v>
      </c>
      <c r="BK398" t="s">
        <v>100</v>
      </c>
      <c r="BL398" t="s">
        <v>1522</v>
      </c>
      <c r="BM398" t="s">
        <v>7775</v>
      </c>
      <c r="BN398" t="s">
        <v>74</v>
      </c>
      <c r="BO398" t="s">
        <v>74</v>
      </c>
      <c r="BP398" t="s">
        <v>74</v>
      </c>
      <c r="BQ398" t="s">
        <v>74</v>
      </c>
      <c r="BR398" t="s">
        <v>104</v>
      </c>
      <c r="BS398" t="s">
        <v>7776</v>
      </c>
      <c r="BT398" t="str">
        <f>HYPERLINK("https%3A%2F%2Fwww.webofscience.com%2Fwos%2Fwoscc%2Ffull-record%2FWOS:001105165500001","View Full Record in Web of Science")</f>
        <v>View Full Record in Web of Science</v>
      </c>
    </row>
    <row r="399" spans="1:72" x14ac:dyDescent="0.15">
      <c r="A399" t="s">
        <v>72</v>
      </c>
      <c r="B399" t="s">
        <v>7777</v>
      </c>
      <c r="C399" t="s">
        <v>74</v>
      </c>
      <c r="D399" t="s">
        <v>74</v>
      </c>
      <c r="E399" t="s">
        <v>74</v>
      </c>
      <c r="F399" t="s">
        <v>7778</v>
      </c>
      <c r="G399" t="s">
        <v>74</v>
      </c>
      <c r="H399" t="s">
        <v>74</v>
      </c>
      <c r="I399" t="s">
        <v>7779</v>
      </c>
      <c r="J399" t="s">
        <v>1504</v>
      </c>
      <c r="K399" t="s">
        <v>74</v>
      </c>
      <c r="L399" t="s">
        <v>74</v>
      </c>
      <c r="M399" t="s">
        <v>78</v>
      </c>
      <c r="N399" t="s">
        <v>79</v>
      </c>
      <c r="O399" t="s">
        <v>74</v>
      </c>
      <c r="P399" t="s">
        <v>74</v>
      </c>
      <c r="Q399" t="s">
        <v>74</v>
      </c>
      <c r="R399" t="s">
        <v>74</v>
      </c>
      <c r="S399" t="s">
        <v>74</v>
      </c>
      <c r="T399" t="s">
        <v>7780</v>
      </c>
      <c r="U399" t="s">
        <v>7781</v>
      </c>
      <c r="V399" t="s">
        <v>7782</v>
      </c>
      <c r="W399" t="s">
        <v>7783</v>
      </c>
      <c r="X399" t="s">
        <v>7784</v>
      </c>
      <c r="Y399" t="s">
        <v>7785</v>
      </c>
      <c r="Z399" t="s">
        <v>7786</v>
      </c>
      <c r="AA399" t="s">
        <v>7787</v>
      </c>
      <c r="AB399" t="s">
        <v>7788</v>
      </c>
      <c r="AC399" t="s">
        <v>7789</v>
      </c>
      <c r="AD399" t="s">
        <v>7790</v>
      </c>
      <c r="AE399" t="s">
        <v>7791</v>
      </c>
      <c r="AF399" t="s">
        <v>74</v>
      </c>
      <c r="AG399">
        <v>73</v>
      </c>
      <c r="AH399">
        <v>0</v>
      </c>
      <c r="AI399">
        <v>0</v>
      </c>
      <c r="AJ399">
        <v>0</v>
      </c>
      <c r="AK399">
        <v>0</v>
      </c>
      <c r="AL399" t="s">
        <v>1208</v>
      </c>
      <c r="AM399" t="s">
        <v>1209</v>
      </c>
      <c r="AN399" t="s">
        <v>1210</v>
      </c>
      <c r="AO399" t="s">
        <v>1515</v>
      </c>
      <c r="AP399" t="s">
        <v>1516</v>
      </c>
      <c r="AQ399" t="s">
        <v>74</v>
      </c>
      <c r="AR399" t="s">
        <v>1517</v>
      </c>
      <c r="AS399" t="s">
        <v>1518</v>
      </c>
      <c r="AT399" t="s">
        <v>7560</v>
      </c>
      <c r="AU399">
        <v>2023</v>
      </c>
      <c r="AV399">
        <v>128</v>
      </c>
      <c r="AW399">
        <v>22</v>
      </c>
      <c r="AX399" t="s">
        <v>74</v>
      </c>
      <c r="AY399" t="s">
        <v>74</v>
      </c>
      <c r="AZ399" t="s">
        <v>74</v>
      </c>
      <c r="BA399" t="s">
        <v>74</v>
      </c>
      <c r="BB399" t="s">
        <v>74</v>
      </c>
      <c r="BC399" t="s">
        <v>74</v>
      </c>
      <c r="BD399" t="s">
        <v>7792</v>
      </c>
      <c r="BE399" t="s">
        <v>7793</v>
      </c>
      <c r="BF399" t="str">
        <f>HYPERLINK("http://dx.doi.org/10.1029/2023JD039121","http://dx.doi.org/10.1029/2023JD039121")</f>
        <v>http://dx.doi.org/10.1029/2023JD039121</v>
      </c>
      <c r="BG399" t="s">
        <v>74</v>
      </c>
      <c r="BH399" t="s">
        <v>74</v>
      </c>
      <c r="BI399">
        <v>19</v>
      </c>
      <c r="BJ399" t="s">
        <v>1522</v>
      </c>
      <c r="BK399" t="s">
        <v>100</v>
      </c>
      <c r="BL399" t="s">
        <v>1522</v>
      </c>
      <c r="BM399" t="s">
        <v>7794</v>
      </c>
      <c r="BN399" t="s">
        <v>74</v>
      </c>
      <c r="BO399" t="s">
        <v>74</v>
      </c>
      <c r="BP399" t="s">
        <v>74</v>
      </c>
      <c r="BQ399" t="s">
        <v>74</v>
      </c>
      <c r="BR399" t="s">
        <v>104</v>
      </c>
      <c r="BS399" t="s">
        <v>7795</v>
      </c>
      <c r="BT399" t="str">
        <f>HYPERLINK("https%3A%2F%2Fwww.webofscience.com%2Fwos%2Fwoscc%2Ffull-record%2FWOS:001103232400001","View Full Record in Web of Science")</f>
        <v>View Full Record in Web of Science</v>
      </c>
    </row>
    <row r="400" spans="1:72" x14ac:dyDescent="0.15">
      <c r="A400" t="s">
        <v>72</v>
      </c>
      <c r="B400" t="s">
        <v>7796</v>
      </c>
      <c r="C400" t="s">
        <v>74</v>
      </c>
      <c r="D400" t="s">
        <v>74</v>
      </c>
      <c r="E400" t="s">
        <v>74</v>
      </c>
      <c r="F400" t="s">
        <v>7797</v>
      </c>
      <c r="G400" t="s">
        <v>74</v>
      </c>
      <c r="H400" t="s">
        <v>74</v>
      </c>
      <c r="I400" t="s">
        <v>7798</v>
      </c>
      <c r="J400" t="s">
        <v>7799</v>
      </c>
      <c r="K400" t="s">
        <v>74</v>
      </c>
      <c r="L400" t="s">
        <v>74</v>
      </c>
      <c r="M400" t="s">
        <v>78</v>
      </c>
      <c r="N400" t="s">
        <v>79</v>
      </c>
      <c r="O400" t="s">
        <v>74</v>
      </c>
      <c r="P400" t="s">
        <v>74</v>
      </c>
      <c r="Q400" t="s">
        <v>74</v>
      </c>
      <c r="R400" t="s">
        <v>74</v>
      </c>
      <c r="S400" t="s">
        <v>74</v>
      </c>
      <c r="T400" t="s">
        <v>7800</v>
      </c>
      <c r="U400" t="s">
        <v>7801</v>
      </c>
      <c r="V400" t="s">
        <v>7802</v>
      </c>
      <c r="W400" t="s">
        <v>7803</v>
      </c>
      <c r="X400" t="s">
        <v>7804</v>
      </c>
      <c r="Y400" t="s">
        <v>7805</v>
      </c>
      <c r="Z400" t="s">
        <v>7806</v>
      </c>
      <c r="AA400" t="s">
        <v>7807</v>
      </c>
      <c r="AB400" t="s">
        <v>7808</v>
      </c>
      <c r="AC400" t="s">
        <v>7809</v>
      </c>
      <c r="AD400" t="s">
        <v>7809</v>
      </c>
      <c r="AE400" t="s">
        <v>7810</v>
      </c>
      <c r="AF400" t="s">
        <v>74</v>
      </c>
      <c r="AG400">
        <v>40</v>
      </c>
      <c r="AH400">
        <v>0</v>
      </c>
      <c r="AI400">
        <v>0</v>
      </c>
      <c r="AJ400">
        <v>0</v>
      </c>
      <c r="AK400">
        <v>0</v>
      </c>
      <c r="AL400" t="s">
        <v>7811</v>
      </c>
      <c r="AM400" t="s">
        <v>7812</v>
      </c>
      <c r="AN400" t="s">
        <v>7813</v>
      </c>
      <c r="AO400" t="s">
        <v>7814</v>
      </c>
      <c r="AP400" t="s">
        <v>7815</v>
      </c>
      <c r="AQ400" t="s">
        <v>74</v>
      </c>
      <c r="AR400" t="s">
        <v>7816</v>
      </c>
      <c r="AS400" t="s">
        <v>7817</v>
      </c>
      <c r="AT400" t="s">
        <v>7818</v>
      </c>
      <c r="AU400">
        <v>2023</v>
      </c>
      <c r="AV400">
        <v>19</v>
      </c>
      <c r="AW400">
        <v>10</v>
      </c>
      <c r="AX400" t="s">
        <v>74</v>
      </c>
      <c r="AY400" t="s">
        <v>74</v>
      </c>
      <c r="AZ400" t="s">
        <v>74</v>
      </c>
      <c r="BA400" t="s">
        <v>74</v>
      </c>
      <c r="BB400">
        <v>574</v>
      </c>
      <c r="BC400">
        <v>581</v>
      </c>
      <c r="BD400" t="s">
        <v>74</v>
      </c>
      <c r="BE400" t="s">
        <v>7819</v>
      </c>
      <c r="BF400" t="str">
        <f>HYPERLINK("http://dx.doi.org/10.1080/17451000.2023.2299995","http://dx.doi.org/10.1080/17451000.2023.2299995")</f>
        <v>http://dx.doi.org/10.1080/17451000.2023.2299995</v>
      </c>
      <c r="BG400" t="s">
        <v>74</v>
      </c>
      <c r="BH400" t="s">
        <v>6982</v>
      </c>
      <c r="BI400">
        <v>8</v>
      </c>
      <c r="BJ400" t="s">
        <v>2705</v>
      </c>
      <c r="BK400" t="s">
        <v>100</v>
      </c>
      <c r="BL400" t="s">
        <v>1136</v>
      </c>
      <c r="BM400" t="s">
        <v>7820</v>
      </c>
      <c r="BN400" t="s">
        <v>74</v>
      </c>
      <c r="BO400" t="s">
        <v>74</v>
      </c>
      <c r="BP400" t="s">
        <v>74</v>
      </c>
      <c r="BQ400" t="s">
        <v>74</v>
      </c>
      <c r="BR400" t="s">
        <v>104</v>
      </c>
      <c r="BS400" t="s">
        <v>7821</v>
      </c>
      <c r="BT400" t="str">
        <f>HYPERLINK("https%3A%2F%2Fwww.webofscience.com%2Fwos%2Fwoscc%2Ffull-record%2FWOS:001155959100001","View Full Record in Web of Science")</f>
        <v>View Full Record in Web of Science</v>
      </c>
    </row>
    <row r="401" spans="1:72" x14ac:dyDescent="0.15">
      <c r="A401" t="s">
        <v>72</v>
      </c>
      <c r="B401" t="s">
        <v>7822</v>
      </c>
      <c r="C401" t="s">
        <v>74</v>
      </c>
      <c r="D401" t="s">
        <v>74</v>
      </c>
      <c r="E401" t="s">
        <v>74</v>
      </c>
      <c r="F401" t="s">
        <v>7823</v>
      </c>
      <c r="G401" t="s">
        <v>74</v>
      </c>
      <c r="H401" t="s">
        <v>74</v>
      </c>
      <c r="I401" t="s">
        <v>7824</v>
      </c>
      <c r="J401" t="s">
        <v>7825</v>
      </c>
      <c r="K401" t="s">
        <v>74</v>
      </c>
      <c r="L401" t="s">
        <v>74</v>
      </c>
      <c r="M401" t="s">
        <v>78</v>
      </c>
      <c r="N401" t="s">
        <v>79</v>
      </c>
      <c r="O401" t="s">
        <v>74</v>
      </c>
      <c r="P401" t="s">
        <v>74</v>
      </c>
      <c r="Q401" t="s">
        <v>74</v>
      </c>
      <c r="R401" t="s">
        <v>74</v>
      </c>
      <c r="S401" t="s">
        <v>74</v>
      </c>
      <c r="T401" t="s">
        <v>7826</v>
      </c>
      <c r="U401" t="s">
        <v>7827</v>
      </c>
      <c r="V401" t="s">
        <v>7828</v>
      </c>
      <c r="W401" t="s">
        <v>7829</v>
      </c>
      <c r="X401" t="s">
        <v>7830</v>
      </c>
      <c r="Y401" t="s">
        <v>7831</v>
      </c>
      <c r="Z401" t="s">
        <v>7832</v>
      </c>
      <c r="AA401" t="s">
        <v>74</v>
      </c>
      <c r="AB401" t="s">
        <v>7833</v>
      </c>
      <c r="AC401" t="s">
        <v>7834</v>
      </c>
      <c r="AD401" t="s">
        <v>7835</v>
      </c>
      <c r="AE401" t="s">
        <v>7836</v>
      </c>
      <c r="AF401" t="s">
        <v>74</v>
      </c>
      <c r="AG401">
        <v>106</v>
      </c>
      <c r="AH401">
        <v>0</v>
      </c>
      <c r="AI401">
        <v>0</v>
      </c>
      <c r="AJ401">
        <v>0</v>
      </c>
      <c r="AK401">
        <v>0</v>
      </c>
      <c r="AL401" t="s">
        <v>89</v>
      </c>
      <c r="AM401" t="s">
        <v>90</v>
      </c>
      <c r="AN401" t="s">
        <v>91</v>
      </c>
      <c r="AO401" t="s">
        <v>7837</v>
      </c>
      <c r="AP401" t="s">
        <v>7838</v>
      </c>
      <c r="AQ401" t="s">
        <v>74</v>
      </c>
      <c r="AR401" t="s">
        <v>7839</v>
      </c>
      <c r="AS401" t="s">
        <v>7840</v>
      </c>
      <c r="AT401" t="s">
        <v>954</v>
      </c>
      <c r="AU401">
        <v>2024</v>
      </c>
      <c r="AV401">
        <v>193</v>
      </c>
      <c r="AW401" t="s">
        <v>74</v>
      </c>
      <c r="AX401" t="s">
        <v>74</v>
      </c>
      <c r="AY401" t="s">
        <v>74</v>
      </c>
      <c r="AZ401" t="s">
        <v>74</v>
      </c>
      <c r="BA401" t="s">
        <v>74</v>
      </c>
      <c r="BB401" t="s">
        <v>74</v>
      </c>
      <c r="BC401" t="s">
        <v>74</v>
      </c>
      <c r="BD401">
        <v>106270</v>
      </c>
      <c r="BE401" t="s">
        <v>7841</v>
      </c>
      <c r="BF401" t="str">
        <f>HYPERLINK("http://dx.doi.org/10.1016/j.marenvres.2023.106270","http://dx.doi.org/10.1016/j.marenvres.2023.106270")</f>
        <v>http://dx.doi.org/10.1016/j.marenvres.2023.106270</v>
      </c>
      <c r="BG401" t="s">
        <v>74</v>
      </c>
      <c r="BH401" t="s">
        <v>6982</v>
      </c>
      <c r="BI401">
        <v>14</v>
      </c>
      <c r="BJ401" t="s">
        <v>7842</v>
      </c>
      <c r="BK401" t="s">
        <v>100</v>
      </c>
      <c r="BL401" t="s">
        <v>7843</v>
      </c>
      <c r="BM401" t="s">
        <v>7844</v>
      </c>
      <c r="BN401">
        <v>38011827</v>
      </c>
      <c r="BO401" t="s">
        <v>74</v>
      </c>
      <c r="BP401" t="s">
        <v>74</v>
      </c>
      <c r="BQ401" t="s">
        <v>74</v>
      </c>
      <c r="BR401" t="s">
        <v>104</v>
      </c>
      <c r="BS401" t="s">
        <v>7845</v>
      </c>
      <c r="BT401" t="str">
        <f>HYPERLINK("https%3A%2F%2Fwww.webofscience.com%2Fwos%2Fwoscc%2Ffull-record%2FWOS:001127688700001","View Full Record in Web of Science")</f>
        <v>View Full Record in Web of Science</v>
      </c>
    </row>
    <row r="402" spans="1:72" x14ac:dyDescent="0.15">
      <c r="A402" t="s">
        <v>72</v>
      </c>
      <c r="B402" t="s">
        <v>7846</v>
      </c>
      <c r="C402" t="s">
        <v>74</v>
      </c>
      <c r="D402" t="s">
        <v>74</v>
      </c>
      <c r="E402" t="s">
        <v>74</v>
      </c>
      <c r="F402" t="s">
        <v>7847</v>
      </c>
      <c r="G402" t="s">
        <v>74</v>
      </c>
      <c r="H402" t="s">
        <v>74</v>
      </c>
      <c r="I402" t="s">
        <v>7848</v>
      </c>
      <c r="J402" t="s">
        <v>7849</v>
      </c>
      <c r="K402" t="s">
        <v>74</v>
      </c>
      <c r="L402" t="s">
        <v>74</v>
      </c>
      <c r="M402" t="s">
        <v>78</v>
      </c>
      <c r="N402" t="s">
        <v>79</v>
      </c>
      <c r="O402" t="s">
        <v>74</v>
      </c>
      <c r="P402" t="s">
        <v>74</v>
      </c>
      <c r="Q402" t="s">
        <v>74</v>
      </c>
      <c r="R402" t="s">
        <v>74</v>
      </c>
      <c r="S402" t="s">
        <v>74</v>
      </c>
      <c r="T402" t="s">
        <v>7850</v>
      </c>
      <c r="U402" t="s">
        <v>7851</v>
      </c>
      <c r="V402" t="s">
        <v>7852</v>
      </c>
      <c r="W402" t="s">
        <v>7853</v>
      </c>
      <c r="X402" t="s">
        <v>7854</v>
      </c>
      <c r="Y402" t="s">
        <v>7855</v>
      </c>
      <c r="Z402" t="s">
        <v>7856</v>
      </c>
      <c r="AA402" t="s">
        <v>7857</v>
      </c>
      <c r="AB402" t="s">
        <v>7858</v>
      </c>
      <c r="AC402" t="s">
        <v>7859</v>
      </c>
      <c r="AD402" t="s">
        <v>7860</v>
      </c>
      <c r="AE402" t="s">
        <v>7861</v>
      </c>
      <c r="AF402" t="s">
        <v>74</v>
      </c>
      <c r="AG402">
        <v>43</v>
      </c>
      <c r="AH402">
        <v>0</v>
      </c>
      <c r="AI402">
        <v>0</v>
      </c>
      <c r="AJ402">
        <v>5</v>
      </c>
      <c r="AK402">
        <v>5</v>
      </c>
      <c r="AL402" t="s">
        <v>3013</v>
      </c>
      <c r="AM402" t="s">
        <v>3014</v>
      </c>
      <c r="AN402" t="s">
        <v>3015</v>
      </c>
      <c r="AO402" t="s">
        <v>7862</v>
      </c>
      <c r="AP402" t="s">
        <v>7863</v>
      </c>
      <c r="AQ402" t="s">
        <v>74</v>
      </c>
      <c r="AR402" t="s">
        <v>7864</v>
      </c>
      <c r="AS402" t="s">
        <v>7865</v>
      </c>
      <c r="AT402" t="s">
        <v>954</v>
      </c>
      <c r="AU402">
        <v>2024</v>
      </c>
      <c r="AV402">
        <v>190</v>
      </c>
      <c r="AW402" t="s">
        <v>74</v>
      </c>
      <c r="AX402" t="s">
        <v>74</v>
      </c>
      <c r="AY402" t="s">
        <v>74</v>
      </c>
      <c r="AZ402" t="s">
        <v>74</v>
      </c>
      <c r="BA402" t="s">
        <v>74</v>
      </c>
      <c r="BB402" t="s">
        <v>74</v>
      </c>
      <c r="BC402" t="s">
        <v>74</v>
      </c>
      <c r="BD402">
        <v>107968</v>
      </c>
      <c r="BE402" t="s">
        <v>7866</v>
      </c>
      <c r="BF402" t="str">
        <f>HYPERLINK("http://dx.doi.org/10.1016/j.ympev.2023.107968","http://dx.doi.org/10.1016/j.ympev.2023.107968")</f>
        <v>http://dx.doi.org/10.1016/j.ympev.2023.107968</v>
      </c>
      <c r="BG402" t="s">
        <v>74</v>
      </c>
      <c r="BH402" t="s">
        <v>6982</v>
      </c>
      <c r="BI402">
        <v>6</v>
      </c>
      <c r="BJ402" t="s">
        <v>7867</v>
      </c>
      <c r="BK402" t="s">
        <v>100</v>
      </c>
      <c r="BL402" t="s">
        <v>7867</v>
      </c>
      <c r="BM402" t="s">
        <v>7868</v>
      </c>
      <c r="BN402">
        <v>38000707</v>
      </c>
      <c r="BO402" t="s">
        <v>74</v>
      </c>
      <c r="BP402" t="s">
        <v>74</v>
      </c>
      <c r="BQ402" t="s">
        <v>74</v>
      </c>
      <c r="BR402" t="s">
        <v>104</v>
      </c>
      <c r="BS402" t="s">
        <v>7869</v>
      </c>
      <c r="BT402" t="str">
        <f>HYPERLINK("https%3A%2F%2Fwww.webofscience.com%2Fwos%2Fwoscc%2Ffull-record%2FWOS:001127734100001","View Full Record in Web of Science")</f>
        <v>View Full Record in Web of Science</v>
      </c>
    </row>
    <row r="403" spans="1:72" x14ac:dyDescent="0.15">
      <c r="A403" t="s">
        <v>72</v>
      </c>
      <c r="B403" t="s">
        <v>7870</v>
      </c>
      <c r="C403" t="s">
        <v>74</v>
      </c>
      <c r="D403" t="s">
        <v>74</v>
      </c>
      <c r="E403" t="s">
        <v>74</v>
      </c>
      <c r="F403" t="s">
        <v>7871</v>
      </c>
      <c r="G403" t="s">
        <v>74</v>
      </c>
      <c r="H403" t="s">
        <v>74</v>
      </c>
      <c r="I403" t="s">
        <v>7872</v>
      </c>
      <c r="J403" t="s">
        <v>2624</v>
      </c>
      <c r="K403" t="s">
        <v>74</v>
      </c>
      <c r="L403" t="s">
        <v>74</v>
      </c>
      <c r="M403" t="s">
        <v>78</v>
      </c>
      <c r="N403" t="s">
        <v>79</v>
      </c>
      <c r="O403" t="s">
        <v>74</v>
      </c>
      <c r="P403" t="s">
        <v>74</v>
      </c>
      <c r="Q403" t="s">
        <v>74</v>
      </c>
      <c r="R403" t="s">
        <v>74</v>
      </c>
      <c r="S403" t="s">
        <v>74</v>
      </c>
      <c r="T403" t="s">
        <v>7873</v>
      </c>
      <c r="U403" t="s">
        <v>7874</v>
      </c>
      <c r="V403" t="s">
        <v>7875</v>
      </c>
      <c r="W403" t="s">
        <v>7876</v>
      </c>
      <c r="X403" t="s">
        <v>7877</v>
      </c>
      <c r="Y403" t="s">
        <v>7878</v>
      </c>
      <c r="Z403" t="s">
        <v>7879</v>
      </c>
      <c r="AA403" t="s">
        <v>7880</v>
      </c>
      <c r="AB403" t="s">
        <v>7881</v>
      </c>
      <c r="AC403" t="s">
        <v>7882</v>
      </c>
      <c r="AD403" t="s">
        <v>7883</v>
      </c>
      <c r="AE403" t="s">
        <v>7884</v>
      </c>
      <c r="AF403" t="s">
        <v>74</v>
      </c>
      <c r="AG403">
        <v>120</v>
      </c>
      <c r="AH403">
        <v>1</v>
      </c>
      <c r="AI403">
        <v>1</v>
      </c>
      <c r="AJ403">
        <v>3</v>
      </c>
      <c r="AK403">
        <v>3</v>
      </c>
      <c r="AL403" t="s">
        <v>947</v>
      </c>
      <c r="AM403" t="s">
        <v>948</v>
      </c>
      <c r="AN403" t="s">
        <v>949</v>
      </c>
      <c r="AO403" t="s">
        <v>2637</v>
      </c>
      <c r="AP403" t="s">
        <v>2638</v>
      </c>
      <c r="AQ403" t="s">
        <v>74</v>
      </c>
      <c r="AR403" t="s">
        <v>2624</v>
      </c>
      <c r="AS403" t="s">
        <v>2639</v>
      </c>
      <c r="AT403" t="s">
        <v>4250</v>
      </c>
      <c r="AU403">
        <v>2024</v>
      </c>
      <c r="AV403">
        <v>445</v>
      </c>
      <c r="AW403" t="s">
        <v>74</v>
      </c>
      <c r="AX403" t="s">
        <v>74</v>
      </c>
      <c r="AY403" t="s">
        <v>74</v>
      </c>
      <c r="AZ403" t="s">
        <v>74</v>
      </c>
      <c r="BA403" t="s">
        <v>74</v>
      </c>
      <c r="BB403" t="s">
        <v>74</v>
      </c>
      <c r="BC403" t="s">
        <v>74</v>
      </c>
      <c r="BD403">
        <v>108970</v>
      </c>
      <c r="BE403" t="s">
        <v>7885</v>
      </c>
      <c r="BF403" t="str">
        <f>HYPERLINK("http://dx.doi.org/10.1016/j.geomorph.2023.108970","http://dx.doi.org/10.1016/j.geomorph.2023.108970")</f>
        <v>http://dx.doi.org/10.1016/j.geomorph.2023.108970</v>
      </c>
      <c r="BG403" t="s">
        <v>74</v>
      </c>
      <c r="BH403" t="s">
        <v>6982</v>
      </c>
      <c r="BI403">
        <v>15</v>
      </c>
      <c r="BJ403" t="s">
        <v>984</v>
      </c>
      <c r="BK403" t="s">
        <v>100</v>
      </c>
      <c r="BL403" t="s">
        <v>985</v>
      </c>
      <c r="BM403" t="s">
        <v>7886</v>
      </c>
      <c r="BN403" t="s">
        <v>74</v>
      </c>
      <c r="BO403" t="s">
        <v>103</v>
      </c>
      <c r="BP403" t="s">
        <v>74</v>
      </c>
      <c r="BQ403" t="s">
        <v>74</v>
      </c>
      <c r="BR403" t="s">
        <v>104</v>
      </c>
      <c r="BS403" t="s">
        <v>7887</v>
      </c>
      <c r="BT403" t="str">
        <f>HYPERLINK("https%3A%2F%2Fwww.webofscience.com%2Fwos%2Fwoscc%2Ffull-record%2FWOS:001128983800001","View Full Record in Web of Science")</f>
        <v>View Full Record in Web of Science</v>
      </c>
    </row>
    <row r="404" spans="1:72" x14ac:dyDescent="0.15">
      <c r="A404" t="s">
        <v>72</v>
      </c>
      <c r="B404" t="s">
        <v>7888</v>
      </c>
      <c r="C404" t="s">
        <v>74</v>
      </c>
      <c r="D404" t="s">
        <v>74</v>
      </c>
      <c r="E404" t="s">
        <v>74</v>
      </c>
      <c r="F404" t="s">
        <v>7889</v>
      </c>
      <c r="G404" t="s">
        <v>74</v>
      </c>
      <c r="H404" t="s">
        <v>74</v>
      </c>
      <c r="I404" t="s">
        <v>7890</v>
      </c>
      <c r="J404" t="s">
        <v>2646</v>
      </c>
      <c r="K404" t="s">
        <v>74</v>
      </c>
      <c r="L404" t="s">
        <v>74</v>
      </c>
      <c r="M404" t="s">
        <v>78</v>
      </c>
      <c r="N404" t="s">
        <v>3749</v>
      </c>
      <c r="O404" t="s">
        <v>74</v>
      </c>
      <c r="P404" t="s">
        <v>74</v>
      </c>
      <c r="Q404" t="s">
        <v>74</v>
      </c>
      <c r="R404" t="s">
        <v>74</v>
      </c>
      <c r="S404" t="s">
        <v>74</v>
      </c>
      <c r="T404" t="s">
        <v>7891</v>
      </c>
      <c r="U404" t="s">
        <v>74</v>
      </c>
      <c r="V404" t="s">
        <v>7892</v>
      </c>
      <c r="W404" t="s">
        <v>7893</v>
      </c>
      <c r="X404" t="s">
        <v>7894</v>
      </c>
      <c r="Y404" t="s">
        <v>7895</v>
      </c>
      <c r="Z404" t="s">
        <v>7896</v>
      </c>
      <c r="AA404" t="s">
        <v>74</v>
      </c>
      <c r="AB404" t="s">
        <v>7897</v>
      </c>
      <c r="AC404" t="s">
        <v>7898</v>
      </c>
      <c r="AD404" t="s">
        <v>7898</v>
      </c>
      <c r="AE404" t="s">
        <v>7899</v>
      </c>
      <c r="AF404" t="s">
        <v>74</v>
      </c>
      <c r="AG404">
        <v>5</v>
      </c>
      <c r="AH404">
        <v>0</v>
      </c>
      <c r="AI404">
        <v>0</v>
      </c>
      <c r="AJ404">
        <v>1</v>
      </c>
      <c r="AK404">
        <v>1</v>
      </c>
      <c r="AL404" t="s">
        <v>947</v>
      </c>
      <c r="AM404" t="s">
        <v>948</v>
      </c>
      <c r="AN404" t="s">
        <v>949</v>
      </c>
      <c r="AO404" t="s">
        <v>2659</v>
      </c>
      <c r="AP404" t="s">
        <v>74</v>
      </c>
      <c r="AQ404" t="s">
        <v>74</v>
      </c>
      <c r="AR404" t="s">
        <v>2660</v>
      </c>
      <c r="AS404" t="s">
        <v>2661</v>
      </c>
      <c r="AT404" t="s">
        <v>1133</v>
      </c>
      <c r="AU404">
        <v>2024</v>
      </c>
      <c r="AV404">
        <v>52</v>
      </c>
      <c r="AW404" t="s">
        <v>74</v>
      </c>
      <c r="AX404" t="s">
        <v>74</v>
      </c>
      <c r="AY404" t="s">
        <v>74</v>
      </c>
      <c r="AZ404" t="s">
        <v>74</v>
      </c>
      <c r="BA404" t="s">
        <v>74</v>
      </c>
      <c r="BB404" t="s">
        <v>74</v>
      </c>
      <c r="BC404" t="s">
        <v>74</v>
      </c>
      <c r="BD404">
        <v>109826</v>
      </c>
      <c r="BE404" t="s">
        <v>7900</v>
      </c>
      <c r="BF404" t="str">
        <f>HYPERLINK("http://dx.doi.org/10.1016/j.dib.2023.109826","http://dx.doi.org/10.1016/j.dib.2023.109826")</f>
        <v>http://dx.doi.org/10.1016/j.dib.2023.109826</v>
      </c>
      <c r="BG404" t="s">
        <v>74</v>
      </c>
      <c r="BH404" t="s">
        <v>6982</v>
      </c>
      <c r="BI404">
        <v>6</v>
      </c>
      <c r="BJ404" t="s">
        <v>1035</v>
      </c>
      <c r="BK404" t="s">
        <v>912</v>
      </c>
      <c r="BL404" t="s">
        <v>1036</v>
      </c>
      <c r="BM404" t="s">
        <v>7901</v>
      </c>
      <c r="BN404">
        <v>38370024</v>
      </c>
      <c r="BO404" t="s">
        <v>265</v>
      </c>
      <c r="BP404" t="s">
        <v>74</v>
      </c>
      <c r="BQ404" t="s">
        <v>74</v>
      </c>
      <c r="BR404" t="s">
        <v>104</v>
      </c>
      <c r="BS404" t="s">
        <v>7902</v>
      </c>
      <c r="BT404" t="str">
        <f>HYPERLINK("https%3A%2F%2Fwww.webofscience.com%2Fwos%2Fwoscc%2Ffull-record%2FWOS:001126640000001","View Full Record in Web of Science")</f>
        <v>View Full Record in Web of Science</v>
      </c>
    </row>
    <row r="405" spans="1:72" x14ac:dyDescent="0.15">
      <c r="A405" t="s">
        <v>72</v>
      </c>
      <c r="B405" t="s">
        <v>7903</v>
      </c>
      <c r="C405" t="s">
        <v>74</v>
      </c>
      <c r="D405" t="s">
        <v>74</v>
      </c>
      <c r="E405" t="s">
        <v>74</v>
      </c>
      <c r="F405" t="s">
        <v>7904</v>
      </c>
      <c r="G405" t="s">
        <v>74</v>
      </c>
      <c r="H405" t="s">
        <v>74</v>
      </c>
      <c r="I405" t="s">
        <v>7905</v>
      </c>
      <c r="J405" t="s">
        <v>2809</v>
      </c>
      <c r="K405" t="s">
        <v>74</v>
      </c>
      <c r="L405" t="s">
        <v>74</v>
      </c>
      <c r="M405" t="s">
        <v>78</v>
      </c>
      <c r="N405" t="s">
        <v>79</v>
      </c>
      <c r="O405" t="s">
        <v>74</v>
      </c>
      <c r="P405" t="s">
        <v>74</v>
      </c>
      <c r="Q405" t="s">
        <v>74</v>
      </c>
      <c r="R405" t="s">
        <v>74</v>
      </c>
      <c r="S405" t="s">
        <v>74</v>
      </c>
      <c r="T405" t="s">
        <v>74</v>
      </c>
      <c r="U405" t="s">
        <v>7906</v>
      </c>
      <c r="V405" t="s">
        <v>7907</v>
      </c>
      <c r="W405" t="s">
        <v>7908</v>
      </c>
      <c r="X405" t="s">
        <v>7909</v>
      </c>
      <c r="Y405" t="s">
        <v>7910</v>
      </c>
      <c r="Z405" t="s">
        <v>7911</v>
      </c>
      <c r="AA405" t="s">
        <v>7912</v>
      </c>
      <c r="AB405" t="s">
        <v>7913</v>
      </c>
      <c r="AC405" t="s">
        <v>7914</v>
      </c>
      <c r="AD405" t="s">
        <v>7914</v>
      </c>
      <c r="AE405" t="s">
        <v>7915</v>
      </c>
      <c r="AF405" t="s">
        <v>74</v>
      </c>
      <c r="AG405">
        <v>83</v>
      </c>
      <c r="AH405">
        <v>0</v>
      </c>
      <c r="AI405">
        <v>0</v>
      </c>
      <c r="AJ405">
        <v>1</v>
      </c>
      <c r="AK405">
        <v>1</v>
      </c>
      <c r="AL405" t="s">
        <v>1838</v>
      </c>
      <c r="AM405" t="s">
        <v>1839</v>
      </c>
      <c r="AN405" t="s">
        <v>1840</v>
      </c>
      <c r="AO405" t="s">
        <v>2818</v>
      </c>
      <c r="AP405" t="s">
        <v>2819</v>
      </c>
      <c r="AQ405" t="s">
        <v>74</v>
      </c>
      <c r="AR405" t="s">
        <v>2809</v>
      </c>
      <c r="AS405" t="s">
        <v>2820</v>
      </c>
      <c r="AT405" t="s">
        <v>7916</v>
      </c>
      <c r="AU405">
        <v>2023</v>
      </c>
      <c r="AV405">
        <v>17</v>
      </c>
      <c r="AW405">
        <v>11</v>
      </c>
      <c r="AX405" t="s">
        <v>74</v>
      </c>
      <c r="AY405" t="s">
        <v>74</v>
      </c>
      <c r="AZ405" t="s">
        <v>74</v>
      </c>
      <c r="BA405" t="s">
        <v>74</v>
      </c>
      <c r="BB405">
        <v>4917</v>
      </c>
      <c r="BC405">
        <v>4936</v>
      </c>
      <c r="BD405" t="s">
        <v>74</v>
      </c>
      <c r="BE405" t="s">
        <v>7917</v>
      </c>
      <c r="BF405" t="str">
        <f>HYPERLINK("http://dx.doi.org/10.5194/tc-17-4917-2023","http://dx.doi.org/10.5194/tc-17-4917-2023")</f>
        <v>http://dx.doi.org/10.5194/tc-17-4917-2023</v>
      </c>
      <c r="BG405" t="s">
        <v>74</v>
      </c>
      <c r="BH405" t="s">
        <v>74</v>
      </c>
      <c r="BI405">
        <v>20</v>
      </c>
      <c r="BJ405" t="s">
        <v>984</v>
      </c>
      <c r="BK405" t="s">
        <v>100</v>
      </c>
      <c r="BL405" t="s">
        <v>985</v>
      </c>
      <c r="BM405" t="s">
        <v>7918</v>
      </c>
      <c r="BN405" t="s">
        <v>74</v>
      </c>
      <c r="BO405" t="s">
        <v>131</v>
      </c>
      <c r="BP405" t="s">
        <v>74</v>
      </c>
      <c r="BQ405" t="s">
        <v>74</v>
      </c>
      <c r="BR405" t="s">
        <v>104</v>
      </c>
      <c r="BS405" t="s">
        <v>7919</v>
      </c>
      <c r="BT405" t="str">
        <f>HYPERLINK("https%3A%2F%2Fwww.webofscience.com%2Fwos%2Fwoscc%2Ffull-record%2FWOS:001171635200001","View Full Record in Web of Science")</f>
        <v>View Full Record in Web of Science</v>
      </c>
    </row>
    <row r="406" spans="1:72" x14ac:dyDescent="0.15">
      <c r="A406" t="s">
        <v>72</v>
      </c>
      <c r="B406" t="s">
        <v>7920</v>
      </c>
      <c r="C406" t="s">
        <v>74</v>
      </c>
      <c r="D406" t="s">
        <v>74</v>
      </c>
      <c r="E406" t="s">
        <v>74</v>
      </c>
      <c r="F406" t="s">
        <v>7921</v>
      </c>
      <c r="G406" t="s">
        <v>74</v>
      </c>
      <c r="H406" t="s">
        <v>74</v>
      </c>
      <c r="I406" t="s">
        <v>7922</v>
      </c>
      <c r="J406" t="s">
        <v>2809</v>
      </c>
      <c r="K406" t="s">
        <v>74</v>
      </c>
      <c r="L406" t="s">
        <v>74</v>
      </c>
      <c r="M406" t="s">
        <v>78</v>
      </c>
      <c r="N406" t="s">
        <v>79</v>
      </c>
      <c r="O406" t="s">
        <v>74</v>
      </c>
      <c r="P406" t="s">
        <v>74</v>
      </c>
      <c r="Q406" t="s">
        <v>74</v>
      </c>
      <c r="R406" t="s">
        <v>74</v>
      </c>
      <c r="S406" t="s">
        <v>74</v>
      </c>
      <c r="T406" t="s">
        <v>74</v>
      </c>
      <c r="U406" t="s">
        <v>7923</v>
      </c>
      <c r="V406" t="s">
        <v>7924</v>
      </c>
      <c r="W406" t="s">
        <v>7925</v>
      </c>
      <c r="X406" t="s">
        <v>7926</v>
      </c>
      <c r="Y406" t="s">
        <v>7927</v>
      </c>
      <c r="Z406" t="s">
        <v>7928</v>
      </c>
      <c r="AA406" t="s">
        <v>7929</v>
      </c>
      <c r="AB406" t="s">
        <v>7930</v>
      </c>
      <c r="AC406" t="s">
        <v>7931</v>
      </c>
      <c r="AD406" t="s">
        <v>7931</v>
      </c>
      <c r="AE406" t="s">
        <v>7932</v>
      </c>
      <c r="AF406" t="s">
        <v>74</v>
      </c>
      <c r="AG406">
        <v>49</v>
      </c>
      <c r="AH406">
        <v>0</v>
      </c>
      <c r="AI406">
        <v>0</v>
      </c>
      <c r="AJ406">
        <v>0</v>
      </c>
      <c r="AK406">
        <v>0</v>
      </c>
      <c r="AL406" t="s">
        <v>1838</v>
      </c>
      <c r="AM406" t="s">
        <v>1839</v>
      </c>
      <c r="AN406" t="s">
        <v>1840</v>
      </c>
      <c r="AO406" t="s">
        <v>2818</v>
      </c>
      <c r="AP406" t="s">
        <v>2819</v>
      </c>
      <c r="AQ406" t="s">
        <v>74</v>
      </c>
      <c r="AR406" t="s">
        <v>2809</v>
      </c>
      <c r="AS406" t="s">
        <v>2820</v>
      </c>
      <c r="AT406" t="s">
        <v>7916</v>
      </c>
      <c r="AU406">
        <v>2023</v>
      </c>
      <c r="AV406">
        <v>17</v>
      </c>
      <c r="AW406">
        <v>11</v>
      </c>
      <c r="AX406" t="s">
        <v>74</v>
      </c>
      <c r="AY406" t="s">
        <v>74</v>
      </c>
      <c r="AZ406" t="s">
        <v>74</v>
      </c>
      <c r="BA406" t="s">
        <v>74</v>
      </c>
      <c r="BB406">
        <v>4937</v>
      </c>
      <c r="BC406">
        <v>4956</v>
      </c>
      <c r="BD406" t="s">
        <v>74</v>
      </c>
      <c r="BE406" t="s">
        <v>7933</v>
      </c>
      <c r="BF406" t="str">
        <f>HYPERLINK("http://dx.doi.org/10.5194/tc-17-4937-2023","http://dx.doi.org/10.5194/tc-17-4937-2023")</f>
        <v>http://dx.doi.org/10.5194/tc-17-4937-2023</v>
      </c>
      <c r="BG406" t="s">
        <v>74</v>
      </c>
      <c r="BH406" t="s">
        <v>74</v>
      </c>
      <c r="BI406">
        <v>20</v>
      </c>
      <c r="BJ406" t="s">
        <v>984</v>
      </c>
      <c r="BK406" t="s">
        <v>100</v>
      </c>
      <c r="BL406" t="s">
        <v>985</v>
      </c>
      <c r="BM406" t="s">
        <v>7934</v>
      </c>
      <c r="BN406" t="s">
        <v>74</v>
      </c>
      <c r="BO406" t="s">
        <v>349</v>
      </c>
      <c r="BP406" t="s">
        <v>74</v>
      </c>
      <c r="BQ406" t="s">
        <v>74</v>
      </c>
      <c r="BR406" t="s">
        <v>104</v>
      </c>
      <c r="BS406" t="s">
        <v>7935</v>
      </c>
      <c r="BT406" t="str">
        <f>HYPERLINK("https%3A%2F%2Fwww.webofscience.com%2Fwos%2Fwoscc%2Ffull-record%2FWOS:001168785700001","View Full Record in Web of Science")</f>
        <v>View Full Record in Web of Science</v>
      </c>
    </row>
    <row r="407" spans="1:72" x14ac:dyDescent="0.15">
      <c r="A407" t="s">
        <v>72</v>
      </c>
      <c r="B407" t="s">
        <v>7936</v>
      </c>
      <c r="C407" t="s">
        <v>74</v>
      </c>
      <c r="D407" t="s">
        <v>74</v>
      </c>
      <c r="E407" t="s">
        <v>74</v>
      </c>
      <c r="F407" t="s">
        <v>7937</v>
      </c>
      <c r="G407" t="s">
        <v>74</v>
      </c>
      <c r="H407" t="s">
        <v>74</v>
      </c>
      <c r="I407" t="s">
        <v>7938</v>
      </c>
      <c r="J407" t="s">
        <v>7939</v>
      </c>
      <c r="K407" t="s">
        <v>74</v>
      </c>
      <c r="L407" t="s">
        <v>74</v>
      </c>
      <c r="M407" t="s">
        <v>78</v>
      </c>
      <c r="N407" t="s">
        <v>79</v>
      </c>
      <c r="O407" t="s">
        <v>74</v>
      </c>
      <c r="P407" t="s">
        <v>74</v>
      </c>
      <c r="Q407" t="s">
        <v>74</v>
      </c>
      <c r="R407" t="s">
        <v>74</v>
      </c>
      <c r="S407" t="s">
        <v>74</v>
      </c>
      <c r="T407" t="s">
        <v>74</v>
      </c>
      <c r="U407" t="s">
        <v>7940</v>
      </c>
      <c r="V407" t="s">
        <v>7941</v>
      </c>
      <c r="W407" t="s">
        <v>7942</v>
      </c>
      <c r="X407" t="s">
        <v>7943</v>
      </c>
      <c r="Y407" t="s">
        <v>7944</v>
      </c>
      <c r="Z407" t="s">
        <v>7945</v>
      </c>
      <c r="AA407" t="s">
        <v>74</v>
      </c>
      <c r="AB407" t="s">
        <v>7946</v>
      </c>
      <c r="AC407" t="s">
        <v>7947</v>
      </c>
      <c r="AD407" t="s">
        <v>7948</v>
      </c>
      <c r="AE407" t="s">
        <v>7949</v>
      </c>
      <c r="AF407" t="s">
        <v>74</v>
      </c>
      <c r="AG407">
        <v>71</v>
      </c>
      <c r="AH407">
        <v>0</v>
      </c>
      <c r="AI407">
        <v>0</v>
      </c>
      <c r="AJ407">
        <v>6</v>
      </c>
      <c r="AK407">
        <v>6</v>
      </c>
      <c r="AL407" t="s">
        <v>3057</v>
      </c>
      <c r="AM407" t="s">
        <v>3058</v>
      </c>
      <c r="AN407" t="s">
        <v>3059</v>
      </c>
      <c r="AO407" t="s">
        <v>74</v>
      </c>
      <c r="AP407" t="s">
        <v>7950</v>
      </c>
      <c r="AQ407" t="s">
        <v>74</v>
      </c>
      <c r="AR407" t="s">
        <v>7951</v>
      </c>
      <c r="AS407" t="s">
        <v>7952</v>
      </c>
      <c r="AT407" t="s">
        <v>7916</v>
      </c>
      <c r="AU407">
        <v>2023</v>
      </c>
      <c r="AV407">
        <v>6</v>
      </c>
      <c r="AW407">
        <v>1</v>
      </c>
      <c r="AX407" t="s">
        <v>74</v>
      </c>
      <c r="AY407" t="s">
        <v>74</v>
      </c>
      <c r="AZ407" t="s">
        <v>74</v>
      </c>
      <c r="BA407" t="s">
        <v>74</v>
      </c>
      <c r="BB407" t="s">
        <v>74</v>
      </c>
      <c r="BC407" t="s">
        <v>74</v>
      </c>
      <c r="BD407">
        <v>1194</v>
      </c>
      <c r="BE407" t="s">
        <v>7953</v>
      </c>
      <c r="BF407" t="str">
        <f>HYPERLINK("http://dx.doi.org/10.1038/s42003-023-05573-9","http://dx.doi.org/10.1038/s42003-023-05573-9")</f>
        <v>http://dx.doi.org/10.1038/s42003-023-05573-9</v>
      </c>
      <c r="BG407" t="s">
        <v>74</v>
      </c>
      <c r="BH407" t="s">
        <v>74</v>
      </c>
      <c r="BI407">
        <v>10</v>
      </c>
      <c r="BJ407" t="s">
        <v>7954</v>
      </c>
      <c r="BK407" t="s">
        <v>100</v>
      </c>
      <c r="BL407" t="s">
        <v>7955</v>
      </c>
      <c r="BM407" t="s">
        <v>7956</v>
      </c>
      <c r="BN407">
        <v>38001159</v>
      </c>
      <c r="BO407" t="s">
        <v>131</v>
      </c>
      <c r="BP407" t="s">
        <v>74</v>
      </c>
      <c r="BQ407" t="s">
        <v>74</v>
      </c>
      <c r="BR407" t="s">
        <v>104</v>
      </c>
      <c r="BS407" t="s">
        <v>7957</v>
      </c>
      <c r="BT407" t="str">
        <f>HYPERLINK("https%3A%2F%2Fwww.webofscience.com%2Fwos%2Fwoscc%2Ffull-record%2FWOS:001109195000006","View Full Record in Web of Science")</f>
        <v>View Full Record in Web of Science</v>
      </c>
    </row>
    <row r="408" spans="1:72" x14ac:dyDescent="0.15">
      <c r="A408" t="s">
        <v>72</v>
      </c>
      <c r="B408" t="s">
        <v>7958</v>
      </c>
      <c r="C408" t="s">
        <v>74</v>
      </c>
      <c r="D408" t="s">
        <v>74</v>
      </c>
      <c r="E408" t="s">
        <v>74</v>
      </c>
      <c r="F408" t="s">
        <v>7959</v>
      </c>
      <c r="G408" t="s">
        <v>74</v>
      </c>
      <c r="H408" t="s">
        <v>74</v>
      </c>
      <c r="I408" t="s">
        <v>7960</v>
      </c>
      <c r="J408" t="s">
        <v>1116</v>
      </c>
      <c r="K408" t="s">
        <v>74</v>
      </c>
      <c r="L408" t="s">
        <v>74</v>
      </c>
      <c r="M408" t="s">
        <v>78</v>
      </c>
      <c r="N408" t="s">
        <v>79</v>
      </c>
      <c r="O408" t="s">
        <v>74</v>
      </c>
      <c r="P408" t="s">
        <v>74</v>
      </c>
      <c r="Q408" t="s">
        <v>74</v>
      </c>
      <c r="R408" t="s">
        <v>74</v>
      </c>
      <c r="S408" t="s">
        <v>74</v>
      </c>
      <c r="T408" t="s">
        <v>7961</v>
      </c>
      <c r="U408" t="s">
        <v>7962</v>
      </c>
      <c r="V408" t="s">
        <v>7963</v>
      </c>
      <c r="W408" t="s">
        <v>7964</v>
      </c>
      <c r="X408" t="s">
        <v>7965</v>
      </c>
      <c r="Y408" t="s">
        <v>7966</v>
      </c>
      <c r="Z408" t="s">
        <v>7967</v>
      </c>
      <c r="AA408" t="s">
        <v>7968</v>
      </c>
      <c r="AB408" t="s">
        <v>7969</v>
      </c>
      <c r="AC408" t="s">
        <v>7970</v>
      </c>
      <c r="AD408" t="s">
        <v>7971</v>
      </c>
      <c r="AE408" t="s">
        <v>7972</v>
      </c>
      <c r="AF408" t="s">
        <v>74</v>
      </c>
      <c r="AG408">
        <v>60</v>
      </c>
      <c r="AH408">
        <v>0</v>
      </c>
      <c r="AI408">
        <v>0</v>
      </c>
      <c r="AJ408">
        <v>5</v>
      </c>
      <c r="AK408">
        <v>5</v>
      </c>
      <c r="AL408" t="s">
        <v>975</v>
      </c>
      <c r="AM408" t="s">
        <v>976</v>
      </c>
      <c r="AN408" t="s">
        <v>977</v>
      </c>
      <c r="AO408" t="s">
        <v>1129</v>
      </c>
      <c r="AP408" t="s">
        <v>1130</v>
      </c>
      <c r="AQ408" t="s">
        <v>74</v>
      </c>
      <c r="AR408" t="s">
        <v>1131</v>
      </c>
      <c r="AS408" t="s">
        <v>1132</v>
      </c>
      <c r="AT408" t="s">
        <v>954</v>
      </c>
      <c r="AU408">
        <v>2024</v>
      </c>
      <c r="AV408">
        <v>198</v>
      </c>
      <c r="AW408" t="s">
        <v>74</v>
      </c>
      <c r="AX408" t="s">
        <v>74</v>
      </c>
      <c r="AY408" t="s">
        <v>74</v>
      </c>
      <c r="AZ408" t="s">
        <v>74</v>
      </c>
      <c r="BA408" t="s">
        <v>74</v>
      </c>
      <c r="BB408" t="s">
        <v>74</v>
      </c>
      <c r="BC408" t="s">
        <v>74</v>
      </c>
      <c r="BD408">
        <v>115818</v>
      </c>
      <c r="BE408" t="s">
        <v>7973</v>
      </c>
      <c r="BF408" t="str">
        <f>HYPERLINK("http://dx.doi.org/10.1016/j.marpolbul.2023.115818","http://dx.doi.org/10.1016/j.marpolbul.2023.115818")</f>
        <v>http://dx.doi.org/10.1016/j.marpolbul.2023.115818</v>
      </c>
      <c r="BG408" t="s">
        <v>74</v>
      </c>
      <c r="BH408" t="s">
        <v>6982</v>
      </c>
      <c r="BI408">
        <v>10</v>
      </c>
      <c r="BJ408" t="s">
        <v>1135</v>
      </c>
      <c r="BK408" t="s">
        <v>100</v>
      </c>
      <c r="BL408" t="s">
        <v>1136</v>
      </c>
      <c r="BM408" t="s">
        <v>7974</v>
      </c>
      <c r="BN408">
        <v>38000263</v>
      </c>
      <c r="BO408" t="s">
        <v>103</v>
      </c>
      <c r="BP408" t="s">
        <v>74</v>
      </c>
      <c r="BQ408" t="s">
        <v>74</v>
      </c>
      <c r="BR408" t="s">
        <v>104</v>
      </c>
      <c r="BS408" t="s">
        <v>7975</v>
      </c>
      <c r="BT408" t="str">
        <f>HYPERLINK("https%3A%2F%2Fwww.webofscience.com%2Fwos%2Fwoscc%2Ffull-record%2FWOS:001125250700001","View Full Record in Web of Science")</f>
        <v>View Full Record in Web of Science</v>
      </c>
    </row>
    <row r="409" spans="1:72" x14ac:dyDescent="0.15">
      <c r="A409" t="s">
        <v>72</v>
      </c>
      <c r="B409" t="s">
        <v>7976</v>
      </c>
      <c r="C409" t="s">
        <v>74</v>
      </c>
      <c r="D409" t="s">
        <v>74</v>
      </c>
      <c r="E409" t="s">
        <v>74</v>
      </c>
      <c r="F409" t="s">
        <v>7977</v>
      </c>
      <c r="G409" t="s">
        <v>74</v>
      </c>
      <c r="H409" t="s">
        <v>74</v>
      </c>
      <c r="I409" t="s">
        <v>7978</v>
      </c>
      <c r="J409" t="s">
        <v>2915</v>
      </c>
      <c r="K409" t="s">
        <v>74</v>
      </c>
      <c r="L409" t="s">
        <v>74</v>
      </c>
      <c r="M409" t="s">
        <v>78</v>
      </c>
      <c r="N409" t="s">
        <v>1547</v>
      </c>
      <c r="O409" t="s">
        <v>74</v>
      </c>
      <c r="P409" t="s">
        <v>74</v>
      </c>
      <c r="Q409" t="s">
        <v>74</v>
      </c>
      <c r="R409" t="s">
        <v>74</v>
      </c>
      <c r="S409" t="s">
        <v>74</v>
      </c>
      <c r="T409" t="s">
        <v>7979</v>
      </c>
      <c r="U409" t="s">
        <v>7980</v>
      </c>
      <c r="V409" t="s">
        <v>7981</v>
      </c>
      <c r="W409" t="s">
        <v>7982</v>
      </c>
      <c r="X409" t="s">
        <v>7983</v>
      </c>
      <c r="Y409" t="s">
        <v>7984</v>
      </c>
      <c r="Z409" t="s">
        <v>7985</v>
      </c>
      <c r="AA409" t="s">
        <v>7986</v>
      </c>
      <c r="AB409" t="s">
        <v>7987</v>
      </c>
      <c r="AC409" t="s">
        <v>7988</v>
      </c>
      <c r="AD409" t="s">
        <v>7989</v>
      </c>
      <c r="AE409" t="s">
        <v>7990</v>
      </c>
      <c r="AF409" t="s">
        <v>74</v>
      </c>
      <c r="AG409">
        <v>107</v>
      </c>
      <c r="AH409">
        <v>1</v>
      </c>
      <c r="AI409">
        <v>1</v>
      </c>
      <c r="AJ409">
        <v>4</v>
      </c>
      <c r="AK409">
        <v>4</v>
      </c>
      <c r="AL409" t="s">
        <v>1782</v>
      </c>
      <c r="AM409" t="s">
        <v>1783</v>
      </c>
      <c r="AN409" t="s">
        <v>1784</v>
      </c>
      <c r="AO409" t="s">
        <v>2928</v>
      </c>
      <c r="AP409" t="s">
        <v>2929</v>
      </c>
      <c r="AQ409" t="s">
        <v>74</v>
      </c>
      <c r="AR409" t="s">
        <v>2930</v>
      </c>
      <c r="AS409" t="s">
        <v>2931</v>
      </c>
      <c r="AT409" t="s">
        <v>7991</v>
      </c>
      <c r="AU409">
        <v>2023</v>
      </c>
      <c r="AV409" t="s">
        <v>74</v>
      </c>
      <c r="AW409" t="s">
        <v>74</v>
      </c>
      <c r="AX409" t="s">
        <v>74</v>
      </c>
      <c r="AY409" t="s">
        <v>74</v>
      </c>
      <c r="AZ409" t="s">
        <v>74</v>
      </c>
      <c r="BA409" t="s">
        <v>74</v>
      </c>
      <c r="BB409" t="s">
        <v>74</v>
      </c>
      <c r="BC409" t="s">
        <v>74</v>
      </c>
      <c r="BD409" t="s">
        <v>74</v>
      </c>
      <c r="BE409" t="s">
        <v>7992</v>
      </c>
      <c r="BF409" t="str">
        <f>HYPERLINK("http://dx.doi.org/10.1017/jog.2023.92","http://dx.doi.org/10.1017/jog.2023.92")</f>
        <v>http://dx.doi.org/10.1017/jog.2023.92</v>
      </c>
      <c r="BG409" t="s">
        <v>74</v>
      </c>
      <c r="BH409" t="s">
        <v>6982</v>
      </c>
      <c r="BI409">
        <v>11</v>
      </c>
      <c r="BJ409" t="s">
        <v>984</v>
      </c>
      <c r="BK409" t="s">
        <v>100</v>
      </c>
      <c r="BL409" t="s">
        <v>985</v>
      </c>
      <c r="BM409" t="s">
        <v>7993</v>
      </c>
      <c r="BN409" t="s">
        <v>74</v>
      </c>
      <c r="BO409" t="s">
        <v>131</v>
      </c>
      <c r="BP409" t="s">
        <v>74</v>
      </c>
      <c r="BQ409" t="s">
        <v>74</v>
      </c>
      <c r="BR409" t="s">
        <v>104</v>
      </c>
      <c r="BS409" t="s">
        <v>7994</v>
      </c>
      <c r="BT409" t="str">
        <f>HYPERLINK("https%3A%2F%2Fwww.webofscience.com%2Fwos%2Fwoscc%2Ffull-record%2FWOS:001110008200001","View Full Record in Web of Science")</f>
        <v>View Full Record in Web of Science</v>
      </c>
    </row>
    <row r="410" spans="1:72" x14ac:dyDescent="0.15">
      <c r="A410" t="s">
        <v>72</v>
      </c>
      <c r="B410" t="s">
        <v>7995</v>
      </c>
      <c r="C410" t="s">
        <v>74</v>
      </c>
      <c r="D410" t="s">
        <v>74</v>
      </c>
      <c r="E410" t="s">
        <v>74</v>
      </c>
      <c r="F410" t="s">
        <v>7996</v>
      </c>
      <c r="G410" t="s">
        <v>74</v>
      </c>
      <c r="H410" t="s">
        <v>74</v>
      </c>
      <c r="I410" t="s">
        <v>7997</v>
      </c>
      <c r="J410" t="s">
        <v>7998</v>
      </c>
      <c r="K410" t="s">
        <v>74</v>
      </c>
      <c r="L410" t="s">
        <v>74</v>
      </c>
      <c r="M410" t="s">
        <v>78</v>
      </c>
      <c r="N410" t="s">
        <v>79</v>
      </c>
      <c r="O410" t="s">
        <v>74</v>
      </c>
      <c r="P410" t="s">
        <v>74</v>
      </c>
      <c r="Q410" t="s">
        <v>74</v>
      </c>
      <c r="R410" t="s">
        <v>74</v>
      </c>
      <c r="S410" t="s">
        <v>74</v>
      </c>
      <c r="T410" t="s">
        <v>7999</v>
      </c>
      <c r="U410" t="s">
        <v>8000</v>
      </c>
      <c r="V410" t="s">
        <v>8001</v>
      </c>
      <c r="W410" t="s">
        <v>8002</v>
      </c>
      <c r="X410" t="s">
        <v>8003</v>
      </c>
      <c r="Y410" t="s">
        <v>8004</v>
      </c>
      <c r="Z410" t="s">
        <v>8005</v>
      </c>
      <c r="AA410" t="s">
        <v>74</v>
      </c>
      <c r="AB410" t="s">
        <v>8006</v>
      </c>
      <c r="AC410" t="s">
        <v>8007</v>
      </c>
      <c r="AD410" t="s">
        <v>8008</v>
      </c>
      <c r="AE410" t="s">
        <v>8009</v>
      </c>
      <c r="AF410" t="s">
        <v>74</v>
      </c>
      <c r="AG410">
        <v>55</v>
      </c>
      <c r="AH410">
        <v>0</v>
      </c>
      <c r="AI410">
        <v>0</v>
      </c>
      <c r="AJ410">
        <v>2</v>
      </c>
      <c r="AK410">
        <v>2</v>
      </c>
      <c r="AL410" t="s">
        <v>8010</v>
      </c>
      <c r="AM410" t="s">
        <v>8011</v>
      </c>
      <c r="AN410" t="s">
        <v>8012</v>
      </c>
      <c r="AO410" t="s">
        <v>8013</v>
      </c>
      <c r="AP410" t="s">
        <v>8014</v>
      </c>
      <c r="AQ410" t="s">
        <v>74</v>
      </c>
      <c r="AR410" t="s">
        <v>8015</v>
      </c>
      <c r="AS410" t="s">
        <v>8016</v>
      </c>
      <c r="AT410" t="s">
        <v>8017</v>
      </c>
      <c r="AU410">
        <v>2023</v>
      </c>
      <c r="AV410">
        <v>41</v>
      </c>
      <c r="AW410" t="s">
        <v>74</v>
      </c>
      <c r="AX410" t="s">
        <v>74</v>
      </c>
      <c r="AY410" t="s">
        <v>74</v>
      </c>
      <c r="AZ410" t="s">
        <v>74</v>
      </c>
      <c r="BA410" t="s">
        <v>74</v>
      </c>
      <c r="BB410" t="s">
        <v>74</v>
      </c>
      <c r="BC410" t="s">
        <v>74</v>
      </c>
      <c r="BD410">
        <v>9469</v>
      </c>
      <c r="BE410" t="s">
        <v>8018</v>
      </c>
      <c r="BF410" t="str">
        <f>HYPERLINK("http://dx.doi.org/10.33265/polar.v42.9469","http://dx.doi.org/10.33265/polar.v42.9469")</f>
        <v>http://dx.doi.org/10.33265/polar.v42.9469</v>
      </c>
      <c r="BG410" t="s">
        <v>74</v>
      </c>
      <c r="BH410" t="s">
        <v>74</v>
      </c>
      <c r="BI410">
        <v>14</v>
      </c>
      <c r="BJ410" t="s">
        <v>8019</v>
      </c>
      <c r="BK410" t="s">
        <v>100</v>
      </c>
      <c r="BL410" t="s">
        <v>8020</v>
      </c>
      <c r="BM410" t="s">
        <v>8021</v>
      </c>
      <c r="BN410" t="s">
        <v>74</v>
      </c>
      <c r="BO410" t="s">
        <v>131</v>
      </c>
      <c r="BP410" t="s">
        <v>74</v>
      </c>
      <c r="BQ410" t="s">
        <v>74</v>
      </c>
      <c r="BR410" t="s">
        <v>104</v>
      </c>
      <c r="BS410" t="s">
        <v>8022</v>
      </c>
      <c r="BT410" t="str">
        <f>HYPERLINK("https%3A%2F%2Fwww.webofscience.com%2Fwos%2Fwoscc%2Ffull-record%2FWOS:001145124600001","View Full Record in Web of Science")</f>
        <v>View Full Record in Web of Science</v>
      </c>
    </row>
    <row r="411" spans="1:72" x14ac:dyDescent="0.15">
      <c r="A411" t="s">
        <v>72</v>
      </c>
      <c r="B411" t="s">
        <v>4529</v>
      </c>
      <c r="C411" t="s">
        <v>74</v>
      </c>
      <c r="D411" t="s">
        <v>74</v>
      </c>
      <c r="E411" t="s">
        <v>74</v>
      </c>
      <c r="F411" t="s">
        <v>8023</v>
      </c>
      <c r="G411" t="s">
        <v>74</v>
      </c>
      <c r="H411" t="s">
        <v>74</v>
      </c>
      <c r="I411" t="s">
        <v>8024</v>
      </c>
      <c r="J411" t="s">
        <v>1799</v>
      </c>
      <c r="K411" t="s">
        <v>74</v>
      </c>
      <c r="L411" t="s">
        <v>74</v>
      </c>
      <c r="M411" t="s">
        <v>78</v>
      </c>
      <c r="N411" t="s">
        <v>79</v>
      </c>
      <c r="O411" t="s">
        <v>74</v>
      </c>
      <c r="P411" t="s">
        <v>74</v>
      </c>
      <c r="Q411" t="s">
        <v>74</v>
      </c>
      <c r="R411" t="s">
        <v>74</v>
      </c>
      <c r="S411" t="s">
        <v>74</v>
      </c>
      <c r="T411" t="s">
        <v>8025</v>
      </c>
      <c r="U411" t="s">
        <v>8026</v>
      </c>
      <c r="V411" t="s">
        <v>8027</v>
      </c>
      <c r="W411" t="s">
        <v>8028</v>
      </c>
      <c r="X411" t="s">
        <v>4537</v>
      </c>
      <c r="Y411" t="s">
        <v>8029</v>
      </c>
      <c r="Z411" t="s">
        <v>4539</v>
      </c>
      <c r="AA411" t="s">
        <v>74</v>
      </c>
      <c r="AB411" t="s">
        <v>3078</v>
      </c>
      <c r="AC411" t="s">
        <v>8030</v>
      </c>
      <c r="AD411" t="s">
        <v>8030</v>
      </c>
      <c r="AE411" t="s">
        <v>8031</v>
      </c>
      <c r="AF411" t="s">
        <v>74</v>
      </c>
      <c r="AG411">
        <v>52</v>
      </c>
      <c r="AH411">
        <v>3</v>
      </c>
      <c r="AI411">
        <v>3</v>
      </c>
      <c r="AJ411">
        <v>0</v>
      </c>
      <c r="AK411">
        <v>0</v>
      </c>
      <c r="AL411" t="s">
        <v>1810</v>
      </c>
      <c r="AM411" t="s">
        <v>1811</v>
      </c>
      <c r="AN411" t="s">
        <v>1812</v>
      </c>
      <c r="AO411" t="s">
        <v>1813</v>
      </c>
      <c r="AP411" t="s">
        <v>1814</v>
      </c>
      <c r="AQ411" t="s">
        <v>74</v>
      </c>
      <c r="AR411" t="s">
        <v>1815</v>
      </c>
      <c r="AS411" t="s">
        <v>1816</v>
      </c>
      <c r="AT411" t="s">
        <v>8017</v>
      </c>
      <c r="AU411">
        <v>2023</v>
      </c>
      <c r="AV411">
        <v>723</v>
      </c>
      <c r="AW411" t="s">
        <v>74</v>
      </c>
      <c r="AX411" t="s">
        <v>74</v>
      </c>
      <c r="AY411" t="s">
        <v>74</v>
      </c>
      <c r="AZ411" t="s">
        <v>74</v>
      </c>
      <c r="BA411" t="s">
        <v>74</v>
      </c>
      <c r="BB411">
        <v>119</v>
      </c>
      <c r="BC411">
        <v>134</v>
      </c>
      <c r="BD411" t="s">
        <v>74</v>
      </c>
      <c r="BE411" t="s">
        <v>8032</v>
      </c>
      <c r="BF411" t="str">
        <f>HYPERLINK("http://dx.doi.org/10.3354/meps14265","http://dx.doi.org/10.3354/meps14265")</f>
        <v>http://dx.doi.org/10.3354/meps14265</v>
      </c>
      <c r="BG411" t="s">
        <v>74</v>
      </c>
      <c r="BH411" t="s">
        <v>74</v>
      </c>
      <c r="BI411">
        <v>16</v>
      </c>
      <c r="BJ411" t="s">
        <v>1819</v>
      </c>
      <c r="BK411" t="s">
        <v>100</v>
      </c>
      <c r="BL411" t="s">
        <v>1820</v>
      </c>
      <c r="BM411" t="s">
        <v>8033</v>
      </c>
      <c r="BN411" t="s">
        <v>74</v>
      </c>
      <c r="BO411" t="s">
        <v>103</v>
      </c>
      <c r="BP411" t="s">
        <v>74</v>
      </c>
      <c r="BQ411" t="s">
        <v>74</v>
      </c>
      <c r="BR411" t="s">
        <v>104</v>
      </c>
      <c r="BS411" t="s">
        <v>8034</v>
      </c>
      <c r="BT411" t="str">
        <f>HYPERLINK("https%3A%2F%2Fwww.webofscience.com%2Fwos%2Fwoscc%2Ffull-record%2FWOS:001116056800006","View Full Record in Web of Science")</f>
        <v>View Full Record in Web of Science</v>
      </c>
    </row>
    <row r="412" spans="1:72" x14ac:dyDescent="0.15">
      <c r="A412" t="s">
        <v>72</v>
      </c>
      <c r="B412" t="s">
        <v>8035</v>
      </c>
      <c r="C412" t="s">
        <v>74</v>
      </c>
      <c r="D412" t="s">
        <v>74</v>
      </c>
      <c r="E412" t="s">
        <v>74</v>
      </c>
      <c r="F412" t="s">
        <v>8036</v>
      </c>
      <c r="G412" t="s">
        <v>74</v>
      </c>
      <c r="H412" t="s">
        <v>74</v>
      </c>
      <c r="I412" t="s">
        <v>8037</v>
      </c>
      <c r="J412" t="s">
        <v>1799</v>
      </c>
      <c r="K412" t="s">
        <v>74</v>
      </c>
      <c r="L412" t="s">
        <v>74</v>
      </c>
      <c r="M412" t="s">
        <v>78</v>
      </c>
      <c r="N412" t="s">
        <v>79</v>
      </c>
      <c r="O412" t="s">
        <v>74</v>
      </c>
      <c r="P412" t="s">
        <v>74</v>
      </c>
      <c r="Q412" t="s">
        <v>74</v>
      </c>
      <c r="R412" t="s">
        <v>74</v>
      </c>
      <c r="S412" t="s">
        <v>74</v>
      </c>
      <c r="T412" t="s">
        <v>8038</v>
      </c>
      <c r="U412" t="s">
        <v>8039</v>
      </c>
      <c r="V412" t="s">
        <v>8040</v>
      </c>
      <c r="W412" t="s">
        <v>8041</v>
      </c>
      <c r="X412" t="s">
        <v>8042</v>
      </c>
      <c r="Y412" t="s">
        <v>8043</v>
      </c>
      <c r="Z412" t="s">
        <v>8044</v>
      </c>
      <c r="AA412" t="s">
        <v>8045</v>
      </c>
      <c r="AB412" t="s">
        <v>8046</v>
      </c>
      <c r="AC412" t="s">
        <v>8047</v>
      </c>
      <c r="AD412" t="s">
        <v>8048</v>
      </c>
      <c r="AE412" t="s">
        <v>8049</v>
      </c>
      <c r="AF412" t="s">
        <v>74</v>
      </c>
      <c r="AG412">
        <v>66</v>
      </c>
      <c r="AH412">
        <v>2</v>
      </c>
      <c r="AI412">
        <v>2</v>
      </c>
      <c r="AJ412">
        <v>3</v>
      </c>
      <c r="AK412">
        <v>3</v>
      </c>
      <c r="AL412" t="s">
        <v>1810</v>
      </c>
      <c r="AM412" t="s">
        <v>1811</v>
      </c>
      <c r="AN412" t="s">
        <v>1812</v>
      </c>
      <c r="AO412" t="s">
        <v>1813</v>
      </c>
      <c r="AP412" t="s">
        <v>1814</v>
      </c>
      <c r="AQ412" t="s">
        <v>74</v>
      </c>
      <c r="AR412" t="s">
        <v>1815</v>
      </c>
      <c r="AS412" t="s">
        <v>1816</v>
      </c>
      <c r="AT412" t="s">
        <v>8017</v>
      </c>
      <c r="AU412">
        <v>2023</v>
      </c>
      <c r="AV412">
        <v>723</v>
      </c>
      <c r="AW412" t="s">
        <v>74</v>
      </c>
      <c r="AX412" t="s">
        <v>74</v>
      </c>
      <c r="AY412" t="s">
        <v>74</v>
      </c>
      <c r="AZ412" t="s">
        <v>74</v>
      </c>
      <c r="BA412" t="s">
        <v>74</v>
      </c>
      <c r="BB412">
        <v>213</v>
      </c>
      <c r="BC412">
        <v>225</v>
      </c>
      <c r="BD412" t="s">
        <v>74</v>
      </c>
      <c r="BE412" t="s">
        <v>8050</v>
      </c>
      <c r="BF412" t="str">
        <f>HYPERLINK("http://dx.doi.org/10.3354/meps14292","http://dx.doi.org/10.3354/meps14292")</f>
        <v>http://dx.doi.org/10.3354/meps14292</v>
      </c>
      <c r="BG412" t="s">
        <v>74</v>
      </c>
      <c r="BH412" t="s">
        <v>74</v>
      </c>
      <c r="BI412">
        <v>13</v>
      </c>
      <c r="BJ412" t="s">
        <v>1819</v>
      </c>
      <c r="BK412" t="s">
        <v>100</v>
      </c>
      <c r="BL412" t="s">
        <v>1820</v>
      </c>
      <c r="BM412" t="s">
        <v>8033</v>
      </c>
      <c r="BN412" t="s">
        <v>74</v>
      </c>
      <c r="BO412" t="s">
        <v>322</v>
      </c>
      <c r="BP412" t="s">
        <v>74</v>
      </c>
      <c r="BQ412" t="s">
        <v>74</v>
      </c>
      <c r="BR412" t="s">
        <v>104</v>
      </c>
      <c r="BS412" t="s">
        <v>8051</v>
      </c>
      <c r="BT412" t="str">
        <f>HYPERLINK("https%3A%2F%2Fwww.webofscience.com%2Fwos%2Fwoscc%2Ffull-record%2FWOS:001116056800012","View Full Record in Web of Science")</f>
        <v>View Full Record in Web of Science</v>
      </c>
    </row>
    <row r="413" spans="1:72" x14ac:dyDescent="0.15">
      <c r="A413" t="s">
        <v>72</v>
      </c>
      <c r="B413" t="s">
        <v>8052</v>
      </c>
      <c r="C413" t="s">
        <v>74</v>
      </c>
      <c r="D413" t="s">
        <v>74</v>
      </c>
      <c r="E413" t="s">
        <v>74</v>
      </c>
      <c r="F413" t="s">
        <v>8053</v>
      </c>
      <c r="G413" t="s">
        <v>74</v>
      </c>
      <c r="H413" t="s">
        <v>74</v>
      </c>
      <c r="I413" t="s">
        <v>8054</v>
      </c>
      <c r="J413" t="s">
        <v>3323</v>
      </c>
      <c r="K413" t="s">
        <v>74</v>
      </c>
      <c r="L413" t="s">
        <v>74</v>
      </c>
      <c r="M413" t="s">
        <v>78</v>
      </c>
      <c r="N413" t="s">
        <v>79</v>
      </c>
      <c r="O413" t="s">
        <v>74</v>
      </c>
      <c r="P413" t="s">
        <v>74</v>
      </c>
      <c r="Q413" t="s">
        <v>74</v>
      </c>
      <c r="R413" t="s">
        <v>74</v>
      </c>
      <c r="S413" t="s">
        <v>74</v>
      </c>
      <c r="T413" t="s">
        <v>74</v>
      </c>
      <c r="U413" t="s">
        <v>8055</v>
      </c>
      <c r="V413" t="s">
        <v>8056</v>
      </c>
      <c r="W413" t="s">
        <v>8057</v>
      </c>
      <c r="X413" t="s">
        <v>8058</v>
      </c>
      <c r="Y413" t="s">
        <v>8059</v>
      </c>
      <c r="Z413" t="s">
        <v>8060</v>
      </c>
      <c r="AA413" t="s">
        <v>8061</v>
      </c>
      <c r="AB413" t="s">
        <v>8062</v>
      </c>
      <c r="AC413" t="s">
        <v>8063</v>
      </c>
      <c r="AD413" t="s">
        <v>8064</v>
      </c>
      <c r="AE413" t="s">
        <v>8065</v>
      </c>
      <c r="AF413" t="s">
        <v>74</v>
      </c>
      <c r="AG413">
        <v>47</v>
      </c>
      <c r="AH413">
        <v>0</v>
      </c>
      <c r="AI413">
        <v>0</v>
      </c>
      <c r="AJ413">
        <v>1</v>
      </c>
      <c r="AK413">
        <v>1</v>
      </c>
      <c r="AL413" t="s">
        <v>1838</v>
      </c>
      <c r="AM413" t="s">
        <v>1839</v>
      </c>
      <c r="AN413" t="s">
        <v>1840</v>
      </c>
      <c r="AO413" t="s">
        <v>3335</v>
      </c>
      <c r="AP413" t="s">
        <v>3336</v>
      </c>
      <c r="AQ413" t="s">
        <v>74</v>
      </c>
      <c r="AR413" t="s">
        <v>3337</v>
      </c>
      <c r="AS413" t="s">
        <v>3338</v>
      </c>
      <c r="AT413" t="s">
        <v>8066</v>
      </c>
      <c r="AU413">
        <v>2023</v>
      </c>
      <c r="AV413">
        <v>19</v>
      </c>
      <c r="AW413">
        <v>11</v>
      </c>
      <c r="AX413" t="s">
        <v>74</v>
      </c>
      <c r="AY413" t="s">
        <v>74</v>
      </c>
      <c r="AZ413" t="s">
        <v>74</v>
      </c>
      <c r="BA413" t="s">
        <v>74</v>
      </c>
      <c r="BB413">
        <v>2409</v>
      </c>
      <c r="BC413">
        <v>2422</v>
      </c>
      <c r="BD413" t="s">
        <v>74</v>
      </c>
      <c r="BE413" t="s">
        <v>8067</v>
      </c>
      <c r="BF413" t="str">
        <f>HYPERLINK("http://dx.doi.org/10.5194/cp-19-2409-2023","http://dx.doi.org/10.5194/cp-19-2409-2023")</f>
        <v>http://dx.doi.org/10.5194/cp-19-2409-2023</v>
      </c>
      <c r="BG413" t="s">
        <v>74</v>
      </c>
      <c r="BH413" t="s">
        <v>74</v>
      </c>
      <c r="BI413">
        <v>14</v>
      </c>
      <c r="BJ413" t="s">
        <v>2405</v>
      </c>
      <c r="BK413" t="s">
        <v>100</v>
      </c>
      <c r="BL413" t="s">
        <v>2406</v>
      </c>
      <c r="BM413" t="s">
        <v>8068</v>
      </c>
      <c r="BN413" t="s">
        <v>74</v>
      </c>
      <c r="BO413" t="s">
        <v>131</v>
      </c>
      <c r="BP413" t="s">
        <v>74</v>
      </c>
      <c r="BQ413" t="s">
        <v>74</v>
      </c>
      <c r="BR413" t="s">
        <v>104</v>
      </c>
      <c r="BS413" t="s">
        <v>8069</v>
      </c>
      <c r="BT413" t="str">
        <f>HYPERLINK("https%3A%2F%2Fwww.webofscience.com%2Fwos%2Fwoscc%2Ffull-record%2FWOS:001171526900001","View Full Record in Web of Science")</f>
        <v>View Full Record in Web of Science</v>
      </c>
    </row>
    <row r="414" spans="1:72" x14ac:dyDescent="0.15">
      <c r="A414" t="s">
        <v>72</v>
      </c>
      <c r="B414" t="s">
        <v>8070</v>
      </c>
      <c r="C414" t="s">
        <v>74</v>
      </c>
      <c r="D414" t="s">
        <v>74</v>
      </c>
      <c r="E414" t="s">
        <v>74</v>
      </c>
      <c r="F414" t="s">
        <v>8071</v>
      </c>
      <c r="G414" t="s">
        <v>74</v>
      </c>
      <c r="H414" t="s">
        <v>74</v>
      </c>
      <c r="I414" t="s">
        <v>8072</v>
      </c>
      <c r="J414" t="s">
        <v>4847</v>
      </c>
      <c r="K414" t="s">
        <v>74</v>
      </c>
      <c r="L414" t="s">
        <v>74</v>
      </c>
      <c r="M414" t="s">
        <v>78</v>
      </c>
      <c r="N414" t="s">
        <v>79</v>
      </c>
      <c r="O414" t="s">
        <v>74</v>
      </c>
      <c r="P414" t="s">
        <v>74</v>
      </c>
      <c r="Q414" t="s">
        <v>74</v>
      </c>
      <c r="R414" t="s">
        <v>74</v>
      </c>
      <c r="S414" t="s">
        <v>74</v>
      </c>
      <c r="T414" t="s">
        <v>74</v>
      </c>
      <c r="U414" t="s">
        <v>8073</v>
      </c>
      <c r="V414" t="s">
        <v>8074</v>
      </c>
      <c r="W414" t="s">
        <v>8075</v>
      </c>
      <c r="X414" t="s">
        <v>8076</v>
      </c>
      <c r="Y414" t="s">
        <v>8077</v>
      </c>
      <c r="Z414" t="s">
        <v>8078</v>
      </c>
      <c r="AA414" t="s">
        <v>8079</v>
      </c>
      <c r="AB414" t="s">
        <v>8080</v>
      </c>
      <c r="AC414" t="s">
        <v>8081</v>
      </c>
      <c r="AD414" t="s">
        <v>8082</v>
      </c>
      <c r="AE414" t="s">
        <v>8083</v>
      </c>
      <c r="AF414" t="s">
        <v>74</v>
      </c>
      <c r="AG414">
        <v>117</v>
      </c>
      <c r="AH414">
        <v>0</v>
      </c>
      <c r="AI414">
        <v>0</v>
      </c>
      <c r="AJ414">
        <v>3</v>
      </c>
      <c r="AK414">
        <v>3</v>
      </c>
      <c r="AL414" t="s">
        <v>1838</v>
      </c>
      <c r="AM414" t="s">
        <v>1839</v>
      </c>
      <c r="AN414" t="s">
        <v>1840</v>
      </c>
      <c r="AO414" t="s">
        <v>4859</v>
      </c>
      <c r="AP414" t="s">
        <v>4860</v>
      </c>
      <c r="AQ414" t="s">
        <v>74</v>
      </c>
      <c r="AR414" t="s">
        <v>4861</v>
      </c>
      <c r="AS414" t="s">
        <v>4862</v>
      </c>
      <c r="AT414" t="s">
        <v>8066</v>
      </c>
      <c r="AU414">
        <v>2023</v>
      </c>
      <c r="AV414">
        <v>19</v>
      </c>
      <c r="AW414">
        <v>6</v>
      </c>
      <c r="AX414" t="s">
        <v>74</v>
      </c>
      <c r="AY414" t="s">
        <v>74</v>
      </c>
      <c r="AZ414" t="s">
        <v>74</v>
      </c>
      <c r="BA414" t="s">
        <v>74</v>
      </c>
      <c r="BB414">
        <v>1595</v>
      </c>
      <c r="BC414">
        <v>1615</v>
      </c>
      <c r="BD414" t="s">
        <v>74</v>
      </c>
      <c r="BE414" t="s">
        <v>8084</v>
      </c>
      <c r="BF414" t="str">
        <f>HYPERLINK("http://dx.doi.org/10.5194/os-19-1595-2023","http://dx.doi.org/10.5194/os-19-1595-2023")</f>
        <v>http://dx.doi.org/10.5194/os-19-1595-2023</v>
      </c>
      <c r="BG414" t="s">
        <v>74</v>
      </c>
      <c r="BH414" t="s">
        <v>74</v>
      </c>
      <c r="BI414">
        <v>21</v>
      </c>
      <c r="BJ414" t="s">
        <v>1417</v>
      </c>
      <c r="BK414" t="s">
        <v>100</v>
      </c>
      <c r="BL414" t="s">
        <v>1417</v>
      </c>
      <c r="BM414" t="s">
        <v>8085</v>
      </c>
      <c r="BN414" t="s">
        <v>74</v>
      </c>
      <c r="BO414" t="s">
        <v>349</v>
      </c>
      <c r="BP414" t="s">
        <v>74</v>
      </c>
      <c r="BQ414" t="s">
        <v>74</v>
      </c>
      <c r="BR414" t="s">
        <v>104</v>
      </c>
      <c r="BS414" t="s">
        <v>8086</v>
      </c>
      <c r="BT414" t="str">
        <f>HYPERLINK("https%3A%2F%2Fwww.webofscience.com%2Fwos%2Fwoscc%2Ffull-record%2FWOS:001168775700001","View Full Record in Web of Science")</f>
        <v>View Full Record in Web of Science</v>
      </c>
    </row>
    <row r="415" spans="1:72" x14ac:dyDescent="0.15">
      <c r="A415" t="s">
        <v>72</v>
      </c>
      <c r="B415" t="s">
        <v>8087</v>
      </c>
      <c r="C415" t="s">
        <v>74</v>
      </c>
      <c r="D415" t="s">
        <v>74</v>
      </c>
      <c r="E415" t="s">
        <v>74</v>
      </c>
      <c r="F415" t="s">
        <v>8088</v>
      </c>
      <c r="G415" t="s">
        <v>74</v>
      </c>
      <c r="H415" t="s">
        <v>74</v>
      </c>
      <c r="I415" t="s">
        <v>8089</v>
      </c>
      <c r="J415" t="s">
        <v>2809</v>
      </c>
      <c r="K415" t="s">
        <v>74</v>
      </c>
      <c r="L415" t="s">
        <v>74</v>
      </c>
      <c r="M415" t="s">
        <v>78</v>
      </c>
      <c r="N415" t="s">
        <v>79</v>
      </c>
      <c r="O415" t="s">
        <v>74</v>
      </c>
      <c r="P415" t="s">
        <v>74</v>
      </c>
      <c r="Q415" t="s">
        <v>74</v>
      </c>
      <c r="R415" t="s">
        <v>74</v>
      </c>
      <c r="S415" t="s">
        <v>74</v>
      </c>
      <c r="T415" t="s">
        <v>74</v>
      </c>
      <c r="U415" t="s">
        <v>8090</v>
      </c>
      <c r="V415" t="s">
        <v>8091</v>
      </c>
      <c r="W415" t="s">
        <v>8092</v>
      </c>
      <c r="X415" t="s">
        <v>8093</v>
      </c>
      <c r="Y415" t="s">
        <v>8094</v>
      </c>
      <c r="Z415" t="s">
        <v>8095</v>
      </c>
      <c r="AA415" t="s">
        <v>74</v>
      </c>
      <c r="AB415" t="s">
        <v>8096</v>
      </c>
      <c r="AC415" t="s">
        <v>7931</v>
      </c>
      <c r="AD415" t="s">
        <v>7931</v>
      </c>
      <c r="AE415" t="s">
        <v>8097</v>
      </c>
      <c r="AF415" t="s">
        <v>74</v>
      </c>
      <c r="AG415">
        <v>65</v>
      </c>
      <c r="AH415">
        <v>0</v>
      </c>
      <c r="AI415">
        <v>0</v>
      </c>
      <c r="AJ415">
        <v>3</v>
      </c>
      <c r="AK415">
        <v>3</v>
      </c>
      <c r="AL415" t="s">
        <v>1838</v>
      </c>
      <c r="AM415" t="s">
        <v>1839</v>
      </c>
      <c r="AN415" t="s">
        <v>1840</v>
      </c>
      <c r="AO415" t="s">
        <v>2818</v>
      </c>
      <c r="AP415" t="s">
        <v>2819</v>
      </c>
      <c r="AQ415" t="s">
        <v>74</v>
      </c>
      <c r="AR415" t="s">
        <v>2809</v>
      </c>
      <c r="AS415" t="s">
        <v>2820</v>
      </c>
      <c r="AT415" t="s">
        <v>8066</v>
      </c>
      <c r="AU415">
        <v>2023</v>
      </c>
      <c r="AV415">
        <v>17</v>
      </c>
      <c r="AW415">
        <v>11</v>
      </c>
      <c r="AX415" t="s">
        <v>74</v>
      </c>
      <c r="AY415" t="s">
        <v>74</v>
      </c>
      <c r="AZ415" t="s">
        <v>74</v>
      </c>
      <c r="BA415" t="s">
        <v>74</v>
      </c>
      <c r="BB415">
        <v>4903</v>
      </c>
      <c r="BC415">
        <v>4916</v>
      </c>
      <c r="BD415" t="s">
        <v>74</v>
      </c>
      <c r="BE415" t="s">
        <v>8098</v>
      </c>
      <c r="BF415" t="str">
        <f>HYPERLINK("http://dx.doi.org/10.5194/tc-17-4903-2023","http://dx.doi.org/10.5194/tc-17-4903-2023")</f>
        <v>http://dx.doi.org/10.5194/tc-17-4903-2023</v>
      </c>
      <c r="BG415" t="s">
        <v>74</v>
      </c>
      <c r="BH415" t="s">
        <v>74</v>
      </c>
      <c r="BI415">
        <v>14</v>
      </c>
      <c r="BJ415" t="s">
        <v>984</v>
      </c>
      <c r="BK415" t="s">
        <v>100</v>
      </c>
      <c r="BL415" t="s">
        <v>985</v>
      </c>
      <c r="BM415" t="s">
        <v>8099</v>
      </c>
      <c r="BN415" t="s">
        <v>74</v>
      </c>
      <c r="BO415" t="s">
        <v>183</v>
      </c>
      <c r="BP415" t="s">
        <v>74</v>
      </c>
      <c r="BQ415" t="s">
        <v>74</v>
      </c>
      <c r="BR415" t="s">
        <v>104</v>
      </c>
      <c r="BS415" t="s">
        <v>8100</v>
      </c>
      <c r="BT415" t="str">
        <f>HYPERLINK("https%3A%2F%2Fwww.webofscience.com%2Fwos%2Fwoscc%2Ffull-record%2FWOS:001170220400001","View Full Record in Web of Science")</f>
        <v>View Full Record in Web of Science</v>
      </c>
    </row>
    <row r="416" spans="1:72" x14ac:dyDescent="0.15">
      <c r="A416" t="s">
        <v>72</v>
      </c>
      <c r="B416" t="s">
        <v>8101</v>
      </c>
      <c r="C416" t="s">
        <v>74</v>
      </c>
      <c r="D416" t="s">
        <v>74</v>
      </c>
      <c r="E416" t="s">
        <v>74</v>
      </c>
      <c r="F416" t="s">
        <v>8102</v>
      </c>
      <c r="G416" t="s">
        <v>74</v>
      </c>
      <c r="H416" t="s">
        <v>74</v>
      </c>
      <c r="I416" t="s">
        <v>8103</v>
      </c>
      <c r="J416" t="s">
        <v>7102</v>
      </c>
      <c r="K416" t="s">
        <v>74</v>
      </c>
      <c r="L416" t="s">
        <v>74</v>
      </c>
      <c r="M416" t="s">
        <v>78</v>
      </c>
      <c r="N416" t="s">
        <v>79</v>
      </c>
      <c r="O416" t="s">
        <v>74</v>
      </c>
      <c r="P416" t="s">
        <v>74</v>
      </c>
      <c r="Q416" t="s">
        <v>74</v>
      </c>
      <c r="R416" t="s">
        <v>74</v>
      </c>
      <c r="S416" t="s">
        <v>74</v>
      </c>
      <c r="T416" t="s">
        <v>8104</v>
      </c>
      <c r="U416" t="s">
        <v>8105</v>
      </c>
      <c r="V416" t="s">
        <v>8106</v>
      </c>
      <c r="W416" t="s">
        <v>8107</v>
      </c>
      <c r="X416" t="s">
        <v>8108</v>
      </c>
      <c r="Y416" t="s">
        <v>8109</v>
      </c>
      <c r="Z416" t="s">
        <v>8110</v>
      </c>
      <c r="AA416" t="s">
        <v>8111</v>
      </c>
      <c r="AB416" t="s">
        <v>8112</v>
      </c>
      <c r="AC416" t="s">
        <v>8113</v>
      </c>
      <c r="AD416" t="s">
        <v>8114</v>
      </c>
      <c r="AE416" t="s">
        <v>8115</v>
      </c>
      <c r="AF416" t="s">
        <v>74</v>
      </c>
      <c r="AG416">
        <v>108</v>
      </c>
      <c r="AH416">
        <v>1</v>
      </c>
      <c r="AI416">
        <v>1</v>
      </c>
      <c r="AJ416">
        <v>3</v>
      </c>
      <c r="AK416">
        <v>3</v>
      </c>
      <c r="AL416" t="s">
        <v>1101</v>
      </c>
      <c r="AM416" t="s">
        <v>1102</v>
      </c>
      <c r="AN416" t="s">
        <v>1103</v>
      </c>
      <c r="AO416" t="s">
        <v>7113</v>
      </c>
      <c r="AP416" t="s">
        <v>7114</v>
      </c>
      <c r="AQ416" t="s">
        <v>74</v>
      </c>
      <c r="AR416" t="s">
        <v>7115</v>
      </c>
      <c r="AS416" t="s">
        <v>7116</v>
      </c>
      <c r="AT416" t="s">
        <v>954</v>
      </c>
      <c r="AU416">
        <v>2024</v>
      </c>
      <c r="AV416">
        <v>30</v>
      </c>
      <c r="AW416">
        <v>1</v>
      </c>
      <c r="AX416" t="s">
        <v>74</v>
      </c>
      <c r="AY416" t="s">
        <v>74</v>
      </c>
      <c r="AZ416" t="s">
        <v>74</v>
      </c>
      <c r="BA416" t="s">
        <v>74</v>
      </c>
      <c r="BB416">
        <v>87</v>
      </c>
      <c r="BC416">
        <v>105</v>
      </c>
      <c r="BD416" t="s">
        <v>74</v>
      </c>
      <c r="BE416" t="s">
        <v>8116</v>
      </c>
      <c r="BF416" t="str">
        <f>HYPERLINK("http://dx.doi.org/10.1111/ddi.13790","http://dx.doi.org/10.1111/ddi.13790")</f>
        <v>http://dx.doi.org/10.1111/ddi.13790</v>
      </c>
      <c r="BG416" t="s">
        <v>74</v>
      </c>
      <c r="BH416" t="s">
        <v>6982</v>
      </c>
      <c r="BI416">
        <v>19</v>
      </c>
      <c r="BJ416" t="s">
        <v>1261</v>
      </c>
      <c r="BK416" t="s">
        <v>100</v>
      </c>
      <c r="BL416" t="s">
        <v>913</v>
      </c>
      <c r="BM416" t="s">
        <v>8117</v>
      </c>
      <c r="BN416" t="s">
        <v>74</v>
      </c>
      <c r="BO416" t="s">
        <v>131</v>
      </c>
      <c r="BP416" t="s">
        <v>74</v>
      </c>
      <c r="BQ416" t="s">
        <v>74</v>
      </c>
      <c r="BR416" t="s">
        <v>104</v>
      </c>
      <c r="BS416" t="s">
        <v>8118</v>
      </c>
      <c r="BT416" t="str">
        <f>HYPERLINK("https%3A%2F%2Fwww.webofscience.com%2Fwos%2Fwoscc%2Ffull-record%2FWOS:001115907000001","View Full Record in Web of Science")</f>
        <v>View Full Record in Web of Science</v>
      </c>
    </row>
    <row r="417" spans="1:72" x14ac:dyDescent="0.15">
      <c r="A417" t="s">
        <v>72</v>
      </c>
      <c r="B417" t="s">
        <v>8119</v>
      </c>
      <c r="C417" t="s">
        <v>74</v>
      </c>
      <c r="D417" t="s">
        <v>74</v>
      </c>
      <c r="E417" t="s">
        <v>74</v>
      </c>
      <c r="F417" t="s">
        <v>8120</v>
      </c>
      <c r="G417" t="s">
        <v>74</v>
      </c>
      <c r="H417" t="s">
        <v>74</v>
      </c>
      <c r="I417" t="s">
        <v>8121</v>
      </c>
      <c r="J417" t="s">
        <v>1090</v>
      </c>
      <c r="K417" t="s">
        <v>74</v>
      </c>
      <c r="L417" t="s">
        <v>74</v>
      </c>
      <c r="M417" t="s">
        <v>78</v>
      </c>
      <c r="N417" t="s">
        <v>79</v>
      </c>
      <c r="O417" t="s">
        <v>74</v>
      </c>
      <c r="P417" t="s">
        <v>74</v>
      </c>
      <c r="Q417" t="s">
        <v>74</v>
      </c>
      <c r="R417" t="s">
        <v>74</v>
      </c>
      <c r="S417" t="s">
        <v>74</v>
      </c>
      <c r="T417" t="s">
        <v>8122</v>
      </c>
      <c r="U417" t="s">
        <v>8123</v>
      </c>
      <c r="V417" t="s">
        <v>8124</v>
      </c>
      <c r="W417" t="s">
        <v>8125</v>
      </c>
      <c r="X417" t="s">
        <v>8126</v>
      </c>
      <c r="Y417" t="s">
        <v>8127</v>
      </c>
      <c r="Z417" t="s">
        <v>8128</v>
      </c>
      <c r="AA417" t="s">
        <v>8129</v>
      </c>
      <c r="AB417" t="s">
        <v>8130</v>
      </c>
      <c r="AC417" t="s">
        <v>8131</v>
      </c>
      <c r="AD417" t="s">
        <v>8132</v>
      </c>
      <c r="AE417" t="s">
        <v>8133</v>
      </c>
      <c r="AF417" t="s">
        <v>74</v>
      </c>
      <c r="AG417">
        <v>90</v>
      </c>
      <c r="AH417">
        <v>0</v>
      </c>
      <c r="AI417">
        <v>0</v>
      </c>
      <c r="AJ417">
        <v>5</v>
      </c>
      <c r="AK417">
        <v>5</v>
      </c>
      <c r="AL417" t="s">
        <v>1101</v>
      </c>
      <c r="AM417" t="s">
        <v>1102</v>
      </c>
      <c r="AN417" t="s">
        <v>1103</v>
      </c>
      <c r="AO417" t="s">
        <v>1104</v>
      </c>
      <c r="AP417" t="s">
        <v>1105</v>
      </c>
      <c r="AQ417" t="s">
        <v>74</v>
      </c>
      <c r="AR417" t="s">
        <v>1106</v>
      </c>
      <c r="AS417" t="s">
        <v>1107</v>
      </c>
      <c r="AT417" t="s">
        <v>1108</v>
      </c>
      <c r="AU417">
        <v>2024</v>
      </c>
      <c r="AV417">
        <v>40</v>
      </c>
      <c r="AW417">
        <v>2</v>
      </c>
      <c r="AX417" t="s">
        <v>74</v>
      </c>
      <c r="AY417" t="s">
        <v>74</v>
      </c>
      <c r="AZ417" t="s">
        <v>74</v>
      </c>
      <c r="BA417" t="s">
        <v>74</v>
      </c>
      <c r="BB417" t="s">
        <v>74</v>
      </c>
      <c r="BC417" t="s">
        <v>74</v>
      </c>
      <c r="BD417" t="s">
        <v>74</v>
      </c>
      <c r="BE417" t="s">
        <v>8134</v>
      </c>
      <c r="BF417" t="str">
        <f>HYPERLINK("http://dx.doi.org/10.1111/mms.13089","http://dx.doi.org/10.1111/mms.13089")</f>
        <v>http://dx.doi.org/10.1111/mms.13089</v>
      </c>
      <c r="BG417" t="s">
        <v>74</v>
      </c>
      <c r="BH417" t="s">
        <v>6982</v>
      </c>
      <c r="BI417">
        <v>19</v>
      </c>
      <c r="BJ417" t="s">
        <v>1110</v>
      </c>
      <c r="BK417" t="s">
        <v>100</v>
      </c>
      <c r="BL417" t="s">
        <v>1110</v>
      </c>
      <c r="BM417" t="s">
        <v>1111</v>
      </c>
      <c r="BN417" t="s">
        <v>74</v>
      </c>
      <c r="BO417" t="s">
        <v>3456</v>
      </c>
      <c r="BP417" t="s">
        <v>74</v>
      </c>
      <c r="BQ417" t="s">
        <v>74</v>
      </c>
      <c r="BR417" t="s">
        <v>104</v>
      </c>
      <c r="BS417" t="s">
        <v>8135</v>
      </c>
      <c r="BT417" t="str">
        <f>HYPERLINK("https%3A%2F%2Fwww.webofscience.com%2Fwos%2Fwoscc%2Ffull-record%2FWOS:001108939000001","View Full Record in Web of Science")</f>
        <v>View Full Record in Web of Science</v>
      </c>
    </row>
    <row r="418" spans="1:72" x14ac:dyDescent="0.15">
      <c r="A418" t="s">
        <v>72</v>
      </c>
      <c r="B418" t="s">
        <v>8136</v>
      </c>
      <c r="C418" t="s">
        <v>74</v>
      </c>
      <c r="D418" t="s">
        <v>74</v>
      </c>
      <c r="E418" t="s">
        <v>74</v>
      </c>
      <c r="F418" t="s">
        <v>8137</v>
      </c>
      <c r="G418" t="s">
        <v>74</v>
      </c>
      <c r="H418" t="s">
        <v>74</v>
      </c>
      <c r="I418" t="s">
        <v>8138</v>
      </c>
      <c r="J418" t="s">
        <v>1546</v>
      </c>
      <c r="K418" t="s">
        <v>74</v>
      </c>
      <c r="L418" t="s">
        <v>74</v>
      </c>
      <c r="M418" t="s">
        <v>78</v>
      </c>
      <c r="N418" t="s">
        <v>1547</v>
      </c>
      <c r="O418" t="s">
        <v>74</v>
      </c>
      <c r="P418" t="s">
        <v>74</v>
      </c>
      <c r="Q418" t="s">
        <v>74</v>
      </c>
      <c r="R418" t="s">
        <v>74</v>
      </c>
      <c r="S418" t="s">
        <v>74</v>
      </c>
      <c r="T418" t="s">
        <v>8139</v>
      </c>
      <c r="U418" t="s">
        <v>8140</v>
      </c>
      <c r="V418" t="s">
        <v>8141</v>
      </c>
      <c r="W418" t="s">
        <v>8142</v>
      </c>
      <c r="X418" t="s">
        <v>8143</v>
      </c>
      <c r="Y418" t="s">
        <v>8144</v>
      </c>
      <c r="Z418" t="s">
        <v>74</v>
      </c>
      <c r="AA418" t="s">
        <v>74</v>
      </c>
      <c r="AB418" t="s">
        <v>74</v>
      </c>
      <c r="AC418" t="s">
        <v>74</v>
      </c>
      <c r="AD418" t="s">
        <v>74</v>
      </c>
      <c r="AE418" t="s">
        <v>74</v>
      </c>
      <c r="AF418" t="s">
        <v>74</v>
      </c>
      <c r="AG418">
        <v>94</v>
      </c>
      <c r="AH418">
        <v>1</v>
      </c>
      <c r="AI418">
        <v>1</v>
      </c>
      <c r="AJ418">
        <v>4</v>
      </c>
      <c r="AK418">
        <v>4</v>
      </c>
      <c r="AL418" t="s">
        <v>1560</v>
      </c>
      <c r="AM418" t="s">
        <v>976</v>
      </c>
      <c r="AN418" t="s">
        <v>1561</v>
      </c>
      <c r="AO418" t="s">
        <v>1562</v>
      </c>
      <c r="AP418" t="s">
        <v>1563</v>
      </c>
      <c r="AQ418" t="s">
        <v>74</v>
      </c>
      <c r="AR418" t="s">
        <v>1564</v>
      </c>
      <c r="AS418" t="s">
        <v>1565</v>
      </c>
      <c r="AT418" t="s">
        <v>8145</v>
      </c>
      <c r="AU418">
        <v>2023</v>
      </c>
      <c r="AV418" t="s">
        <v>74</v>
      </c>
      <c r="AW418" t="s">
        <v>74</v>
      </c>
      <c r="AX418" t="s">
        <v>74</v>
      </c>
      <c r="AY418" t="s">
        <v>74</v>
      </c>
      <c r="AZ418" t="s">
        <v>74</v>
      </c>
      <c r="BA418" t="s">
        <v>74</v>
      </c>
      <c r="BB418" t="s">
        <v>74</v>
      </c>
      <c r="BC418" t="s">
        <v>74</v>
      </c>
      <c r="BD418" t="s">
        <v>74</v>
      </c>
      <c r="BE418" t="s">
        <v>8146</v>
      </c>
      <c r="BF418" t="str">
        <f>HYPERLINK("http://dx.doi.org/10.1093/zoolinnean/zlad171","http://dx.doi.org/10.1093/zoolinnean/zlad171")</f>
        <v>http://dx.doi.org/10.1093/zoolinnean/zlad171</v>
      </c>
      <c r="BG418" t="s">
        <v>74</v>
      </c>
      <c r="BH418" t="s">
        <v>6982</v>
      </c>
      <c r="BI418">
        <v>18</v>
      </c>
      <c r="BJ418" t="s">
        <v>1568</v>
      </c>
      <c r="BK418" t="s">
        <v>100</v>
      </c>
      <c r="BL418" t="s">
        <v>1568</v>
      </c>
      <c r="BM418" t="s">
        <v>8147</v>
      </c>
      <c r="BN418" t="s">
        <v>74</v>
      </c>
      <c r="BO418" t="s">
        <v>74</v>
      </c>
      <c r="BP418" t="s">
        <v>74</v>
      </c>
      <c r="BQ418" t="s">
        <v>74</v>
      </c>
      <c r="BR418" t="s">
        <v>104</v>
      </c>
      <c r="BS418" t="s">
        <v>8148</v>
      </c>
      <c r="BT418" t="str">
        <f>HYPERLINK("https%3A%2F%2Fwww.webofscience.com%2Fwos%2Fwoscc%2Ffull-record%2FWOS:001108113600001","View Full Record in Web of Science")</f>
        <v>View Full Record in Web of Science</v>
      </c>
    </row>
    <row r="419" spans="1:72" x14ac:dyDescent="0.15">
      <c r="A419" t="s">
        <v>72</v>
      </c>
      <c r="B419" t="s">
        <v>8149</v>
      </c>
      <c r="C419" t="s">
        <v>74</v>
      </c>
      <c r="D419" t="s">
        <v>74</v>
      </c>
      <c r="E419" t="s">
        <v>74</v>
      </c>
      <c r="F419" t="s">
        <v>8150</v>
      </c>
      <c r="G419" t="s">
        <v>74</v>
      </c>
      <c r="H419" t="s">
        <v>74</v>
      </c>
      <c r="I419" t="s">
        <v>8151</v>
      </c>
      <c r="J419" t="s">
        <v>8152</v>
      </c>
      <c r="K419" t="s">
        <v>74</v>
      </c>
      <c r="L419" t="s">
        <v>74</v>
      </c>
      <c r="M419" t="s">
        <v>78</v>
      </c>
      <c r="N419" t="s">
        <v>1547</v>
      </c>
      <c r="O419" t="s">
        <v>74</v>
      </c>
      <c r="P419" t="s">
        <v>74</v>
      </c>
      <c r="Q419" t="s">
        <v>74</v>
      </c>
      <c r="R419" t="s">
        <v>74</v>
      </c>
      <c r="S419" t="s">
        <v>74</v>
      </c>
      <c r="T419" t="s">
        <v>8153</v>
      </c>
      <c r="U419" t="s">
        <v>8154</v>
      </c>
      <c r="V419" t="s">
        <v>8155</v>
      </c>
      <c r="W419" t="s">
        <v>8156</v>
      </c>
      <c r="X419" t="s">
        <v>8157</v>
      </c>
      <c r="Y419" t="s">
        <v>8158</v>
      </c>
      <c r="Z419" t="s">
        <v>8159</v>
      </c>
      <c r="AA419" t="s">
        <v>74</v>
      </c>
      <c r="AB419" t="s">
        <v>74</v>
      </c>
      <c r="AC419" t="s">
        <v>8160</v>
      </c>
      <c r="AD419" t="s">
        <v>8160</v>
      </c>
      <c r="AE419" t="s">
        <v>8160</v>
      </c>
      <c r="AF419" t="s">
        <v>74</v>
      </c>
      <c r="AG419">
        <v>25</v>
      </c>
      <c r="AH419">
        <v>0</v>
      </c>
      <c r="AI419">
        <v>0</v>
      </c>
      <c r="AJ419">
        <v>0</v>
      </c>
      <c r="AK419">
        <v>0</v>
      </c>
      <c r="AL419" t="s">
        <v>5183</v>
      </c>
      <c r="AM419" t="s">
        <v>1076</v>
      </c>
      <c r="AN419" t="s">
        <v>5184</v>
      </c>
      <c r="AO419" t="s">
        <v>8161</v>
      </c>
      <c r="AP419" t="s">
        <v>8162</v>
      </c>
      <c r="AQ419" t="s">
        <v>74</v>
      </c>
      <c r="AR419" t="s">
        <v>8163</v>
      </c>
      <c r="AS419" t="s">
        <v>8164</v>
      </c>
      <c r="AT419" t="s">
        <v>8165</v>
      </c>
      <c r="AU419">
        <v>2023</v>
      </c>
      <c r="AV419" t="s">
        <v>74</v>
      </c>
      <c r="AW419" t="s">
        <v>74</v>
      </c>
      <c r="AX419" t="s">
        <v>74</v>
      </c>
      <c r="AY419" t="s">
        <v>74</v>
      </c>
      <c r="AZ419" t="s">
        <v>74</v>
      </c>
      <c r="BA419" t="s">
        <v>74</v>
      </c>
      <c r="BB419" t="s">
        <v>74</v>
      </c>
      <c r="BC419" t="s">
        <v>74</v>
      </c>
      <c r="BD419" t="s">
        <v>74</v>
      </c>
      <c r="BE419" t="s">
        <v>8166</v>
      </c>
      <c r="BF419" t="str">
        <f>HYPERLINK("http://dx.doi.org/10.1134/S1028334X23602420","http://dx.doi.org/10.1134/S1028334X23602420")</f>
        <v>http://dx.doi.org/10.1134/S1028334X23602420</v>
      </c>
      <c r="BG419" t="s">
        <v>74</v>
      </c>
      <c r="BH419" t="s">
        <v>6982</v>
      </c>
      <c r="BI419">
        <v>5</v>
      </c>
      <c r="BJ419" t="s">
        <v>535</v>
      </c>
      <c r="BK419" t="s">
        <v>100</v>
      </c>
      <c r="BL419" t="s">
        <v>536</v>
      </c>
      <c r="BM419" t="s">
        <v>8167</v>
      </c>
      <c r="BN419" t="s">
        <v>74</v>
      </c>
      <c r="BO419" t="s">
        <v>74</v>
      </c>
      <c r="BP419" t="s">
        <v>74</v>
      </c>
      <c r="BQ419" t="s">
        <v>74</v>
      </c>
      <c r="BR419" t="s">
        <v>104</v>
      </c>
      <c r="BS419" t="s">
        <v>8168</v>
      </c>
      <c r="BT419" t="str">
        <f>HYPERLINK("https%3A%2F%2Fwww.webofscience.com%2Fwos%2Fwoscc%2Ffull-record%2FWOS:001105493700008","View Full Record in Web of Science")</f>
        <v>View Full Record in Web of Science</v>
      </c>
    </row>
    <row r="420" spans="1:72" x14ac:dyDescent="0.15">
      <c r="A420" t="s">
        <v>72</v>
      </c>
      <c r="B420" t="s">
        <v>8169</v>
      </c>
      <c r="C420" t="s">
        <v>74</v>
      </c>
      <c r="D420" t="s">
        <v>74</v>
      </c>
      <c r="E420" t="s">
        <v>74</v>
      </c>
      <c r="F420" t="s">
        <v>8170</v>
      </c>
      <c r="G420" t="s">
        <v>74</v>
      </c>
      <c r="H420" t="s">
        <v>74</v>
      </c>
      <c r="I420" t="s">
        <v>8171</v>
      </c>
      <c r="J420" t="s">
        <v>2809</v>
      </c>
      <c r="K420" t="s">
        <v>74</v>
      </c>
      <c r="L420" t="s">
        <v>74</v>
      </c>
      <c r="M420" t="s">
        <v>78</v>
      </c>
      <c r="N420" t="s">
        <v>79</v>
      </c>
      <c r="O420" t="s">
        <v>74</v>
      </c>
      <c r="P420" t="s">
        <v>74</v>
      </c>
      <c r="Q420" t="s">
        <v>74</v>
      </c>
      <c r="R420" t="s">
        <v>74</v>
      </c>
      <c r="S420" t="s">
        <v>74</v>
      </c>
      <c r="T420" t="s">
        <v>74</v>
      </c>
      <c r="U420" t="s">
        <v>8172</v>
      </c>
      <c r="V420" t="s">
        <v>8173</v>
      </c>
      <c r="W420" t="s">
        <v>8174</v>
      </c>
      <c r="X420" t="s">
        <v>3166</v>
      </c>
      <c r="Y420" t="s">
        <v>8175</v>
      </c>
      <c r="Z420" t="s">
        <v>8176</v>
      </c>
      <c r="AA420" t="s">
        <v>8177</v>
      </c>
      <c r="AB420" t="s">
        <v>8178</v>
      </c>
      <c r="AC420" t="s">
        <v>8179</v>
      </c>
      <c r="AD420" t="s">
        <v>8180</v>
      </c>
      <c r="AE420" t="s">
        <v>8181</v>
      </c>
      <c r="AF420" t="s">
        <v>74</v>
      </c>
      <c r="AG420">
        <v>46</v>
      </c>
      <c r="AH420">
        <v>0</v>
      </c>
      <c r="AI420">
        <v>0</v>
      </c>
      <c r="AJ420">
        <v>1</v>
      </c>
      <c r="AK420">
        <v>1</v>
      </c>
      <c r="AL420" t="s">
        <v>1838</v>
      </c>
      <c r="AM420" t="s">
        <v>1839</v>
      </c>
      <c r="AN420" t="s">
        <v>1840</v>
      </c>
      <c r="AO420" t="s">
        <v>2818</v>
      </c>
      <c r="AP420" t="s">
        <v>2819</v>
      </c>
      <c r="AQ420" t="s">
        <v>74</v>
      </c>
      <c r="AR420" t="s">
        <v>2809</v>
      </c>
      <c r="AS420" t="s">
        <v>2820</v>
      </c>
      <c r="AT420" t="s">
        <v>8182</v>
      </c>
      <c r="AU420">
        <v>2023</v>
      </c>
      <c r="AV420">
        <v>17</v>
      </c>
      <c r="AW420">
        <v>11</v>
      </c>
      <c r="AX420" t="s">
        <v>74</v>
      </c>
      <c r="AY420" t="s">
        <v>74</v>
      </c>
      <c r="AZ420" t="s">
        <v>74</v>
      </c>
      <c r="BA420" t="s">
        <v>74</v>
      </c>
      <c r="BB420">
        <v>4889</v>
      </c>
      <c r="BC420">
        <v>4901</v>
      </c>
      <c r="BD420" t="s">
        <v>74</v>
      </c>
      <c r="BE420" t="s">
        <v>8183</v>
      </c>
      <c r="BF420" t="str">
        <f>HYPERLINK("http://dx.doi.org/10.5194/tc-17-4889-2023","http://dx.doi.org/10.5194/tc-17-4889-2023")</f>
        <v>http://dx.doi.org/10.5194/tc-17-4889-2023</v>
      </c>
      <c r="BG420" t="s">
        <v>74</v>
      </c>
      <c r="BH420" t="s">
        <v>74</v>
      </c>
      <c r="BI420">
        <v>13</v>
      </c>
      <c r="BJ420" t="s">
        <v>984</v>
      </c>
      <c r="BK420" t="s">
        <v>100</v>
      </c>
      <c r="BL420" t="s">
        <v>985</v>
      </c>
      <c r="BM420" t="s">
        <v>8184</v>
      </c>
      <c r="BN420" t="s">
        <v>74</v>
      </c>
      <c r="BO420" t="s">
        <v>349</v>
      </c>
      <c r="BP420" t="s">
        <v>74</v>
      </c>
      <c r="BQ420" t="s">
        <v>74</v>
      </c>
      <c r="BR420" t="s">
        <v>104</v>
      </c>
      <c r="BS420" t="s">
        <v>8185</v>
      </c>
      <c r="BT420" t="str">
        <f>HYPERLINK("https%3A%2F%2Fwww.webofscience.com%2Fwos%2Fwoscc%2Ffull-record%2FWOS:001168871200001","View Full Record in Web of Science")</f>
        <v>View Full Record in Web of Science</v>
      </c>
    </row>
    <row r="421" spans="1:72" x14ac:dyDescent="0.15">
      <c r="A421" t="s">
        <v>72</v>
      </c>
      <c r="B421" t="s">
        <v>8186</v>
      </c>
      <c r="C421" t="s">
        <v>74</v>
      </c>
      <c r="D421" t="s">
        <v>74</v>
      </c>
      <c r="E421" t="s">
        <v>74</v>
      </c>
      <c r="F421" t="s">
        <v>8187</v>
      </c>
      <c r="G421" t="s">
        <v>74</v>
      </c>
      <c r="H421" t="s">
        <v>74</v>
      </c>
      <c r="I421" t="s">
        <v>8188</v>
      </c>
      <c r="J421" t="s">
        <v>3384</v>
      </c>
      <c r="K421" t="s">
        <v>74</v>
      </c>
      <c r="L421" t="s">
        <v>74</v>
      </c>
      <c r="M421" t="s">
        <v>78</v>
      </c>
      <c r="N421" t="s">
        <v>79</v>
      </c>
      <c r="O421" t="s">
        <v>74</v>
      </c>
      <c r="P421" t="s">
        <v>74</v>
      </c>
      <c r="Q421" t="s">
        <v>74</v>
      </c>
      <c r="R421" t="s">
        <v>74</v>
      </c>
      <c r="S421" t="s">
        <v>74</v>
      </c>
      <c r="T421" t="s">
        <v>74</v>
      </c>
      <c r="U421" t="s">
        <v>8189</v>
      </c>
      <c r="V421" t="s">
        <v>8190</v>
      </c>
      <c r="W421" t="s">
        <v>8191</v>
      </c>
      <c r="X421" t="s">
        <v>2325</v>
      </c>
      <c r="Y421" t="s">
        <v>8192</v>
      </c>
      <c r="Z421" t="s">
        <v>74</v>
      </c>
      <c r="AA421" t="s">
        <v>8193</v>
      </c>
      <c r="AB421" t="s">
        <v>8194</v>
      </c>
      <c r="AC421" t="s">
        <v>8195</v>
      </c>
      <c r="AD421" t="s">
        <v>8196</v>
      </c>
      <c r="AE421" t="s">
        <v>8197</v>
      </c>
      <c r="AF421" t="s">
        <v>74</v>
      </c>
      <c r="AG421">
        <v>55</v>
      </c>
      <c r="AH421">
        <v>1</v>
      </c>
      <c r="AI421">
        <v>1</v>
      </c>
      <c r="AJ421">
        <v>15</v>
      </c>
      <c r="AK421">
        <v>15</v>
      </c>
      <c r="AL421" t="s">
        <v>3057</v>
      </c>
      <c r="AM421" t="s">
        <v>3058</v>
      </c>
      <c r="AN421" t="s">
        <v>3059</v>
      </c>
      <c r="AO421" t="s">
        <v>74</v>
      </c>
      <c r="AP421" t="s">
        <v>3396</v>
      </c>
      <c r="AQ421" t="s">
        <v>74</v>
      </c>
      <c r="AR421" t="s">
        <v>3397</v>
      </c>
      <c r="AS421" t="s">
        <v>3398</v>
      </c>
      <c r="AT421" t="s">
        <v>8182</v>
      </c>
      <c r="AU421">
        <v>2023</v>
      </c>
      <c r="AV421">
        <v>14</v>
      </c>
      <c r="AW421">
        <v>1</v>
      </c>
      <c r="AX421" t="s">
        <v>74</v>
      </c>
      <c r="AY421" t="s">
        <v>74</v>
      </c>
      <c r="AZ421" t="s">
        <v>74</v>
      </c>
      <c r="BA421" t="s">
        <v>74</v>
      </c>
      <c r="BB421" t="s">
        <v>74</v>
      </c>
      <c r="BC421" t="s">
        <v>74</v>
      </c>
      <c r="BD421">
        <v>7259</v>
      </c>
      <c r="BE421" t="s">
        <v>8198</v>
      </c>
      <c r="BF421" t="str">
        <f>HYPERLINK("http://dx.doi.org/10.1038/s41467-023-42637-0","http://dx.doi.org/10.1038/s41467-023-42637-0")</f>
        <v>http://dx.doi.org/10.1038/s41467-023-42637-0</v>
      </c>
      <c r="BG421" t="s">
        <v>74</v>
      </c>
      <c r="BH421" t="s">
        <v>74</v>
      </c>
      <c r="BI421">
        <v>9</v>
      </c>
      <c r="BJ421" t="s">
        <v>1035</v>
      </c>
      <c r="BK421" t="s">
        <v>100</v>
      </c>
      <c r="BL421" t="s">
        <v>1036</v>
      </c>
      <c r="BM421" t="s">
        <v>8199</v>
      </c>
      <c r="BN421">
        <v>37989734</v>
      </c>
      <c r="BO421" t="s">
        <v>131</v>
      </c>
      <c r="BP421" t="s">
        <v>74</v>
      </c>
      <c r="BQ421" t="s">
        <v>74</v>
      </c>
      <c r="BR421" t="s">
        <v>104</v>
      </c>
      <c r="BS421" t="s">
        <v>8200</v>
      </c>
      <c r="BT421" t="str">
        <f>HYPERLINK("https%3A%2F%2Fwww.webofscience.com%2Fwos%2Fwoscc%2Ffull-record%2FWOS:001116498500013","View Full Record in Web of Science")</f>
        <v>View Full Record in Web of Science</v>
      </c>
    </row>
    <row r="422" spans="1:72" x14ac:dyDescent="0.15">
      <c r="A422" t="s">
        <v>72</v>
      </c>
      <c r="B422" t="s">
        <v>8201</v>
      </c>
      <c r="C422" t="s">
        <v>74</v>
      </c>
      <c r="D422" t="s">
        <v>74</v>
      </c>
      <c r="E422" t="s">
        <v>74</v>
      </c>
      <c r="F422" t="s">
        <v>8202</v>
      </c>
      <c r="G422" t="s">
        <v>74</v>
      </c>
      <c r="H422" t="s">
        <v>74</v>
      </c>
      <c r="I422" t="s">
        <v>8203</v>
      </c>
      <c r="J422" t="s">
        <v>8204</v>
      </c>
      <c r="K422" t="s">
        <v>74</v>
      </c>
      <c r="L422" t="s">
        <v>74</v>
      </c>
      <c r="M422" t="s">
        <v>78</v>
      </c>
      <c r="N422" t="s">
        <v>79</v>
      </c>
      <c r="O422" t="s">
        <v>74</v>
      </c>
      <c r="P422" t="s">
        <v>74</v>
      </c>
      <c r="Q422" t="s">
        <v>74</v>
      </c>
      <c r="R422" t="s">
        <v>74</v>
      </c>
      <c r="S422" t="s">
        <v>74</v>
      </c>
      <c r="T422" t="s">
        <v>8205</v>
      </c>
      <c r="U422" t="s">
        <v>8206</v>
      </c>
      <c r="V422" t="s">
        <v>8207</v>
      </c>
      <c r="W422" t="s">
        <v>8208</v>
      </c>
      <c r="X422" t="s">
        <v>8209</v>
      </c>
      <c r="Y422" t="s">
        <v>8210</v>
      </c>
      <c r="Z422" t="s">
        <v>8211</v>
      </c>
      <c r="AA422" t="s">
        <v>8212</v>
      </c>
      <c r="AB422" t="s">
        <v>8213</v>
      </c>
      <c r="AC422" t="s">
        <v>8214</v>
      </c>
      <c r="AD422" t="s">
        <v>8215</v>
      </c>
      <c r="AE422" t="s">
        <v>8216</v>
      </c>
      <c r="AF422" t="s">
        <v>74</v>
      </c>
      <c r="AG422">
        <v>70</v>
      </c>
      <c r="AH422">
        <v>1</v>
      </c>
      <c r="AI422">
        <v>1</v>
      </c>
      <c r="AJ422">
        <v>4</v>
      </c>
      <c r="AK422">
        <v>4</v>
      </c>
      <c r="AL422" t="s">
        <v>8217</v>
      </c>
      <c r="AM422" t="s">
        <v>1209</v>
      </c>
      <c r="AN422" t="s">
        <v>8218</v>
      </c>
      <c r="AO422" t="s">
        <v>8219</v>
      </c>
      <c r="AP422" t="s">
        <v>8220</v>
      </c>
      <c r="AQ422" t="s">
        <v>74</v>
      </c>
      <c r="AR422" t="s">
        <v>8221</v>
      </c>
      <c r="AS422" t="s">
        <v>8222</v>
      </c>
      <c r="AT422" t="s">
        <v>8182</v>
      </c>
      <c r="AU422">
        <v>2023</v>
      </c>
      <c r="AV422">
        <v>120</v>
      </c>
      <c r="AW422">
        <v>47</v>
      </c>
      <c r="AX422" t="s">
        <v>74</v>
      </c>
      <c r="AY422" t="s">
        <v>74</v>
      </c>
      <c r="AZ422" t="s">
        <v>74</v>
      </c>
      <c r="BA422" t="s">
        <v>74</v>
      </c>
      <c r="BB422" t="s">
        <v>74</v>
      </c>
      <c r="BC422" t="s">
        <v>74</v>
      </c>
      <c r="BD422" t="s">
        <v>8223</v>
      </c>
      <c r="BE422" t="s">
        <v>8224</v>
      </c>
      <c r="BF422" t="str">
        <f>HYPERLINK("http://dx.doi.org/10.1073/pnas.2221810120","http://dx.doi.org/10.1073/pnas.2221810120")</f>
        <v>http://dx.doi.org/10.1073/pnas.2221810120</v>
      </c>
      <c r="BG422" t="s">
        <v>74</v>
      </c>
      <c r="BH422" t="s">
        <v>74</v>
      </c>
      <c r="BI422">
        <v>8</v>
      </c>
      <c r="BJ422" t="s">
        <v>1035</v>
      </c>
      <c r="BK422" t="s">
        <v>100</v>
      </c>
      <c r="BL422" t="s">
        <v>1036</v>
      </c>
      <c r="BM422" t="s">
        <v>8225</v>
      </c>
      <c r="BN422" t="s">
        <v>74</v>
      </c>
      <c r="BO422" t="s">
        <v>3456</v>
      </c>
      <c r="BP422" t="s">
        <v>74</v>
      </c>
      <c r="BQ422" t="s">
        <v>74</v>
      </c>
      <c r="BR422" t="s">
        <v>104</v>
      </c>
      <c r="BS422" t="s">
        <v>8226</v>
      </c>
      <c r="BT422" t="str">
        <f>HYPERLINK("https%3A%2F%2Fwww.webofscience.com%2Fwos%2Fwoscc%2Ffull-record%2FWOS:001163002000004","View Full Record in Web of Science")</f>
        <v>View Full Record in Web of Science</v>
      </c>
    </row>
    <row r="423" spans="1:72" x14ac:dyDescent="0.15">
      <c r="A423" t="s">
        <v>72</v>
      </c>
      <c r="B423" t="s">
        <v>8227</v>
      </c>
      <c r="C423" t="s">
        <v>74</v>
      </c>
      <c r="D423" t="s">
        <v>74</v>
      </c>
      <c r="E423" t="s">
        <v>74</v>
      </c>
      <c r="F423" t="s">
        <v>8228</v>
      </c>
      <c r="G423" t="s">
        <v>74</v>
      </c>
      <c r="H423" t="s">
        <v>74</v>
      </c>
      <c r="I423" t="s">
        <v>8229</v>
      </c>
      <c r="J423" t="s">
        <v>8230</v>
      </c>
      <c r="K423" t="s">
        <v>74</v>
      </c>
      <c r="L423" t="s">
        <v>74</v>
      </c>
      <c r="M423" t="s">
        <v>78</v>
      </c>
      <c r="N423" t="s">
        <v>79</v>
      </c>
      <c r="O423" t="s">
        <v>74</v>
      </c>
      <c r="P423" t="s">
        <v>74</v>
      </c>
      <c r="Q423" t="s">
        <v>74</v>
      </c>
      <c r="R423" t="s">
        <v>74</v>
      </c>
      <c r="S423" t="s">
        <v>74</v>
      </c>
      <c r="T423" t="s">
        <v>8231</v>
      </c>
      <c r="U423" t="s">
        <v>8232</v>
      </c>
      <c r="V423" t="s">
        <v>8233</v>
      </c>
      <c r="W423" t="s">
        <v>8234</v>
      </c>
      <c r="X423" t="s">
        <v>8235</v>
      </c>
      <c r="Y423" t="s">
        <v>8236</v>
      </c>
      <c r="Z423" t="s">
        <v>8237</v>
      </c>
      <c r="AA423" t="s">
        <v>8238</v>
      </c>
      <c r="AB423" t="s">
        <v>74</v>
      </c>
      <c r="AC423" t="s">
        <v>8239</v>
      </c>
      <c r="AD423" t="s">
        <v>8240</v>
      </c>
      <c r="AE423" t="s">
        <v>8241</v>
      </c>
      <c r="AF423" t="s">
        <v>74</v>
      </c>
      <c r="AG423">
        <v>62</v>
      </c>
      <c r="AH423">
        <v>1</v>
      </c>
      <c r="AI423">
        <v>1</v>
      </c>
      <c r="AJ423">
        <v>9</v>
      </c>
      <c r="AK423">
        <v>9</v>
      </c>
      <c r="AL423" t="s">
        <v>2529</v>
      </c>
      <c r="AM423" t="s">
        <v>2294</v>
      </c>
      <c r="AN423" t="s">
        <v>2530</v>
      </c>
      <c r="AO423" t="s">
        <v>8242</v>
      </c>
      <c r="AP423" t="s">
        <v>8243</v>
      </c>
      <c r="AQ423" t="s">
        <v>74</v>
      </c>
      <c r="AR423" t="s">
        <v>8244</v>
      </c>
      <c r="AS423" t="s">
        <v>8245</v>
      </c>
      <c r="AT423" t="s">
        <v>4525</v>
      </c>
      <c r="AU423">
        <v>2023</v>
      </c>
      <c r="AV423">
        <v>5</v>
      </c>
      <c r="AW423">
        <v>4</v>
      </c>
      <c r="AX423" t="s">
        <v>74</v>
      </c>
      <c r="AY423" t="s">
        <v>74</v>
      </c>
      <c r="AZ423" t="s">
        <v>4005</v>
      </c>
      <c r="BA423" t="s">
        <v>74</v>
      </c>
      <c r="BB423">
        <v>511</v>
      </c>
      <c r="BC423">
        <v>524</v>
      </c>
      <c r="BD423" t="s">
        <v>74</v>
      </c>
      <c r="BE423" t="s">
        <v>8246</v>
      </c>
      <c r="BF423" t="str">
        <f>HYPERLINK("http://dx.doi.org/10.1007/s42995-023-00203-z","http://dx.doi.org/10.1007/s42995-023-00203-z")</f>
        <v>http://dx.doi.org/10.1007/s42995-023-00203-z</v>
      </c>
      <c r="BG423" t="s">
        <v>74</v>
      </c>
      <c r="BH423" t="s">
        <v>6982</v>
      </c>
      <c r="BI423">
        <v>14</v>
      </c>
      <c r="BJ423" t="s">
        <v>6874</v>
      </c>
      <c r="BK423" t="s">
        <v>100</v>
      </c>
      <c r="BL423" t="s">
        <v>6874</v>
      </c>
      <c r="BM423" t="s">
        <v>8247</v>
      </c>
      <c r="BN423">
        <v>38045541</v>
      </c>
      <c r="BO423" t="s">
        <v>74</v>
      </c>
      <c r="BP423" t="s">
        <v>74</v>
      </c>
      <c r="BQ423" t="s">
        <v>74</v>
      </c>
      <c r="BR423" t="s">
        <v>104</v>
      </c>
      <c r="BS423" t="s">
        <v>8248</v>
      </c>
      <c r="BT423" t="str">
        <f>HYPERLINK("https%3A%2F%2Fwww.webofscience.com%2Fwos%2Fwoscc%2Ffull-record%2FWOS:001106453000001","View Full Record in Web of Science")</f>
        <v>View Full Record in Web of Science</v>
      </c>
    </row>
    <row r="424" spans="1:72" x14ac:dyDescent="0.15">
      <c r="A424" t="s">
        <v>72</v>
      </c>
      <c r="B424" t="s">
        <v>8249</v>
      </c>
      <c r="C424" t="s">
        <v>74</v>
      </c>
      <c r="D424" t="s">
        <v>74</v>
      </c>
      <c r="E424" t="s">
        <v>74</v>
      </c>
      <c r="F424" t="s">
        <v>8250</v>
      </c>
      <c r="G424" t="s">
        <v>74</v>
      </c>
      <c r="H424" t="s">
        <v>74</v>
      </c>
      <c r="I424" t="s">
        <v>8251</v>
      </c>
      <c r="J424" t="s">
        <v>8252</v>
      </c>
      <c r="K424" t="s">
        <v>74</v>
      </c>
      <c r="L424" t="s">
        <v>74</v>
      </c>
      <c r="M424" t="s">
        <v>78</v>
      </c>
      <c r="N424" t="s">
        <v>79</v>
      </c>
      <c r="O424" t="s">
        <v>74</v>
      </c>
      <c r="P424" t="s">
        <v>74</v>
      </c>
      <c r="Q424" t="s">
        <v>74</v>
      </c>
      <c r="R424" t="s">
        <v>74</v>
      </c>
      <c r="S424" t="s">
        <v>74</v>
      </c>
      <c r="T424" t="s">
        <v>8253</v>
      </c>
      <c r="U424" t="s">
        <v>8254</v>
      </c>
      <c r="V424" t="s">
        <v>8255</v>
      </c>
      <c r="W424" t="s">
        <v>8256</v>
      </c>
      <c r="X424" t="s">
        <v>8257</v>
      </c>
      <c r="Y424" t="s">
        <v>8258</v>
      </c>
      <c r="Z424" t="s">
        <v>8259</v>
      </c>
      <c r="AA424" t="s">
        <v>74</v>
      </c>
      <c r="AB424" t="s">
        <v>8260</v>
      </c>
      <c r="AC424" t="s">
        <v>8261</v>
      </c>
      <c r="AD424" t="s">
        <v>8261</v>
      </c>
      <c r="AE424" t="s">
        <v>8261</v>
      </c>
      <c r="AF424" t="s">
        <v>74</v>
      </c>
      <c r="AG424">
        <v>45</v>
      </c>
      <c r="AH424">
        <v>0</v>
      </c>
      <c r="AI424">
        <v>0</v>
      </c>
      <c r="AJ424">
        <v>6</v>
      </c>
      <c r="AK424">
        <v>6</v>
      </c>
      <c r="AL424" t="s">
        <v>3812</v>
      </c>
      <c r="AM424" t="s">
        <v>3813</v>
      </c>
      <c r="AN424" t="s">
        <v>3814</v>
      </c>
      <c r="AO424" t="s">
        <v>8262</v>
      </c>
      <c r="AP424" t="s">
        <v>8263</v>
      </c>
      <c r="AQ424" t="s">
        <v>74</v>
      </c>
      <c r="AR424" t="s">
        <v>8264</v>
      </c>
      <c r="AS424" t="s">
        <v>8265</v>
      </c>
      <c r="AT424" t="s">
        <v>954</v>
      </c>
      <c r="AU424">
        <v>2024</v>
      </c>
      <c r="AV424">
        <v>74</v>
      </c>
      <c r="AW424">
        <v>1</v>
      </c>
      <c r="AX424" t="s">
        <v>74</v>
      </c>
      <c r="AY424" t="s">
        <v>74</v>
      </c>
      <c r="AZ424" t="s">
        <v>74</v>
      </c>
      <c r="BA424" t="s">
        <v>74</v>
      </c>
      <c r="BB424">
        <v>37</v>
      </c>
      <c r="BC424">
        <v>52</v>
      </c>
      <c r="BD424" t="s">
        <v>74</v>
      </c>
      <c r="BE424" t="s">
        <v>8266</v>
      </c>
      <c r="BF424" t="str">
        <f>HYPERLINK("http://dx.doi.org/10.1007/s10236-023-01587-3","http://dx.doi.org/10.1007/s10236-023-01587-3")</f>
        <v>http://dx.doi.org/10.1007/s10236-023-01587-3</v>
      </c>
      <c r="BG424" t="s">
        <v>74</v>
      </c>
      <c r="BH424" t="s">
        <v>6982</v>
      </c>
      <c r="BI424">
        <v>16</v>
      </c>
      <c r="BJ424" t="s">
        <v>5060</v>
      </c>
      <c r="BK424" t="s">
        <v>100</v>
      </c>
      <c r="BL424" t="s">
        <v>5060</v>
      </c>
      <c r="BM424" t="s">
        <v>8267</v>
      </c>
      <c r="BN424" t="s">
        <v>74</v>
      </c>
      <c r="BO424" t="s">
        <v>103</v>
      </c>
      <c r="BP424" t="s">
        <v>74</v>
      </c>
      <c r="BQ424" t="s">
        <v>74</v>
      </c>
      <c r="BR424" t="s">
        <v>104</v>
      </c>
      <c r="BS424" t="s">
        <v>8268</v>
      </c>
      <c r="BT424" t="str">
        <f>HYPERLINK("https%3A%2F%2Fwww.webofscience.com%2Fwos%2Fwoscc%2Ffull-record%2FWOS:001104954500001","View Full Record in Web of Science")</f>
        <v>View Full Record in Web of Science</v>
      </c>
    </row>
    <row r="425" spans="1:72" x14ac:dyDescent="0.15">
      <c r="A425" t="s">
        <v>72</v>
      </c>
      <c r="B425" t="s">
        <v>8269</v>
      </c>
      <c r="C425" t="s">
        <v>74</v>
      </c>
      <c r="D425" t="s">
        <v>74</v>
      </c>
      <c r="E425" t="s">
        <v>74</v>
      </c>
      <c r="F425" t="s">
        <v>8270</v>
      </c>
      <c r="G425" t="s">
        <v>74</v>
      </c>
      <c r="H425" t="s">
        <v>74</v>
      </c>
      <c r="I425" t="s">
        <v>8271</v>
      </c>
      <c r="J425" t="s">
        <v>7939</v>
      </c>
      <c r="K425" t="s">
        <v>74</v>
      </c>
      <c r="L425" t="s">
        <v>74</v>
      </c>
      <c r="M425" t="s">
        <v>78</v>
      </c>
      <c r="N425" t="s">
        <v>79</v>
      </c>
      <c r="O425" t="s">
        <v>74</v>
      </c>
      <c r="P425" t="s">
        <v>74</v>
      </c>
      <c r="Q425" t="s">
        <v>74</v>
      </c>
      <c r="R425" t="s">
        <v>74</v>
      </c>
      <c r="S425" t="s">
        <v>74</v>
      </c>
      <c r="T425" t="s">
        <v>74</v>
      </c>
      <c r="U425" t="s">
        <v>8272</v>
      </c>
      <c r="V425" t="s">
        <v>8273</v>
      </c>
      <c r="W425" t="s">
        <v>8274</v>
      </c>
      <c r="X425" t="s">
        <v>8275</v>
      </c>
      <c r="Y425" t="s">
        <v>8276</v>
      </c>
      <c r="Z425" t="s">
        <v>8277</v>
      </c>
      <c r="AA425" t="s">
        <v>8278</v>
      </c>
      <c r="AB425" t="s">
        <v>8279</v>
      </c>
      <c r="AC425" t="s">
        <v>8280</v>
      </c>
      <c r="AD425" t="s">
        <v>8281</v>
      </c>
      <c r="AE425" t="s">
        <v>8282</v>
      </c>
      <c r="AF425" t="s">
        <v>74</v>
      </c>
      <c r="AG425">
        <v>75</v>
      </c>
      <c r="AH425">
        <v>0</v>
      </c>
      <c r="AI425">
        <v>0</v>
      </c>
      <c r="AJ425">
        <v>6</v>
      </c>
      <c r="AK425">
        <v>6</v>
      </c>
      <c r="AL425" t="s">
        <v>3057</v>
      </c>
      <c r="AM425" t="s">
        <v>3058</v>
      </c>
      <c r="AN425" t="s">
        <v>3059</v>
      </c>
      <c r="AO425" t="s">
        <v>74</v>
      </c>
      <c r="AP425" t="s">
        <v>7950</v>
      </c>
      <c r="AQ425" t="s">
        <v>74</v>
      </c>
      <c r="AR425" t="s">
        <v>7951</v>
      </c>
      <c r="AS425" t="s">
        <v>7952</v>
      </c>
      <c r="AT425" t="s">
        <v>8182</v>
      </c>
      <c r="AU425">
        <v>2023</v>
      </c>
      <c r="AV425">
        <v>6</v>
      </c>
      <c r="AW425">
        <v>1</v>
      </c>
      <c r="AX425" t="s">
        <v>74</v>
      </c>
      <c r="AY425" t="s">
        <v>74</v>
      </c>
      <c r="AZ425" t="s">
        <v>74</v>
      </c>
      <c r="BA425" t="s">
        <v>74</v>
      </c>
      <c r="BB425" t="s">
        <v>74</v>
      </c>
      <c r="BC425" t="s">
        <v>74</v>
      </c>
      <c r="BD425">
        <v>1186</v>
      </c>
      <c r="BE425" t="s">
        <v>8283</v>
      </c>
      <c r="BF425" t="str">
        <f>HYPERLINK("http://dx.doi.org/10.1038/s42003-023-05559-7","http://dx.doi.org/10.1038/s42003-023-05559-7")</f>
        <v>http://dx.doi.org/10.1038/s42003-023-05559-7</v>
      </c>
      <c r="BG425" t="s">
        <v>74</v>
      </c>
      <c r="BH425" t="s">
        <v>74</v>
      </c>
      <c r="BI425">
        <v>11</v>
      </c>
      <c r="BJ425" t="s">
        <v>7954</v>
      </c>
      <c r="BK425" t="s">
        <v>100</v>
      </c>
      <c r="BL425" t="s">
        <v>7955</v>
      </c>
      <c r="BM425" t="s">
        <v>8284</v>
      </c>
      <c r="BN425">
        <v>37990058</v>
      </c>
      <c r="BO425" t="s">
        <v>8285</v>
      </c>
      <c r="BP425" t="s">
        <v>74</v>
      </c>
      <c r="BQ425" t="s">
        <v>74</v>
      </c>
      <c r="BR425" t="s">
        <v>104</v>
      </c>
      <c r="BS425" t="s">
        <v>8286</v>
      </c>
      <c r="BT425" t="str">
        <f>HYPERLINK("https%3A%2F%2Fwww.webofscience.com%2Fwos%2Fwoscc%2Ffull-record%2FWOS:001105717100001","View Full Record in Web of Science")</f>
        <v>View Full Record in Web of Science</v>
      </c>
    </row>
    <row r="426" spans="1:72" x14ac:dyDescent="0.15">
      <c r="A426" t="s">
        <v>72</v>
      </c>
      <c r="B426" t="s">
        <v>8287</v>
      </c>
      <c r="C426" t="s">
        <v>74</v>
      </c>
      <c r="D426" t="s">
        <v>74</v>
      </c>
      <c r="E426" t="s">
        <v>74</v>
      </c>
      <c r="F426" t="s">
        <v>8288</v>
      </c>
      <c r="G426" t="s">
        <v>74</v>
      </c>
      <c r="H426" t="s">
        <v>74</v>
      </c>
      <c r="I426" t="s">
        <v>8289</v>
      </c>
      <c r="J426" t="s">
        <v>2809</v>
      </c>
      <c r="K426" t="s">
        <v>74</v>
      </c>
      <c r="L426" t="s">
        <v>74</v>
      </c>
      <c r="M426" t="s">
        <v>78</v>
      </c>
      <c r="N426" t="s">
        <v>79</v>
      </c>
      <c r="O426" t="s">
        <v>74</v>
      </c>
      <c r="P426" t="s">
        <v>74</v>
      </c>
      <c r="Q426" t="s">
        <v>74</v>
      </c>
      <c r="R426" t="s">
        <v>74</v>
      </c>
      <c r="S426" t="s">
        <v>74</v>
      </c>
      <c r="T426" t="s">
        <v>74</v>
      </c>
      <c r="U426" t="s">
        <v>8290</v>
      </c>
      <c r="V426" t="s">
        <v>8291</v>
      </c>
      <c r="W426" t="s">
        <v>8292</v>
      </c>
      <c r="X426" t="s">
        <v>8293</v>
      </c>
      <c r="Y426" t="s">
        <v>8294</v>
      </c>
      <c r="Z426" t="s">
        <v>8295</v>
      </c>
      <c r="AA426" t="s">
        <v>74</v>
      </c>
      <c r="AB426" t="s">
        <v>8296</v>
      </c>
      <c r="AC426" t="s">
        <v>8297</v>
      </c>
      <c r="AD426" t="s">
        <v>8298</v>
      </c>
      <c r="AE426" t="s">
        <v>8299</v>
      </c>
      <c r="AF426" t="s">
        <v>74</v>
      </c>
      <c r="AG426">
        <v>93</v>
      </c>
      <c r="AH426">
        <v>0</v>
      </c>
      <c r="AI426">
        <v>0</v>
      </c>
      <c r="AJ426">
        <v>1</v>
      </c>
      <c r="AK426">
        <v>1</v>
      </c>
      <c r="AL426" t="s">
        <v>1838</v>
      </c>
      <c r="AM426" t="s">
        <v>1839</v>
      </c>
      <c r="AN426" t="s">
        <v>1840</v>
      </c>
      <c r="AO426" t="s">
        <v>2818</v>
      </c>
      <c r="AP426" t="s">
        <v>2819</v>
      </c>
      <c r="AQ426" t="s">
        <v>74</v>
      </c>
      <c r="AR426" t="s">
        <v>2809</v>
      </c>
      <c r="AS426" t="s">
        <v>2820</v>
      </c>
      <c r="AT426" t="s">
        <v>8300</v>
      </c>
      <c r="AU426">
        <v>2023</v>
      </c>
      <c r="AV426">
        <v>17</v>
      </c>
      <c r="AW426">
        <v>11</v>
      </c>
      <c r="AX426" t="s">
        <v>74</v>
      </c>
      <c r="AY426" t="s">
        <v>74</v>
      </c>
      <c r="AZ426" t="s">
        <v>74</v>
      </c>
      <c r="BA426" t="s">
        <v>74</v>
      </c>
      <c r="BB426">
        <v>4853</v>
      </c>
      <c r="BC426">
        <v>4871</v>
      </c>
      <c r="BD426" t="s">
        <v>74</v>
      </c>
      <c r="BE426" t="s">
        <v>8301</v>
      </c>
      <c r="BF426" t="str">
        <f>HYPERLINK("http://dx.doi.org/10.5194/tc-17-4853-2023","http://dx.doi.org/10.5194/tc-17-4853-2023")</f>
        <v>http://dx.doi.org/10.5194/tc-17-4853-2023</v>
      </c>
      <c r="BG426" t="s">
        <v>74</v>
      </c>
      <c r="BH426" t="s">
        <v>74</v>
      </c>
      <c r="BI426">
        <v>19</v>
      </c>
      <c r="BJ426" t="s">
        <v>984</v>
      </c>
      <c r="BK426" t="s">
        <v>100</v>
      </c>
      <c r="BL426" t="s">
        <v>985</v>
      </c>
      <c r="BM426" t="s">
        <v>8302</v>
      </c>
      <c r="BN426" t="s">
        <v>74</v>
      </c>
      <c r="BO426" t="s">
        <v>5400</v>
      </c>
      <c r="BP426" t="s">
        <v>74</v>
      </c>
      <c r="BQ426" t="s">
        <v>74</v>
      </c>
      <c r="BR426" t="s">
        <v>104</v>
      </c>
      <c r="BS426" t="s">
        <v>8303</v>
      </c>
      <c r="BT426" t="str">
        <f>HYPERLINK("https%3A%2F%2Fwww.webofscience.com%2Fwos%2Fwoscc%2Ffull-record%2FWOS:001170438600001","View Full Record in Web of Science")</f>
        <v>View Full Record in Web of Science</v>
      </c>
    </row>
    <row r="427" spans="1:72" x14ac:dyDescent="0.15">
      <c r="A427" t="s">
        <v>72</v>
      </c>
      <c r="B427" t="s">
        <v>8304</v>
      </c>
      <c r="C427" t="s">
        <v>74</v>
      </c>
      <c r="D427" t="s">
        <v>74</v>
      </c>
      <c r="E427" t="s">
        <v>74</v>
      </c>
      <c r="F427" t="s">
        <v>8305</v>
      </c>
      <c r="G427" t="s">
        <v>74</v>
      </c>
      <c r="H427" t="s">
        <v>74</v>
      </c>
      <c r="I427" t="s">
        <v>8306</v>
      </c>
      <c r="J427" t="s">
        <v>1017</v>
      </c>
      <c r="K427" t="s">
        <v>74</v>
      </c>
      <c r="L427" t="s">
        <v>74</v>
      </c>
      <c r="M427" t="s">
        <v>78</v>
      </c>
      <c r="N427" t="s">
        <v>79</v>
      </c>
      <c r="O427" t="s">
        <v>74</v>
      </c>
      <c r="P427" t="s">
        <v>74</v>
      </c>
      <c r="Q427" t="s">
        <v>74</v>
      </c>
      <c r="R427" t="s">
        <v>74</v>
      </c>
      <c r="S427" t="s">
        <v>74</v>
      </c>
      <c r="T427" t="s">
        <v>74</v>
      </c>
      <c r="U427" t="s">
        <v>8307</v>
      </c>
      <c r="V427" t="s">
        <v>8308</v>
      </c>
      <c r="W427" t="s">
        <v>8309</v>
      </c>
      <c r="X427" t="s">
        <v>2696</v>
      </c>
      <c r="Y427" t="s">
        <v>8310</v>
      </c>
      <c r="Z427" t="s">
        <v>8311</v>
      </c>
      <c r="AA427" t="s">
        <v>8312</v>
      </c>
      <c r="AB427" t="s">
        <v>8313</v>
      </c>
      <c r="AC427" t="s">
        <v>74</v>
      </c>
      <c r="AD427" t="s">
        <v>74</v>
      </c>
      <c r="AE427" t="s">
        <v>74</v>
      </c>
      <c r="AF427" t="s">
        <v>74</v>
      </c>
      <c r="AG427">
        <v>61</v>
      </c>
      <c r="AH427">
        <v>0</v>
      </c>
      <c r="AI427">
        <v>0</v>
      </c>
      <c r="AJ427">
        <v>5</v>
      </c>
      <c r="AK427">
        <v>5</v>
      </c>
      <c r="AL427" t="s">
        <v>1027</v>
      </c>
      <c r="AM427" t="s">
        <v>1028</v>
      </c>
      <c r="AN427" t="s">
        <v>1029</v>
      </c>
      <c r="AO427" t="s">
        <v>1030</v>
      </c>
      <c r="AP427" t="s">
        <v>74</v>
      </c>
      <c r="AQ427" t="s">
        <v>74</v>
      </c>
      <c r="AR427" t="s">
        <v>1017</v>
      </c>
      <c r="AS427" t="s">
        <v>1031</v>
      </c>
      <c r="AT427" t="s">
        <v>8300</v>
      </c>
      <c r="AU427">
        <v>2023</v>
      </c>
      <c r="AV427">
        <v>18</v>
      </c>
      <c r="AW427">
        <v>11</v>
      </c>
      <c r="AX427" t="s">
        <v>74</v>
      </c>
      <c r="AY427" t="s">
        <v>74</v>
      </c>
      <c r="AZ427" t="s">
        <v>74</v>
      </c>
      <c r="BA427" t="s">
        <v>74</v>
      </c>
      <c r="BB427" t="s">
        <v>74</v>
      </c>
      <c r="BC427" t="s">
        <v>74</v>
      </c>
      <c r="BD427" t="s">
        <v>8314</v>
      </c>
      <c r="BE427" t="s">
        <v>8315</v>
      </c>
      <c r="BF427" t="str">
        <f>HYPERLINK("http://dx.doi.org/10.1371/journal.pone.0294452","http://dx.doi.org/10.1371/journal.pone.0294452")</f>
        <v>http://dx.doi.org/10.1371/journal.pone.0294452</v>
      </c>
      <c r="BG427" t="s">
        <v>74</v>
      </c>
      <c r="BH427" t="s">
        <v>74</v>
      </c>
      <c r="BI427">
        <v>18</v>
      </c>
      <c r="BJ427" t="s">
        <v>1035</v>
      </c>
      <c r="BK427" t="s">
        <v>100</v>
      </c>
      <c r="BL427" t="s">
        <v>1036</v>
      </c>
      <c r="BM427" t="s">
        <v>8316</v>
      </c>
      <c r="BN427">
        <v>37983252</v>
      </c>
      <c r="BO427" t="s">
        <v>200</v>
      </c>
      <c r="BP427" t="s">
        <v>74</v>
      </c>
      <c r="BQ427" t="s">
        <v>74</v>
      </c>
      <c r="BR427" t="s">
        <v>104</v>
      </c>
      <c r="BS427" t="s">
        <v>8317</v>
      </c>
      <c r="BT427" t="str">
        <f>HYPERLINK("https%3A%2F%2Fwww.webofscience.com%2Fwos%2Fwoscc%2Ffull-record%2FWOS:001123404900014","View Full Record in Web of Science")</f>
        <v>View Full Record in Web of Science</v>
      </c>
    </row>
    <row r="428" spans="1:72" x14ac:dyDescent="0.15">
      <c r="A428" t="s">
        <v>72</v>
      </c>
      <c r="B428" t="s">
        <v>8318</v>
      </c>
      <c r="C428" t="s">
        <v>74</v>
      </c>
      <c r="D428" t="s">
        <v>74</v>
      </c>
      <c r="E428" t="s">
        <v>74</v>
      </c>
      <c r="F428" t="s">
        <v>8319</v>
      </c>
      <c r="G428" t="s">
        <v>74</v>
      </c>
      <c r="H428" t="s">
        <v>74</v>
      </c>
      <c r="I428" t="s">
        <v>8320</v>
      </c>
      <c r="J428" t="s">
        <v>8321</v>
      </c>
      <c r="K428" t="s">
        <v>74</v>
      </c>
      <c r="L428" t="s">
        <v>74</v>
      </c>
      <c r="M428" t="s">
        <v>78</v>
      </c>
      <c r="N428" t="s">
        <v>79</v>
      </c>
      <c r="O428" t="s">
        <v>74</v>
      </c>
      <c r="P428" t="s">
        <v>74</v>
      </c>
      <c r="Q428" t="s">
        <v>74</v>
      </c>
      <c r="R428" t="s">
        <v>74</v>
      </c>
      <c r="S428" t="s">
        <v>74</v>
      </c>
      <c r="T428" t="s">
        <v>8322</v>
      </c>
      <c r="U428" t="s">
        <v>8323</v>
      </c>
      <c r="V428" t="s">
        <v>8324</v>
      </c>
      <c r="W428" t="s">
        <v>8325</v>
      </c>
      <c r="X428" t="s">
        <v>8326</v>
      </c>
      <c r="Y428" t="s">
        <v>8327</v>
      </c>
      <c r="Z428" t="s">
        <v>8328</v>
      </c>
      <c r="AA428" t="s">
        <v>8329</v>
      </c>
      <c r="AB428" t="s">
        <v>8330</v>
      </c>
      <c r="AC428" t="s">
        <v>8331</v>
      </c>
      <c r="AD428" t="s">
        <v>8332</v>
      </c>
      <c r="AE428" t="s">
        <v>8333</v>
      </c>
      <c r="AF428" t="s">
        <v>74</v>
      </c>
      <c r="AG428">
        <v>57</v>
      </c>
      <c r="AH428">
        <v>0</v>
      </c>
      <c r="AI428">
        <v>0</v>
      </c>
      <c r="AJ428">
        <v>4</v>
      </c>
      <c r="AK428">
        <v>4</v>
      </c>
      <c r="AL428" t="s">
        <v>8334</v>
      </c>
      <c r="AM428" t="s">
        <v>8335</v>
      </c>
      <c r="AN428" t="s">
        <v>8336</v>
      </c>
      <c r="AO428" t="s">
        <v>8337</v>
      </c>
      <c r="AP428" t="s">
        <v>8338</v>
      </c>
      <c r="AQ428" t="s">
        <v>74</v>
      </c>
      <c r="AR428" t="s">
        <v>8339</v>
      </c>
      <c r="AS428" t="s">
        <v>8340</v>
      </c>
      <c r="AT428" t="s">
        <v>1947</v>
      </c>
      <c r="AU428">
        <v>2023</v>
      </c>
      <c r="AV428">
        <v>20</v>
      </c>
      <c r="AW428">
        <v>12</v>
      </c>
      <c r="AX428" t="s">
        <v>74</v>
      </c>
      <c r="AY428" t="s">
        <v>74</v>
      </c>
      <c r="AZ428" t="s">
        <v>74</v>
      </c>
      <c r="BA428" t="s">
        <v>74</v>
      </c>
      <c r="BB428" t="s">
        <v>74</v>
      </c>
      <c r="BC428" t="s">
        <v>74</v>
      </c>
      <c r="BD428" t="s">
        <v>74</v>
      </c>
      <c r="BE428" t="s">
        <v>8341</v>
      </c>
      <c r="BF428" t="str">
        <f>HYPERLINK("http://dx.doi.org/10.1002/cbdv.202300429","http://dx.doi.org/10.1002/cbdv.202300429")</f>
        <v>http://dx.doi.org/10.1002/cbdv.202300429</v>
      </c>
      <c r="BG428" t="s">
        <v>74</v>
      </c>
      <c r="BH428" t="s">
        <v>6982</v>
      </c>
      <c r="BI428">
        <v>11</v>
      </c>
      <c r="BJ428" t="s">
        <v>6163</v>
      </c>
      <c r="BK428" t="s">
        <v>100</v>
      </c>
      <c r="BL428" t="s">
        <v>6164</v>
      </c>
      <c r="BM428" t="s">
        <v>8342</v>
      </c>
      <c r="BN428">
        <v>37908056</v>
      </c>
      <c r="BO428" t="s">
        <v>74</v>
      </c>
      <c r="BP428" t="s">
        <v>74</v>
      </c>
      <c r="BQ428" t="s">
        <v>74</v>
      </c>
      <c r="BR428" t="s">
        <v>104</v>
      </c>
      <c r="BS428" t="s">
        <v>8343</v>
      </c>
      <c r="BT428" t="str">
        <f>HYPERLINK("https%3A%2F%2Fwww.webofscience.com%2Fwos%2Fwoscc%2Ffull-record%2FWOS:001107342000001","View Full Record in Web of Science")</f>
        <v>View Full Record in Web of Science</v>
      </c>
    </row>
    <row r="429" spans="1:72" x14ac:dyDescent="0.15">
      <c r="A429" t="s">
        <v>72</v>
      </c>
      <c r="B429" t="s">
        <v>8344</v>
      </c>
      <c r="C429" t="s">
        <v>74</v>
      </c>
      <c r="D429" t="s">
        <v>74</v>
      </c>
      <c r="E429" t="s">
        <v>74</v>
      </c>
      <c r="F429" t="s">
        <v>8345</v>
      </c>
      <c r="G429" t="s">
        <v>74</v>
      </c>
      <c r="H429" t="s">
        <v>74</v>
      </c>
      <c r="I429" t="s">
        <v>8346</v>
      </c>
      <c r="J429" t="s">
        <v>8347</v>
      </c>
      <c r="K429" t="s">
        <v>74</v>
      </c>
      <c r="L429" t="s">
        <v>74</v>
      </c>
      <c r="M429" t="s">
        <v>78</v>
      </c>
      <c r="N429" t="s">
        <v>79</v>
      </c>
      <c r="O429" t="s">
        <v>74</v>
      </c>
      <c r="P429" t="s">
        <v>74</v>
      </c>
      <c r="Q429" t="s">
        <v>74</v>
      </c>
      <c r="R429" t="s">
        <v>74</v>
      </c>
      <c r="S429" t="s">
        <v>74</v>
      </c>
      <c r="T429" t="s">
        <v>8348</v>
      </c>
      <c r="U429" t="s">
        <v>8349</v>
      </c>
      <c r="V429" t="s">
        <v>8350</v>
      </c>
      <c r="W429" t="s">
        <v>8351</v>
      </c>
      <c r="X429" t="s">
        <v>8352</v>
      </c>
      <c r="Y429" t="s">
        <v>8353</v>
      </c>
      <c r="Z429" t="s">
        <v>8354</v>
      </c>
      <c r="AA429" t="s">
        <v>8355</v>
      </c>
      <c r="AB429" t="s">
        <v>8356</v>
      </c>
      <c r="AC429" t="s">
        <v>8357</v>
      </c>
      <c r="AD429" t="s">
        <v>8358</v>
      </c>
      <c r="AE429" t="s">
        <v>8359</v>
      </c>
      <c r="AF429" t="s">
        <v>74</v>
      </c>
      <c r="AG429">
        <v>76</v>
      </c>
      <c r="AH429">
        <v>1</v>
      </c>
      <c r="AI429">
        <v>1</v>
      </c>
      <c r="AJ429">
        <v>2</v>
      </c>
      <c r="AK429">
        <v>2</v>
      </c>
      <c r="AL429" t="s">
        <v>1101</v>
      </c>
      <c r="AM429" t="s">
        <v>1102</v>
      </c>
      <c r="AN429" t="s">
        <v>1103</v>
      </c>
      <c r="AO429" t="s">
        <v>8360</v>
      </c>
      <c r="AP429" t="s">
        <v>8361</v>
      </c>
      <c r="AQ429" t="s">
        <v>74</v>
      </c>
      <c r="AR429" t="s">
        <v>8362</v>
      </c>
      <c r="AS429" t="s">
        <v>8363</v>
      </c>
      <c r="AT429" t="s">
        <v>1108</v>
      </c>
      <c r="AU429">
        <v>2024</v>
      </c>
      <c r="AV429">
        <v>49</v>
      </c>
      <c r="AW429">
        <v>2</v>
      </c>
      <c r="AX429" t="s">
        <v>74</v>
      </c>
      <c r="AY429" t="s">
        <v>74</v>
      </c>
      <c r="AZ429" t="s">
        <v>74</v>
      </c>
      <c r="BA429" t="s">
        <v>74</v>
      </c>
      <c r="BB429">
        <v>272</v>
      </c>
      <c r="BC429">
        <v>284</v>
      </c>
      <c r="BD429" t="s">
        <v>74</v>
      </c>
      <c r="BE429" t="s">
        <v>8364</v>
      </c>
      <c r="BF429" t="str">
        <f>HYPERLINK("http://dx.doi.org/10.1111/een.13299","http://dx.doi.org/10.1111/een.13299")</f>
        <v>http://dx.doi.org/10.1111/een.13299</v>
      </c>
      <c r="BG429" t="s">
        <v>74</v>
      </c>
      <c r="BH429" t="s">
        <v>6982</v>
      </c>
      <c r="BI429">
        <v>13</v>
      </c>
      <c r="BJ429" t="s">
        <v>8365</v>
      </c>
      <c r="BK429" t="s">
        <v>100</v>
      </c>
      <c r="BL429" t="s">
        <v>8365</v>
      </c>
      <c r="BM429" t="s">
        <v>8366</v>
      </c>
      <c r="BN429" t="s">
        <v>74</v>
      </c>
      <c r="BO429" t="s">
        <v>74</v>
      </c>
      <c r="BP429" t="s">
        <v>74</v>
      </c>
      <c r="BQ429" t="s">
        <v>74</v>
      </c>
      <c r="BR429" t="s">
        <v>104</v>
      </c>
      <c r="BS429" t="s">
        <v>8367</v>
      </c>
      <c r="BT429" t="str">
        <f>HYPERLINK("https%3A%2F%2Fwww.webofscience.com%2Fwos%2Fwoscc%2Ffull-record%2FWOS:001107399200001","View Full Record in Web of Science")</f>
        <v>View Full Record in Web of Science</v>
      </c>
    </row>
    <row r="430" spans="1:72" x14ac:dyDescent="0.15">
      <c r="A430" t="s">
        <v>72</v>
      </c>
      <c r="B430" t="s">
        <v>8368</v>
      </c>
      <c r="C430" t="s">
        <v>74</v>
      </c>
      <c r="D430" t="s">
        <v>74</v>
      </c>
      <c r="E430" t="s">
        <v>74</v>
      </c>
      <c r="F430" t="s">
        <v>8369</v>
      </c>
      <c r="G430" t="s">
        <v>74</v>
      </c>
      <c r="H430" t="s">
        <v>74</v>
      </c>
      <c r="I430" t="s">
        <v>8370</v>
      </c>
      <c r="J430" t="s">
        <v>8371</v>
      </c>
      <c r="K430" t="s">
        <v>74</v>
      </c>
      <c r="L430" t="s">
        <v>74</v>
      </c>
      <c r="M430" t="s">
        <v>78</v>
      </c>
      <c r="N430" t="s">
        <v>79</v>
      </c>
      <c r="O430" t="s">
        <v>74</v>
      </c>
      <c r="P430" t="s">
        <v>74</v>
      </c>
      <c r="Q430" t="s">
        <v>74</v>
      </c>
      <c r="R430" t="s">
        <v>74</v>
      </c>
      <c r="S430" t="s">
        <v>74</v>
      </c>
      <c r="T430" t="s">
        <v>8372</v>
      </c>
      <c r="U430" t="s">
        <v>8373</v>
      </c>
      <c r="V430" t="s">
        <v>8374</v>
      </c>
      <c r="W430" t="s">
        <v>8375</v>
      </c>
      <c r="X430" t="s">
        <v>8376</v>
      </c>
      <c r="Y430" t="s">
        <v>8377</v>
      </c>
      <c r="Z430" t="s">
        <v>8378</v>
      </c>
      <c r="AA430" t="s">
        <v>74</v>
      </c>
      <c r="AB430" t="s">
        <v>8379</v>
      </c>
      <c r="AC430" t="s">
        <v>8380</v>
      </c>
      <c r="AD430" t="s">
        <v>8381</v>
      </c>
      <c r="AE430" t="s">
        <v>8382</v>
      </c>
      <c r="AF430" t="s">
        <v>74</v>
      </c>
      <c r="AG430">
        <v>78</v>
      </c>
      <c r="AH430">
        <v>0</v>
      </c>
      <c r="AI430">
        <v>0</v>
      </c>
      <c r="AJ430">
        <v>1</v>
      </c>
      <c r="AK430">
        <v>1</v>
      </c>
      <c r="AL430" t="s">
        <v>1101</v>
      </c>
      <c r="AM430" t="s">
        <v>1102</v>
      </c>
      <c r="AN430" t="s">
        <v>1103</v>
      </c>
      <c r="AO430" t="s">
        <v>8383</v>
      </c>
      <c r="AP430" t="s">
        <v>8384</v>
      </c>
      <c r="AQ430" t="s">
        <v>74</v>
      </c>
      <c r="AR430" t="s">
        <v>8385</v>
      </c>
      <c r="AS430" t="s">
        <v>8386</v>
      </c>
      <c r="AT430" t="s">
        <v>1133</v>
      </c>
      <c r="AU430">
        <v>2024</v>
      </c>
      <c r="AV430">
        <v>172</v>
      </c>
      <c r="AW430">
        <v>2</v>
      </c>
      <c r="AX430" t="s">
        <v>74</v>
      </c>
      <c r="AY430" t="s">
        <v>74</v>
      </c>
      <c r="AZ430" t="s">
        <v>74</v>
      </c>
      <c r="BA430" t="s">
        <v>74</v>
      </c>
      <c r="BB430">
        <v>154</v>
      </c>
      <c r="BC430">
        <v>167</v>
      </c>
      <c r="BD430" t="s">
        <v>74</v>
      </c>
      <c r="BE430" t="s">
        <v>8387</v>
      </c>
      <c r="BF430" t="str">
        <f>HYPERLINK("http://dx.doi.org/10.1111/eea.13387","http://dx.doi.org/10.1111/eea.13387")</f>
        <v>http://dx.doi.org/10.1111/eea.13387</v>
      </c>
      <c r="BG430" t="s">
        <v>74</v>
      </c>
      <c r="BH430" t="s">
        <v>6982</v>
      </c>
      <c r="BI430">
        <v>14</v>
      </c>
      <c r="BJ430" t="s">
        <v>8365</v>
      </c>
      <c r="BK430" t="s">
        <v>100</v>
      </c>
      <c r="BL430" t="s">
        <v>8365</v>
      </c>
      <c r="BM430" t="s">
        <v>8388</v>
      </c>
      <c r="BN430" t="s">
        <v>74</v>
      </c>
      <c r="BO430" t="s">
        <v>103</v>
      </c>
      <c r="BP430" t="s">
        <v>74</v>
      </c>
      <c r="BQ430" t="s">
        <v>74</v>
      </c>
      <c r="BR430" t="s">
        <v>104</v>
      </c>
      <c r="BS430" t="s">
        <v>8389</v>
      </c>
      <c r="BT430" t="str">
        <f>HYPERLINK("https%3A%2F%2Fwww.webofscience.com%2Fwos%2Fwoscc%2Ffull-record%2FWOS:001107398600001","View Full Record in Web of Science")</f>
        <v>View Full Record in Web of Science</v>
      </c>
    </row>
    <row r="431" spans="1:72" x14ac:dyDescent="0.15">
      <c r="A431" t="s">
        <v>72</v>
      </c>
      <c r="B431" t="s">
        <v>8390</v>
      </c>
      <c r="C431" t="s">
        <v>74</v>
      </c>
      <c r="D431" t="s">
        <v>74</v>
      </c>
      <c r="E431" t="s">
        <v>74</v>
      </c>
      <c r="F431" t="s">
        <v>8391</v>
      </c>
      <c r="G431" t="s">
        <v>74</v>
      </c>
      <c r="H431" t="s">
        <v>74</v>
      </c>
      <c r="I431" t="s">
        <v>8392</v>
      </c>
      <c r="J431" t="s">
        <v>8393</v>
      </c>
      <c r="K431" t="s">
        <v>74</v>
      </c>
      <c r="L431" t="s">
        <v>74</v>
      </c>
      <c r="M431" t="s">
        <v>78</v>
      </c>
      <c r="N431" t="s">
        <v>79</v>
      </c>
      <c r="O431" t="s">
        <v>74</v>
      </c>
      <c r="P431" t="s">
        <v>74</v>
      </c>
      <c r="Q431" t="s">
        <v>74</v>
      </c>
      <c r="R431" t="s">
        <v>74</v>
      </c>
      <c r="S431" t="s">
        <v>74</v>
      </c>
      <c r="T431" t="s">
        <v>8394</v>
      </c>
      <c r="U431" t="s">
        <v>8395</v>
      </c>
      <c r="V431" t="s">
        <v>8396</v>
      </c>
      <c r="W431" t="s">
        <v>8397</v>
      </c>
      <c r="X431" t="s">
        <v>8398</v>
      </c>
      <c r="Y431" t="s">
        <v>8399</v>
      </c>
      <c r="Z431" t="s">
        <v>8400</v>
      </c>
      <c r="AA431" t="s">
        <v>74</v>
      </c>
      <c r="AB431" t="s">
        <v>8401</v>
      </c>
      <c r="AC431" t="s">
        <v>8402</v>
      </c>
      <c r="AD431" t="s">
        <v>8403</v>
      </c>
      <c r="AE431" t="s">
        <v>8404</v>
      </c>
      <c r="AF431" t="s">
        <v>74</v>
      </c>
      <c r="AG431">
        <v>50</v>
      </c>
      <c r="AH431">
        <v>0</v>
      </c>
      <c r="AI431">
        <v>0</v>
      </c>
      <c r="AJ431">
        <v>1</v>
      </c>
      <c r="AK431">
        <v>1</v>
      </c>
      <c r="AL431" t="s">
        <v>1101</v>
      </c>
      <c r="AM431" t="s">
        <v>1102</v>
      </c>
      <c r="AN431" t="s">
        <v>1103</v>
      </c>
      <c r="AO431" t="s">
        <v>8405</v>
      </c>
      <c r="AP431" t="s">
        <v>8406</v>
      </c>
      <c r="AQ431" t="s">
        <v>74</v>
      </c>
      <c r="AR431" t="s">
        <v>8407</v>
      </c>
      <c r="AS431" t="s">
        <v>8408</v>
      </c>
      <c r="AT431" t="s">
        <v>954</v>
      </c>
      <c r="AU431">
        <v>2024</v>
      </c>
      <c r="AV431">
        <v>35</v>
      </c>
      <c r="AW431">
        <v>1</v>
      </c>
      <c r="AX431" t="s">
        <v>74</v>
      </c>
      <c r="AY431" t="s">
        <v>74</v>
      </c>
      <c r="AZ431" t="s">
        <v>74</v>
      </c>
      <c r="BA431" t="s">
        <v>74</v>
      </c>
      <c r="BB431">
        <v>46</v>
      </c>
      <c r="BC431">
        <v>59</v>
      </c>
      <c r="BD431" t="s">
        <v>74</v>
      </c>
      <c r="BE431" t="s">
        <v>8409</v>
      </c>
      <c r="BF431" t="str">
        <f>HYPERLINK("http://dx.doi.org/10.1002/ppp.2212","http://dx.doi.org/10.1002/ppp.2212")</f>
        <v>http://dx.doi.org/10.1002/ppp.2212</v>
      </c>
      <c r="BG431" t="s">
        <v>74</v>
      </c>
      <c r="BH431" t="s">
        <v>6982</v>
      </c>
      <c r="BI431">
        <v>14</v>
      </c>
      <c r="BJ431" t="s">
        <v>8410</v>
      </c>
      <c r="BK431" t="s">
        <v>100</v>
      </c>
      <c r="BL431" t="s">
        <v>985</v>
      </c>
      <c r="BM431" t="s">
        <v>8411</v>
      </c>
      <c r="BN431" t="s">
        <v>74</v>
      </c>
      <c r="BO431" t="s">
        <v>74</v>
      </c>
      <c r="BP431" t="s">
        <v>74</v>
      </c>
      <c r="BQ431" t="s">
        <v>74</v>
      </c>
      <c r="BR431" t="s">
        <v>104</v>
      </c>
      <c r="BS431" t="s">
        <v>8412</v>
      </c>
      <c r="BT431" t="str">
        <f>HYPERLINK("https%3A%2F%2Fwww.webofscience.com%2Fwos%2Fwoscc%2Ffull-record%2FWOS:001104699900001","View Full Record in Web of Science")</f>
        <v>View Full Record in Web of Science</v>
      </c>
    </row>
    <row r="432" spans="1:72" x14ac:dyDescent="0.15">
      <c r="A432" t="s">
        <v>72</v>
      </c>
      <c r="B432" t="s">
        <v>8413</v>
      </c>
      <c r="C432" t="s">
        <v>74</v>
      </c>
      <c r="D432" t="s">
        <v>74</v>
      </c>
      <c r="E432" t="s">
        <v>74</v>
      </c>
      <c r="F432" t="s">
        <v>8414</v>
      </c>
      <c r="G432" t="s">
        <v>74</v>
      </c>
      <c r="H432" t="s">
        <v>74</v>
      </c>
      <c r="I432" t="s">
        <v>8415</v>
      </c>
      <c r="J432" t="s">
        <v>8416</v>
      </c>
      <c r="K432" t="s">
        <v>74</v>
      </c>
      <c r="L432" t="s">
        <v>74</v>
      </c>
      <c r="M432" t="s">
        <v>78</v>
      </c>
      <c r="N432" t="s">
        <v>79</v>
      </c>
      <c r="O432" t="s">
        <v>74</v>
      </c>
      <c r="P432" t="s">
        <v>74</v>
      </c>
      <c r="Q432" t="s">
        <v>74</v>
      </c>
      <c r="R432" t="s">
        <v>74</v>
      </c>
      <c r="S432" t="s">
        <v>74</v>
      </c>
      <c r="T432" t="s">
        <v>8417</v>
      </c>
      <c r="U432" t="s">
        <v>8418</v>
      </c>
      <c r="V432" t="s">
        <v>8419</v>
      </c>
      <c r="W432" t="s">
        <v>8420</v>
      </c>
      <c r="X432" t="s">
        <v>8421</v>
      </c>
      <c r="Y432" t="s">
        <v>8422</v>
      </c>
      <c r="Z432" t="s">
        <v>8423</v>
      </c>
      <c r="AA432" t="s">
        <v>74</v>
      </c>
      <c r="AB432" t="s">
        <v>74</v>
      </c>
      <c r="AC432" t="s">
        <v>8424</v>
      </c>
      <c r="AD432" t="s">
        <v>8425</v>
      </c>
      <c r="AE432" t="s">
        <v>8426</v>
      </c>
      <c r="AF432" t="s">
        <v>74</v>
      </c>
      <c r="AG432">
        <v>171</v>
      </c>
      <c r="AH432">
        <v>0</v>
      </c>
      <c r="AI432">
        <v>0</v>
      </c>
      <c r="AJ432">
        <v>2</v>
      </c>
      <c r="AK432">
        <v>2</v>
      </c>
      <c r="AL432" t="s">
        <v>830</v>
      </c>
      <c r="AM432" t="s">
        <v>831</v>
      </c>
      <c r="AN432" t="s">
        <v>832</v>
      </c>
      <c r="AO432" t="s">
        <v>8427</v>
      </c>
      <c r="AP432" t="s">
        <v>8428</v>
      </c>
      <c r="AQ432" t="s">
        <v>74</v>
      </c>
      <c r="AR432" t="s">
        <v>8429</v>
      </c>
      <c r="AS432" t="s">
        <v>8430</v>
      </c>
      <c r="AT432" t="s">
        <v>8431</v>
      </c>
      <c r="AU432">
        <v>2024</v>
      </c>
      <c r="AV432">
        <v>63</v>
      </c>
      <c r="AW432">
        <v>3</v>
      </c>
      <c r="AX432" t="s">
        <v>74</v>
      </c>
      <c r="AY432" t="s">
        <v>74</v>
      </c>
      <c r="AZ432" t="s">
        <v>74</v>
      </c>
      <c r="BA432" t="s">
        <v>74</v>
      </c>
      <c r="BB432">
        <v>247</v>
      </c>
      <c r="BC432">
        <v>269</v>
      </c>
      <c r="BD432" t="s">
        <v>74</v>
      </c>
      <c r="BE432" t="s">
        <v>8432</v>
      </c>
      <c r="BF432" t="str">
        <f>HYPERLINK("http://dx.doi.org/10.1080/25740881.2023.2282608","http://dx.doi.org/10.1080/25740881.2023.2282608")</f>
        <v>http://dx.doi.org/10.1080/25740881.2023.2282608</v>
      </c>
      <c r="BG432" t="s">
        <v>74</v>
      </c>
      <c r="BH432" t="s">
        <v>6982</v>
      </c>
      <c r="BI432">
        <v>23</v>
      </c>
      <c r="BJ432" t="s">
        <v>8433</v>
      </c>
      <c r="BK432" t="s">
        <v>100</v>
      </c>
      <c r="BL432" t="s">
        <v>8433</v>
      </c>
      <c r="BM432" t="s">
        <v>8434</v>
      </c>
      <c r="BN432" t="s">
        <v>74</v>
      </c>
      <c r="BO432" t="s">
        <v>74</v>
      </c>
      <c r="BP432" t="s">
        <v>74</v>
      </c>
      <c r="BQ432" t="s">
        <v>74</v>
      </c>
      <c r="BR432" t="s">
        <v>104</v>
      </c>
      <c r="BS432" t="s">
        <v>8435</v>
      </c>
      <c r="BT432" t="str">
        <f>HYPERLINK("https%3A%2F%2Fwww.webofscience.com%2Fwos%2Fwoscc%2Ffull-record%2FWOS:001106966200001","View Full Record in Web of Science")</f>
        <v>View Full Record in Web of Science</v>
      </c>
    </row>
    <row r="433" spans="1:72" x14ac:dyDescent="0.15">
      <c r="A433" t="s">
        <v>72</v>
      </c>
      <c r="B433" t="s">
        <v>8436</v>
      </c>
      <c r="C433" t="s">
        <v>74</v>
      </c>
      <c r="D433" t="s">
        <v>74</v>
      </c>
      <c r="E433" t="s">
        <v>74</v>
      </c>
      <c r="F433" t="s">
        <v>8437</v>
      </c>
      <c r="G433" t="s">
        <v>74</v>
      </c>
      <c r="H433" t="s">
        <v>74</v>
      </c>
      <c r="I433" t="s">
        <v>8438</v>
      </c>
      <c r="J433" t="s">
        <v>1116</v>
      </c>
      <c r="K433" t="s">
        <v>74</v>
      </c>
      <c r="L433" t="s">
        <v>74</v>
      </c>
      <c r="M433" t="s">
        <v>78</v>
      </c>
      <c r="N433" t="s">
        <v>79</v>
      </c>
      <c r="O433" t="s">
        <v>74</v>
      </c>
      <c r="P433" t="s">
        <v>74</v>
      </c>
      <c r="Q433" t="s">
        <v>74</v>
      </c>
      <c r="R433" t="s">
        <v>74</v>
      </c>
      <c r="S433" t="s">
        <v>74</v>
      </c>
      <c r="T433" t="s">
        <v>8439</v>
      </c>
      <c r="U433" t="s">
        <v>8440</v>
      </c>
      <c r="V433" t="s">
        <v>8441</v>
      </c>
      <c r="W433" t="s">
        <v>8442</v>
      </c>
      <c r="X433" t="s">
        <v>8443</v>
      </c>
      <c r="Y433" t="s">
        <v>8444</v>
      </c>
      <c r="Z433" t="s">
        <v>8445</v>
      </c>
      <c r="AA433" t="s">
        <v>8446</v>
      </c>
      <c r="AB433" t="s">
        <v>8447</v>
      </c>
      <c r="AC433" t="s">
        <v>8448</v>
      </c>
      <c r="AD433" t="s">
        <v>8449</v>
      </c>
      <c r="AE433" t="s">
        <v>8450</v>
      </c>
      <c r="AF433" t="s">
        <v>74</v>
      </c>
      <c r="AG433">
        <v>67</v>
      </c>
      <c r="AH433">
        <v>0</v>
      </c>
      <c r="AI433">
        <v>0</v>
      </c>
      <c r="AJ433">
        <v>0</v>
      </c>
      <c r="AK433">
        <v>0</v>
      </c>
      <c r="AL433" t="s">
        <v>975</v>
      </c>
      <c r="AM433" t="s">
        <v>976</v>
      </c>
      <c r="AN433" t="s">
        <v>977</v>
      </c>
      <c r="AO433" t="s">
        <v>1129</v>
      </c>
      <c r="AP433" t="s">
        <v>1130</v>
      </c>
      <c r="AQ433" t="s">
        <v>74</v>
      </c>
      <c r="AR433" t="s">
        <v>1131</v>
      </c>
      <c r="AS433" t="s">
        <v>1132</v>
      </c>
      <c r="AT433" t="s">
        <v>1947</v>
      </c>
      <c r="AU433">
        <v>2023</v>
      </c>
      <c r="AV433">
        <v>197</v>
      </c>
      <c r="AW433" t="s">
        <v>74</v>
      </c>
      <c r="AX433" t="s">
        <v>74</v>
      </c>
      <c r="AY433" t="s">
        <v>74</v>
      </c>
      <c r="AZ433" t="s">
        <v>74</v>
      </c>
      <c r="BA433" t="s">
        <v>74</v>
      </c>
      <c r="BB433" t="s">
        <v>74</v>
      </c>
      <c r="BC433" t="s">
        <v>74</v>
      </c>
      <c r="BD433">
        <v>115752</v>
      </c>
      <c r="BE433" t="s">
        <v>8451</v>
      </c>
      <c r="BF433" t="str">
        <f>HYPERLINK("http://dx.doi.org/10.1016/j.marpolbul.2023.115752","http://dx.doi.org/10.1016/j.marpolbul.2023.115752")</f>
        <v>http://dx.doi.org/10.1016/j.marpolbul.2023.115752</v>
      </c>
      <c r="BG433" t="s">
        <v>74</v>
      </c>
      <c r="BH433" t="s">
        <v>6982</v>
      </c>
      <c r="BI433">
        <v>14</v>
      </c>
      <c r="BJ433" t="s">
        <v>1135</v>
      </c>
      <c r="BK433" t="s">
        <v>100</v>
      </c>
      <c r="BL433" t="s">
        <v>1136</v>
      </c>
      <c r="BM433" t="s">
        <v>8452</v>
      </c>
      <c r="BN433">
        <v>37984087</v>
      </c>
      <c r="BO433" t="s">
        <v>74</v>
      </c>
      <c r="BP433" t="s">
        <v>74</v>
      </c>
      <c r="BQ433" t="s">
        <v>74</v>
      </c>
      <c r="BR433" t="s">
        <v>104</v>
      </c>
      <c r="BS433" t="s">
        <v>8453</v>
      </c>
      <c r="BT433" t="str">
        <f>HYPERLINK("https%3A%2F%2Fwww.webofscience.com%2Fwos%2Fwoscc%2Ffull-record%2FWOS:001120972500001","View Full Record in Web of Science")</f>
        <v>View Full Record in Web of Science</v>
      </c>
    </row>
    <row r="434" spans="1:72" x14ac:dyDescent="0.15">
      <c r="A434" t="s">
        <v>72</v>
      </c>
      <c r="B434" t="s">
        <v>8454</v>
      </c>
      <c r="C434" t="s">
        <v>74</v>
      </c>
      <c r="D434" t="s">
        <v>74</v>
      </c>
      <c r="E434" t="s">
        <v>74</v>
      </c>
      <c r="F434" t="s">
        <v>8455</v>
      </c>
      <c r="G434" t="s">
        <v>74</v>
      </c>
      <c r="H434" t="s">
        <v>74</v>
      </c>
      <c r="I434" t="s">
        <v>8456</v>
      </c>
      <c r="J434" t="s">
        <v>8457</v>
      </c>
      <c r="K434" t="s">
        <v>74</v>
      </c>
      <c r="L434" t="s">
        <v>74</v>
      </c>
      <c r="M434" t="s">
        <v>78</v>
      </c>
      <c r="N434" t="s">
        <v>79</v>
      </c>
      <c r="O434" t="s">
        <v>74</v>
      </c>
      <c r="P434" t="s">
        <v>74</v>
      </c>
      <c r="Q434" t="s">
        <v>74</v>
      </c>
      <c r="R434" t="s">
        <v>74</v>
      </c>
      <c r="S434" t="s">
        <v>74</v>
      </c>
      <c r="T434" t="s">
        <v>8458</v>
      </c>
      <c r="U434" t="s">
        <v>8459</v>
      </c>
      <c r="V434" t="s">
        <v>8460</v>
      </c>
      <c r="W434" t="s">
        <v>8461</v>
      </c>
      <c r="X434" t="s">
        <v>8462</v>
      </c>
      <c r="Y434" t="s">
        <v>8463</v>
      </c>
      <c r="Z434" t="s">
        <v>8464</v>
      </c>
      <c r="AA434" t="s">
        <v>8465</v>
      </c>
      <c r="AB434" t="s">
        <v>8466</v>
      </c>
      <c r="AC434" t="s">
        <v>8467</v>
      </c>
      <c r="AD434" t="s">
        <v>8468</v>
      </c>
      <c r="AE434" t="s">
        <v>8469</v>
      </c>
      <c r="AF434" t="s">
        <v>74</v>
      </c>
      <c r="AG434">
        <v>68</v>
      </c>
      <c r="AH434">
        <v>0</v>
      </c>
      <c r="AI434">
        <v>0</v>
      </c>
      <c r="AJ434">
        <v>14</v>
      </c>
      <c r="AK434">
        <v>14</v>
      </c>
      <c r="AL434" t="s">
        <v>947</v>
      </c>
      <c r="AM434" t="s">
        <v>948</v>
      </c>
      <c r="AN434" t="s">
        <v>949</v>
      </c>
      <c r="AO434" t="s">
        <v>8470</v>
      </c>
      <c r="AP434" t="s">
        <v>8471</v>
      </c>
      <c r="AQ434" t="s">
        <v>74</v>
      </c>
      <c r="AR434" t="s">
        <v>8472</v>
      </c>
      <c r="AS434" t="s">
        <v>8473</v>
      </c>
      <c r="AT434" t="s">
        <v>1056</v>
      </c>
      <c r="AU434">
        <v>2024</v>
      </c>
      <c r="AV434">
        <v>339</v>
      </c>
      <c r="AW434" t="s">
        <v>74</v>
      </c>
      <c r="AX434" t="s">
        <v>74</v>
      </c>
      <c r="AY434" t="s">
        <v>74</v>
      </c>
      <c r="AZ434" t="s">
        <v>74</v>
      </c>
      <c r="BA434" t="s">
        <v>74</v>
      </c>
      <c r="BB434" t="s">
        <v>74</v>
      </c>
      <c r="BC434" t="s">
        <v>74</v>
      </c>
      <c r="BD434">
        <v>199270</v>
      </c>
      <c r="BE434" t="s">
        <v>8474</v>
      </c>
      <c r="BF434" t="str">
        <f>HYPERLINK("http://dx.doi.org/10.1016/j.virusres.2023.199270","http://dx.doi.org/10.1016/j.virusres.2023.199270")</f>
        <v>http://dx.doi.org/10.1016/j.virusres.2023.199270</v>
      </c>
      <c r="BG434" t="s">
        <v>74</v>
      </c>
      <c r="BH434" t="s">
        <v>6982</v>
      </c>
      <c r="BI434">
        <v>12</v>
      </c>
      <c r="BJ434" t="s">
        <v>8475</v>
      </c>
      <c r="BK434" t="s">
        <v>100</v>
      </c>
      <c r="BL434" t="s">
        <v>8475</v>
      </c>
      <c r="BM434" t="s">
        <v>8476</v>
      </c>
      <c r="BN434">
        <v>37972855</v>
      </c>
      <c r="BO434" t="s">
        <v>3456</v>
      </c>
      <c r="BP434" t="s">
        <v>74</v>
      </c>
      <c r="BQ434" t="s">
        <v>74</v>
      </c>
      <c r="BR434" t="s">
        <v>104</v>
      </c>
      <c r="BS434" t="s">
        <v>8477</v>
      </c>
      <c r="BT434" t="str">
        <f>HYPERLINK("https%3A%2F%2Fwww.webofscience.com%2Fwos%2Fwoscc%2Ffull-record%2FWOS:001121404500001","View Full Record in Web of Science")</f>
        <v>View Full Record in Web of Science</v>
      </c>
    </row>
    <row r="435" spans="1:72" x14ac:dyDescent="0.15">
      <c r="A435" t="s">
        <v>72</v>
      </c>
      <c r="B435" t="s">
        <v>8478</v>
      </c>
      <c r="C435" t="s">
        <v>74</v>
      </c>
      <c r="D435" t="s">
        <v>74</v>
      </c>
      <c r="E435" t="s">
        <v>74</v>
      </c>
      <c r="F435" t="s">
        <v>8479</v>
      </c>
      <c r="G435" t="s">
        <v>74</v>
      </c>
      <c r="H435" t="s">
        <v>74</v>
      </c>
      <c r="I435" t="s">
        <v>8480</v>
      </c>
      <c r="J435" t="s">
        <v>991</v>
      </c>
      <c r="K435" t="s">
        <v>74</v>
      </c>
      <c r="L435" t="s">
        <v>74</v>
      </c>
      <c r="M435" t="s">
        <v>78</v>
      </c>
      <c r="N435" t="s">
        <v>79</v>
      </c>
      <c r="O435" t="s">
        <v>74</v>
      </c>
      <c r="P435" t="s">
        <v>74</v>
      </c>
      <c r="Q435" t="s">
        <v>74</v>
      </c>
      <c r="R435" t="s">
        <v>74</v>
      </c>
      <c r="S435" t="s">
        <v>74</v>
      </c>
      <c r="T435" t="s">
        <v>8481</v>
      </c>
      <c r="U435" t="s">
        <v>8482</v>
      </c>
      <c r="V435" t="s">
        <v>8483</v>
      </c>
      <c r="W435" t="s">
        <v>8484</v>
      </c>
      <c r="X435" t="s">
        <v>8485</v>
      </c>
      <c r="Y435" t="s">
        <v>8486</v>
      </c>
      <c r="Z435" t="s">
        <v>8487</v>
      </c>
      <c r="AA435" t="s">
        <v>74</v>
      </c>
      <c r="AB435" t="s">
        <v>74</v>
      </c>
      <c r="AC435" t="s">
        <v>8488</v>
      </c>
      <c r="AD435" t="s">
        <v>8489</v>
      </c>
      <c r="AE435" t="s">
        <v>8490</v>
      </c>
      <c r="AF435" t="s">
        <v>74</v>
      </c>
      <c r="AG435">
        <v>92</v>
      </c>
      <c r="AH435">
        <v>0</v>
      </c>
      <c r="AI435">
        <v>0</v>
      </c>
      <c r="AJ435">
        <v>24</v>
      </c>
      <c r="AK435">
        <v>24</v>
      </c>
      <c r="AL435" t="s">
        <v>947</v>
      </c>
      <c r="AM435" t="s">
        <v>948</v>
      </c>
      <c r="AN435" t="s">
        <v>949</v>
      </c>
      <c r="AO435" t="s">
        <v>1004</v>
      </c>
      <c r="AP435" t="s">
        <v>1005</v>
      </c>
      <c r="AQ435" t="s">
        <v>74</v>
      </c>
      <c r="AR435" t="s">
        <v>1006</v>
      </c>
      <c r="AS435" t="s">
        <v>1007</v>
      </c>
      <c r="AT435" t="s">
        <v>8491</v>
      </c>
      <c r="AU435">
        <v>2024</v>
      </c>
      <c r="AV435">
        <v>909</v>
      </c>
      <c r="AW435" t="s">
        <v>74</v>
      </c>
      <c r="AX435" t="s">
        <v>74</v>
      </c>
      <c r="AY435" t="s">
        <v>74</v>
      </c>
      <c r="AZ435" t="s">
        <v>74</v>
      </c>
      <c r="BA435" t="s">
        <v>74</v>
      </c>
      <c r="BB435" t="s">
        <v>74</v>
      </c>
      <c r="BC435" t="s">
        <v>74</v>
      </c>
      <c r="BD435">
        <v>168556</v>
      </c>
      <c r="BE435" t="s">
        <v>8492</v>
      </c>
      <c r="BF435" t="str">
        <f>HYPERLINK("http://dx.doi.org/10.1016/j.scitotenv.2023.168556","http://dx.doi.org/10.1016/j.scitotenv.2023.168556")</f>
        <v>http://dx.doi.org/10.1016/j.scitotenv.2023.168556</v>
      </c>
      <c r="BG435" t="s">
        <v>74</v>
      </c>
      <c r="BH435" t="s">
        <v>6982</v>
      </c>
      <c r="BI435">
        <v>13</v>
      </c>
      <c r="BJ435" t="s">
        <v>1010</v>
      </c>
      <c r="BK435" t="s">
        <v>100</v>
      </c>
      <c r="BL435" t="s">
        <v>1011</v>
      </c>
      <c r="BM435" t="s">
        <v>8493</v>
      </c>
      <c r="BN435">
        <v>37979872</v>
      </c>
      <c r="BO435" t="s">
        <v>74</v>
      </c>
      <c r="BP435" t="s">
        <v>74</v>
      </c>
      <c r="BQ435" t="s">
        <v>74</v>
      </c>
      <c r="BR435" t="s">
        <v>104</v>
      </c>
      <c r="BS435" t="s">
        <v>8494</v>
      </c>
      <c r="BT435" t="str">
        <f>HYPERLINK("https%3A%2F%2Fwww.webofscience.com%2Fwos%2Fwoscc%2Ffull-record%2FWOS:001114826100001","View Full Record in Web of Science")</f>
        <v>View Full Record in Web of Science</v>
      </c>
    </row>
    <row r="436" spans="1:72" x14ac:dyDescent="0.15">
      <c r="A436" t="s">
        <v>72</v>
      </c>
      <c r="B436" t="s">
        <v>8495</v>
      </c>
      <c r="C436" t="s">
        <v>74</v>
      </c>
      <c r="D436" t="s">
        <v>74</v>
      </c>
      <c r="E436" t="s">
        <v>74</v>
      </c>
      <c r="F436" t="s">
        <v>8496</v>
      </c>
      <c r="G436" t="s">
        <v>74</v>
      </c>
      <c r="H436" t="s">
        <v>74</v>
      </c>
      <c r="I436" t="s">
        <v>8497</v>
      </c>
      <c r="J436" t="s">
        <v>8498</v>
      </c>
      <c r="K436" t="s">
        <v>74</v>
      </c>
      <c r="L436" t="s">
        <v>74</v>
      </c>
      <c r="M436" t="s">
        <v>78</v>
      </c>
      <c r="N436" t="s">
        <v>79</v>
      </c>
      <c r="O436" t="s">
        <v>74</v>
      </c>
      <c r="P436" t="s">
        <v>74</v>
      </c>
      <c r="Q436" t="s">
        <v>74</v>
      </c>
      <c r="R436" t="s">
        <v>74</v>
      </c>
      <c r="S436" t="s">
        <v>74</v>
      </c>
      <c r="T436" t="s">
        <v>8499</v>
      </c>
      <c r="U436" t="s">
        <v>8500</v>
      </c>
      <c r="V436" t="s">
        <v>8501</v>
      </c>
      <c r="W436" t="s">
        <v>8502</v>
      </c>
      <c r="X436" t="s">
        <v>8503</v>
      </c>
      <c r="Y436" t="s">
        <v>8504</v>
      </c>
      <c r="Z436" t="s">
        <v>8505</v>
      </c>
      <c r="AA436" t="s">
        <v>8506</v>
      </c>
      <c r="AB436" t="s">
        <v>74</v>
      </c>
      <c r="AC436" t="s">
        <v>8507</v>
      </c>
      <c r="AD436" t="s">
        <v>8508</v>
      </c>
      <c r="AE436" t="s">
        <v>8509</v>
      </c>
      <c r="AF436" t="s">
        <v>74</v>
      </c>
      <c r="AG436">
        <v>50</v>
      </c>
      <c r="AH436">
        <v>0</v>
      </c>
      <c r="AI436">
        <v>0</v>
      </c>
      <c r="AJ436">
        <v>5</v>
      </c>
      <c r="AK436">
        <v>5</v>
      </c>
      <c r="AL436" t="s">
        <v>1075</v>
      </c>
      <c r="AM436" t="s">
        <v>1076</v>
      </c>
      <c r="AN436" t="s">
        <v>1077</v>
      </c>
      <c r="AO436" t="s">
        <v>8510</v>
      </c>
      <c r="AP436" t="s">
        <v>8511</v>
      </c>
      <c r="AQ436" t="s">
        <v>74</v>
      </c>
      <c r="AR436" t="s">
        <v>8512</v>
      </c>
      <c r="AS436" t="s">
        <v>8513</v>
      </c>
      <c r="AT436" t="s">
        <v>1133</v>
      </c>
      <c r="AU436">
        <v>2024</v>
      </c>
      <c r="AV436">
        <v>18</v>
      </c>
      <c r="AW436">
        <v>1</v>
      </c>
      <c r="AX436" t="s">
        <v>74</v>
      </c>
      <c r="AY436" t="s">
        <v>74</v>
      </c>
      <c r="AZ436" t="s">
        <v>74</v>
      </c>
      <c r="BA436" t="s">
        <v>74</v>
      </c>
      <c r="BB436">
        <v>105</v>
      </c>
      <c r="BC436">
        <v>117</v>
      </c>
      <c r="BD436" t="s">
        <v>74</v>
      </c>
      <c r="BE436" t="s">
        <v>8514</v>
      </c>
      <c r="BF436" t="str">
        <f>HYPERLINK("http://dx.doi.org/10.1007/s11816-023-00873-2","http://dx.doi.org/10.1007/s11816-023-00873-2")</f>
        <v>http://dx.doi.org/10.1007/s11816-023-00873-2</v>
      </c>
      <c r="BG436" t="s">
        <v>74</v>
      </c>
      <c r="BH436" t="s">
        <v>6982</v>
      </c>
      <c r="BI436">
        <v>13</v>
      </c>
      <c r="BJ436" t="s">
        <v>8515</v>
      </c>
      <c r="BK436" t="s">
        <v>100</v>
      </c>
      <c r="BL436" t="s">
        <v>8515</v>
      </c>
      <c r="BM436" t="s">
        <v>8516</v>
      </c>
      <c r="BN436" t="s">
        <v>74</v>
      </c>
      <c r="BO436" t="s">
        <v>74</v>
      </c>
      <c r="BP436" t="s">
        <v>74</v>
      </c>
      <c r="BQ436" t="s">
        <v>74</v>
      </c>
      <c r="BR436" t="s">
        <v>104</v>
      </c>
      <c r="BS436" t="s">
        <v>8517</v>
      </c>
      <c r="BT436" t="str">
        <f>HYPERLINK("https%3A%2F%2Fwww.webofscience.com%2Fwos%2Fwoscc%2Ffull-record%2FWOS:001105698800001","View Full Record in Web of Science")</f>
        <v>View Full Record in Web of Science</v>
      </c>
    </row>
    <row r="437" spans="1:72" x14ac:dyDescent="0.15">
      <c r="A437" t="s">
        <v>72</v>
      </c>
      <c r="B437" t="s">
        <v>8518</v>
      </c>
      <c r="C437" t="s">
        <v>74</v>
      </c>
      <c r="D437" t="s">
        <v>74</v>
      </c>
      <c r="E437" t="s">
        <v>74</v>
      </c>
      <c r="F437" t="s">
        <v>8519</v>
      </c>
      <c r="G437" t="s">
        <v>74</v>
      </c>
      <c r="H437" t="s">
        <v>74</v>
      </c>
      <c r="I437" t="s">
        <v>8520</v>
      </c>
      <c r="J437" t="s">
        <v>8521</v>
      </c>
      <c r="K437" t="s">
        <v>74</v>
      </c>
      <c r="L437" t="s">
        <v>74</v>
      </c>
      <c r="M437" t="s">
        <v>78</v>
      </c>
      <c r="N437" t="s">
        <v>79</v>
      </c>
      <c r="O437" t="s">
        <v>74</v>
      </c>
      <c r="P437" t="s">
        <v>74</v>
      </c>
      <c r="Q437" t="s">
        <v>74</v>
      </c>
      <c r="R437" t="s">
        <v>74</v>
      </c>
      <c r="S437" t="s">
        <v>74</v>
      </c>
      <c r="T437" t="s">
        <v>8522</v>
      </c>
      <c r="U437" t="s">
        <v>8523</v>
      </c>
      <c r="V437" t="s">
        <v>8524</v>
      </c>
      <c r="W437" t="s">
        <v>8525</v>
      </c>
      <c r="X437" t="s">
        <v>8526</v>
      </c>
      <c r="Y437" t="s">
        <v>8527</v>
      </c>
      <c r="Z437" t="s">
        <v>8528</v>
      </c>
      <c r="AA437" t="s">
        <v>74</v>
      </c>
      <c r="AB437" t="s">
        <v>8529</v>
      </c>
      <c r="AC437" t="s">
        <v>8530</v>
      </c>
      <c r="AD437" t="s">
        <v>8531</v>
      </c>
      <c r="AE437" t="s">
        <v>8532</v>
      </c>
      <c r="AF437" t="s">
        <v>74</v>
      </c>
      <c r="AG437">
        <v>46</v>
      </c>
      <c r="AH437">
        <v>0</v>
      </c>
      <c r="AI437">
        <v>0</v>
      </c>
      <c r="AJ437">
        <v>0</v>
      </c>
      <c r="AK437">
        <v>0</v>
      </c>
      <c r="AL437" t="s">
        <v>975</v>
      </c>
      <c r="AM437" t="s">
        <v>976</v>
      </c>
      <c r="AN437" t="s">
        <v>977</v>
      </c>
      <c r="AO437" t="s">
        <v>8533</v>
      </c>
      <c r="AP437" t="s">
        <v>8534</v>
      </c>
      <c r="AQ437" t="s">
        <v>74</v>
      </c>
      <c r="AR437" t="s">
        <v>8535</v>
      </c>
      <c r="AS437" t="s">
        <v>8536</v>
      </c>
      <c r="AT437" t="s">
        <v>954</v>
      </c>
      <c r="AU437">
        <v>2024</v>
      </c>
      <c r="AV437">
        <v>313</v>
      </c>
      <c r="AW437" t="s">
        <v>74</v>
      </c>
      <c r="AX437" t="s">
        <v>74</v>
      </c>
      <c r="AY437" t="s">
        <v>74</v>
      </c>
      <c r="AZ437" t="s">
        <v>74</v>
      </c>
      <c r="BA437" t="s">
        <v>74</v>
      </c>
      <c r="BB437" t="s">
        <v>74</v>
      </c>
      <c r="BC437" t="s">
        <v>74</v>
      </c>
      <c r="BD437">
        <v>108827</v>
      </c>
      <c r="BE437" t="s">
        <v>8537</v>
      </c>
      <c r="BF437" t="str">
        <f>HYPERLINK("http://dx.doi.org/10.1016/j.jqsrt.2023.108827","http://dx.doi.org/10.1016/j.jqsrt.2023.108827")</f>
        <v>http://dx.doi.org/10.1016/j.jqsrt.2023.108827</v>
      </c>
      <c r="BG437" t="s">
        <v>74</v>
      </c>
      <c r="BH437" t="s">
        <v>6982</v>
      </c>
      <c r="BI437">
        <v>7</v>
      </c>
      <c r="BJ437" t="s">
        <v>8538</v>
      </c>
      <c r="BK437" t="s">
        <v>100</v>
      </c>
      <c r="BL437" t="s">
        <v>8538</v>
      </c>
      <c r="BM437" t="s">
        <v>8539</v>
      </c>
      <c r="BN437" t="s">
        <v>74</v>
      </c>
      <c r="BO437" t="s">
        <v>74</v>
      </c>
      <c r="BP437" t="s">
        <v>74</v>
      </c>
      <c r="BQ437" t="s">
        <v>74</v>
      </c>
      <c r="BR437" t="s">
        <v>104</v>
      </c>
      <c r="BS437" t="s">
        <v>8540</v>
      </c>
      <c r="BT437" t="str">
        <f>HYPERLINK("https%3A%2F%2Fwww.webofscience.com%2Fwos%2Fwoscc%2Ffull-record%2FWOS:001163827100001","View Full Record in Web of Science")</f>
        <v>View Full Record in Web of Science</v>
      </c>
    </row>
    <row r="438" spans="1:72" x14ac:dyDescent="0.15">
      <c r="A438" t="s">
        <v>72</v>
      </c>
      <c r="B438" t="s">
        <v>8541</v>
      </c>
      <c r="C438" t="s">
        <v>74</v>
      </c>
      <c r="D438" t="s">
        <v>74</v>
      </c>
      <c r="E438" t="s">
        <v>74</v>
      </c>
      <c r="F438" t="s">
        <v>8542</v>
      </c>
      <c r="G438" t="s">
        <v>74</v>
      </c>
      <c r="H438" t="s">
        <v>74</v>
      </c>
      <c r="I438" t="s">
        <v>8543</v>
      </c>
      <c r="J438" t="s">
        <v>3287</v>
      </c>
      <c r="K438" t="s">
        <v>74</v>
      </c>
      <c r="L438" t="s">
        <v>74</v>
      </c>
      <c r="M438" t="s">
        <v>78</v>
      </c>
      <c r="N438" t="s">
        <v>79</v>
      </c>
      <c r="O438" t="s">
        <v>74</v>
      </c>
      <c r="P438" t="s">
        <v>74</v>
      </c>
      <c r="Q438" t="s">
        <v>74</v>
      </c>
      <c r="R438" t="s">
        <v>74</v>
      </c>
      <c r="S438" t="s">
        <v>74</v>
      </c>
      <c r="T438" t="s">
        <v>74</v>
      </c>
      <c r="U438" t="s">
        <v>8544</v>
      </c>
      <c r="V438" t="s">
        <v>8545</v>
      </c>
      <c r="W438" t="s">
        <v>8546</v>
      </c>
      <c r="X438" t="s">
        <v>8547</v>
      </c>
      <c r="Y438" t="s">
        <v>8548</v>
      </c>
      <c r="Z438" t="s">
        <v>8549</v>
      </c>
      <c r="AA438" t="s">
        <v>74</v>
      </c>
      <c r="AB438" t="s">
        <v>8550</v>
      </c>
      <c r="AC438" t="s">
        <v>8551</v>
      </c>
      <c r="AD438" t="s">
        <v>8552</v>
      </c>
      <c r="AE438" t="s">
        <v>8553</v>
      </c>
      <c r="AF438" t="s">
        <v>74</v>
      </c>
      <c r="AG438">
        <v>98</v>
      </c>
      <c r="AH438">
        <v>0</v>
      </c>
      <c r="AI438">
        <v>0</v>
      </c>
      <c r="AJ438">
        <v>1</v>
      </c>
      <c r="AK438">
        <v>1</v>
      </c>
      <c r="AL438" t="s">
        <v>1710</v>
      </c>
      <c r="AM438" t="s">
        <v>1209</v>
      </c>
      <c r="AN438" t="s">
        <v>1711</v>
      </c>
      <c r="AO438" t="s">
        <v>3297</v>
      </c>
      <c r="AP438" t="s">
        <v>74</v>
      </c>
      <c r="AQ438" t="s">
        <v>74</v>
      </c>
      <c r="AR438" t="s">
        <v>3298</v>
      </c>
      <c r="AS438" t="s">
        <v>3299</v>
      </c>
      <c r="AT438" t="s">
        <v>8554</v>
      </c>
      <c r="AU438">
        <v>2023</v>
      </c>
      <c r="AV438">
        <v>9</v>
      </c>
      <c r="AW438">
        <v>46</v>
      </c>
      <c r="AX438" t="s">
        <v>74</v>
      </c>
      <c r="AY438" t="s">
        <v>74</v>
      </c>
      <c r="AZ438" t="s">
        <v>74</v>
      </c>
      <c r="BA438" t="s">
        <v>74</v>
      </c>
      <c r="BB438" t="s">
        <v>74</v>
      </c>
      <c r="BC438" t="s">
        <v>74</v>
      </c>
      <c r="BD438" t="s">
        <v>8555</v>
      </c>
      <c r="BE438" t="s">
        <v>8556</v>
      </c>
      <c r="BF438" t="str">
        <f>HYPERLINK("http://dx.doi.org/10.1126/sciadv.adg3035","http://dx.doi.org/10.1126/sciadv.adg3035")</f>
        <v>http://dx.doi.org/10.1126/sciadv.adg3035</v>
      </c>
      <c r="BG438" t="s">
        <v>74</v>
      </c>
      <c r="BH438" t="s">
        <v>74</v>
      </c>
      <c r="BI438">
        <v>14</v>
      </c>
      <c r="BJ438" t="s">
        <v>1035</v>
      </c>
      <c r="BK438" t="s">
        <v>100</v>
      </c>
      <c r="BL438" t="s">
        <v>1036</v>
      </c>
      <c r="BM438" t="s">
        <v>8557</v>
      </c>
      <c r="BN438">
        <v>37976352</v>
      </c>
      <c r="BO438" t="s">
        <v>265</v>
      </c>
      <c r="BP438" t="s">
        <v>74</v>
      </c>
      <c r="BQ438" t="s">
        <v>74</v>
      </c>
      <c r="BR438" t="s">
        <v>104</v>
      </c>
      <c r="BS438" t="s">
        <v>8558</v>
      </c>
      <c r="BT438" t="str">
        <f>HYPERLINK("https%3A%2F%2Fwww.webofscience.com%2Fwos%2Fwoscc%2Ffull-record%2FWOS:001142519200009","View Full Record in Web of Science")</f>
        <v>View Full Record in Web of Science</v>
      </c>
    </row>
    <row r="439" spans="1:72" x14ac:dyDescent="0.15">
      <c r="A439" t="s">
        <v>72</v>
      </c>
      <c r="B439" t="s">
        <v>8559</v>
      </c>
      <c r="C439" t="s">
        <v>74</v>
      </c>
      <c r="D439" t="s">
        <v>74</v>
      </c>
      <c r="E439" t="s">
        <v>74</v>
      </c>
      <c r="F439" t="s">
        <v>8560</v>
      </c>
      <c r="G439" t="s">
        <v>74</v>
      </c>
      <c r="H439" t="s">
        <v>8561</v>
      </c>
      <c r="I439" t="s">
        <v>8562</v>
      </c>
      <c r="J439" t="s">
        <v>3287</v>
      </c>
      <c r="K439" t="s">
        <v>74</v>
      </c>
      <c r="L439" t="s">
        <v>74</v>
      </c>
      <c r="M439" t="s">
        <v>78</v>
      </c>
      <c r="N439" t="s">
        <v>79</v>
      </c>
      <c r="O439" t="s">
        <v>74</v>
      </c>
      <c r="P439" t="s">
        <v>74</v>
      </c>
      <c r="Q439" t="s">
        <v>74</v>
      </c>
      <c r="R439" t="s">
        <v>74</v>
      </c>
      <c r="S439" t="s">
        <v>74</v>
      </c>
      <c r="T439" t="s">
        <v>74</v>
      </c>
      <c r="U439" t="s">
        <v>8563</v>
      </c>
      <c r="V439" t="s">
        <v>8564</v>
      </c>
      <c r="W439" t="s">
        <v>8565</v>
      </c>
      <c r="X439" t="s">
        <v>8566</v>
      </c>
      <c r="Y439" t="s">
        <v>8567</v>
      </c>
      <c r="Z439" t="s">
        <v>8568</v>
      </c>
      <c r="AA439" t="s">
        <v>8569</v>
      </c>
      <c r="AB439" t="s">
        <v>8570</v>
      </c>
      <c r="AC439" t="s">
        <v>8571</v>
      </c>
      <c r="AD439" t="s">
        <v>8572</v>
      </c>
      <c r="AE439" t="s">
        <v>8573</v>
      </c>
      <c r="AF439" t="s">
        <v>74</v>
      </c>
      <c r="AG439">
        <v>112</v>
      </c>
      <c r="AH439">
        <v>2</v>
      </c>
      <c r="AI439">
        <v>2</v>
      </c>
      <c r="AJ439">
        <v>3</v>
      </c>
      <c r="AK439">
        <v>3</v>
      </c>
      <c r="AL439" t="s">
        <v>1710</v>
      </c>
      <c r="AM439" t="s">
        <v>1209</v>
      </c>
      <c r="AN439" t="s">
        <v>1711</v>
      </c>
      <c r="AO439" t="s">
        <v>3297</v>
      </c>
      <c r="AP439" t="s">
        <v>74</v>
      </c>
      <c r="AQ439" t="s">
        <v>74</v>
      </c>
      <c r="AR439" t="s">
        <v>3298</v>
      </c>
      <c r="AS439" t="s">
        <v>3299</v>
      </c>
      <c r="AT439" t="s">
        <v>8554</v>
      </c>
      <c r="AU439">
        <v>2023</v>
      </c>
      <c r="AV439">
        <v>9</v>
      </c>
      <c r="AW439">
        <v>46</v>
      </c>
      <c r="AX439" t="s">
        <v>74</v>
      </c>
      <c r="AY439" t="s">
        <v>74</v>
      </c>
      <c r="AZ439" t="s">
        <v>74</v>
      </c>
      <c r="BA439" t="s">
        <v>74</v>
      </c>
      <c r="BB439" t="s">
        <v>74</v>
      </c>
      <c r="BC439" t="s">
        <v>74</v>
      </c>
      <c r="BD439" t="s">
        <v>8574</v>
      </c>
      <c r="BE439" t="s">
        <v>8575</v>
      </c>
      <c r="BF439" t="str">
        <f>HYPERLINK("http://dx.doi.org/10.1126/sciadv.ade7130","http://dx.doi.org/10.1126/sciadv.ade7130")</f>
        <v>http://dx.doi.org/10.1126/sciadv.ade7130</v>
      </c>
      <c r="BG439" t="s">
        <v>74</v>
      </c>
      <c r="BH439" t="s">
        <v>74</v>
      </c>
      <c r="BI439">
        <v>14</v>
      </c>
      <c r="BJ439" t="s">
        <v>1035</v>
      </c>
      <c r="BK439" t="s">
        <v>100</v>
      </c>
      <c r="BL439" t="s">
        <v>1036</v>
      </c>
      <c r="BM439" t="s">
        <v>8557</v>
      </c>
      <c r="BN439">
        <v>37976353</v>
      </c>
      <c r="BO439" t="s">
        <v>5744</v>
      </c>
      <c r="BP439" t="s">
        <v>74</v>
      </c>
      <c r="BQ439" t="s">
        <v>74</v>
      </c>
      <c r="BR439" t="s">
        <v>104</v>
      </c>
      <c r="BS439" t="s">
        <v>8576</v>
      </c>
      <c r="BT439" t="str">
        <f>HYPERLINK("https%3A%2F%2Fwww.webofscience.com%2Fwos%2Fwoscc%2Ffull-record%2FWOS:001142519200008","View Full Record in Web of Science")</f>
        <v>View Full Record in Web of Science</v>
      </c>
    </row>
    <row r="440" spans="1:72" x14ac:dyDescent="0.15">
      <c r="A440" t="s">
        <v>72</v>
      </c>
      <c r="B440" t="s">
        <v>8577</v>
      </c>
      <c r="C440" t="s">
        <v>74</v>
      </c>
      <c r="D440" t="s">
        <v>74</v>
      </c>
      <c r="E440" t="s">
        <v>74</v>
      </c>
      <c r="F440" t="s">
        <v>8578</v>
      </c>
      <c r="G440" t="s">
        <v>74</v>
      </c>
      <c r="H440" t="s">
        <v>74</v>
      </c>
      <c r="I440" t="s">
        <v>8579</v>
      </c>
      <c r="J440" t="s">
        <v>8580</v>
      </c>
      <c r="K440" t="s">
        <v>74</v>
      </c>
      <c r="L440" t="s">
        <v>74</v>
      </c>
      <c r="M440" t="s">
        <v>78</v>
      </c>
      <c r="N440" t="s">
        <v>79</v>
      </c>
      <c r="O440" t="s">
        <v>74</v>
      </c>
      <c r="P440" t="s">
        <v>74</v>
      </c>
      <c r="Q440" t="s">
        <v>74</v>
      </c>
      <c r="R440" t="s">
        <v>74</v>
      </c>
      <c r="S440" t="s">
        <v>74</v>
      </c>
      <c r="T440" t="s">
        <v>8581</v>
      </c>
      <c r="U440" t="s">
        <v>8582</v>
      </c>
      <c r="V440" t="s">
        <v>8583</v>
      </c>
      <c r="W440" t="s">
        <v>8584</v>
      </c>
      <c r="X440" t="s">
        <v>8585</v>
      </c>
      <c r="Y440" t="s">
        <v>8586</v>
      </c>
      <c r="Z440" t="s">
        <v>8587</v>
      </c>
      <c r="AA440" t="s">
        <v>74</v>
      </c>
      <c r="AB440" t="s">
        <v>8588</v>
      </c>
      <c r="AC440" t="s">
        <v>8589</v>
      </c>
      <c r="AD440" t="s">
        <v>8590</v>
      </c>
      <c r="AE440" t="s">
        <v>8591</v>
      </c>
      <c r="AF440" t="s">
        <v>74</v>
      </c>
      <c r="AG440">
        <v>43</v>
      </c>
      <c r="AH440">
        <v>0</v>
      </c>
      <c r="AI440">
        <v>0</v>
      </c>
      <c r="AJ440">
        <v>7</v>
      </c>
      <c r="AK440">
        <v>7</v>
      </c>
      <c r="AL440" t="s">
        <v>8592</v>
      </c>
      <c r="AM440" t="s">
        <v>8593</v>
      </c>
      <c r="AN440" t="s">
        <v>8594</v>
      </c>
      <c r="AO440" t="s">
        <v>8595</v>
      </c>
      <c r="AP440" t="s">
        <v>8596</v>
      </c>
      <c r="AQ440" t="s">
        <v>74</v>
      </c>
      <c r="AR440" t="s">
        <v>8580</v>
      </c>
      <c r="AS440" t="s">
        <v>1568</v>
      </c>
      <c r="AT440" t="s">
        <v>1947</v>
      </c>
      <c r="AU440">
        <v>2023</v>
      </c>
      <c r="AV440">
        <v>161</v>
      </c>
      <c r="AW440" t="s">
        <v>74</v>
      </c>
      <c r="AX440" t="s">
        <v>74</v>
      </c>
      <c r="AY440" t="s">
        <v>74</v>
      </c>
      <c r="AZ440" t="s">
        <v>74</v>
      </c>
      <c r="BA440" t="s">
        <v>74</v>
      </c>
      <c r="BB440" t="s">
        <v>74</v>
      </c>
      <c r="BC440" t="s">
        <v>74</v>
      </c>
      <c r="BD440">
        <v>126133</v>
      </c>
      <c r="BE440" t="s">
        <v>8597</v>
      </c>
      <c r="BF440" t="str">
        <f>HYPERLINK("http://dx.doi.org/10.1016/j.zool.2023.126133","http://dx.doi.org/10.1016/j.zool.2023.126133")</f>
        <v>http://dx.doi.org/10.1016/j.zool.2023.126133</v>
      </c>
      <c r="BG440" t="s">
        <v>74</v>
      </c>
      <c r="BH440" t="s">
        <v>6982</v>
      </c>
      <c r="BI440">
        <v>7</v>
      </c>
      <c r="BJ440" t="s">
        <v>1568</v>
      </c>
      <c r="BK440" t="s">
        <v>100</v>
      </c>
      <c r="BL440" t="s">
        <v>1568</v>
      </c>
      <c r="BM440" t="s">
        <v>8598</v>
      </c>
      <c r="BN440">
        <v>37979211</v>
      </c>
      <c r="BO440" t="s">
        <v>74</v>
      </c>
      <c r="BP440" t="s">
        <v>74</v>
      </c>
      <c r="BQ440" t="s">
        <v>74</v>
      </c>
      <c r="BR440" t="s">
        <v>104</v>
      </c>
      <c r="BS440" t="s">
        <v>8599</v>
      </c>
      <c r="BT440" t="str">
        <f>HYPERLINK("https%3A%2F%2Fwww.webofscience.com%2Fwos%2Fwoscc%2Ffull-record%2FWOS:001146970900001","View Full Record in Web of Science")</f>
        <v>View Full Record in Web of Science</v>
      </c>
    </row>
    <row r="441" spans="1:72" x14ac:dyDescent="0.15">
      <c r="A441" t="s">
        <v>72</v>
      </c>
      <c r="B441" t="s">
        <v>8600</v>
      </c>
      <c r="C441" t="s">
        <v>74</v>
      </c>
      <c r="D441" t="s">
        <v>74</v>
      </c>
      <c r="E441" t="s">
        <v>74</v>
      </c>
      <c r="F441" t="s">
        <v>8601</v>
      </c>
      <c r="G441" t="s">
        <v>74</v>
      </c>
      <c r="H441" t="s">
        <v>74</v>
      </c>
      <c r="I441" t="s">
        <v>8602</v>
      </c>
      <c r="J441" t="s">
        <v>8603</v>
      </c>
      <c r="K441" t="s">
        <v>74</v>
      </c>
      <c r="L441" t="s">
        <v>74</v>
      </c>
      <c r="M441" t="s">
        <v>78</v>
      </c>
      <c r="N441" t="s">
        <v>79</v>
      </c>
      <c r="O441" t="s">
        <v>74</v>
      </c>
      <c r="P441" t="s">
        <v>74</v>
      </c>
      <c r="Q441" t="s">
        <v>74</v>
      </c>
      <c r="R441" t="s">
        <v>74</v>
      </c>
      <c r="S441" t="s">
        <v>74</v>
      </c>
      <c r="T441" t="s">
        <v>8604</v>
      </c>
      <c r="U441" t="s">
        <v>8605</v>
      </c>
      <c r="V441" t="s">
        <v>8606</v>
      </c>
      <c r="W441" t="s">
        <v>8607</v>
      </c>
      <c r="X441" t="s">
        <v>8608</v>
      </c>
      <c r="Y441" t="s">
        <v>8609</v>
      </c>
      <c r="Z441" t="s">
        <v>8610</v>
      </c>
      <c r="AA441" t="s">
        <v>74</v>
      </c>
      <c r="AB441" t="s">
        <v>8611</v>
      </c>
      <c r="AC441" t="s">
        <v>74</v>
      </c>
      <c r="AD441" t="s">
        <v>74</v>
      </c>
      <c r="AE441" t="s">
        <v>74</v>
      </c>
      <c r="AF441" t="s">
        <v>74</v>
      </c>
      <c r="AG441">
        <v>50</v>
      </c>
      <c r="AH441">
        <v>0</v>
      </c>
      <c r="AI441">
        <v>0</v>
      </c>
      <c r="AJ441">
        <v>1</v>
      </c>
      <c r="AK441">
        <v>1</v>
      </c>
      <c r="AL441" t="s">
        <v>8612</v>
      </c>
      <c r="AM441" t="s">
        <v>120</v>
      </c>
      <c r="AN441" t="s">
        <v>8613</v>
      </c>
      <c r="AO441" t="s">
        <v>8614</v>
      </c>
      <c r="AP441" t="s">
        <v>8615</v>
      </c>
      <c r="AQ441" t="s">
        <v>74</v>
      </c>
      <c r="AR441" t="s">
        <v>8616</v>
      </c>
      <c r="AS441" t="s">
        <v>8617</v>
      </c>
      <c r="AT441" t="s">
        <v>8554</v>
      </c>
      <c r="AU441">
        <v>2023</v>
      </c>
      <c r="AV441">
        <v>45</v>
      </c>
      <c r="AW441">
        <v>8</v>
      </c>
      <c r="AX441" t="s">
        <v>74</v>
      </c>
      <c r="AY441" t="s">
        <v>74</v>
      </c>
      <c r="AZ441" t="s">
        <v>4005</v>
      </c>
      <c r="BA441" t="s">
        <v>74</v>
      </c>
      <c r="BB441">
        <v>1181</v>
      </c>
      <c r="BC441">
        <v>1197</v>
      </c>
      <c r="BD441" t="s">
        <v>74</v>
      </c>
      <c r="BE441" t="s">
        <v>8618</v>
      </c>
      <c r="BF441" t="str">
        <f>HYPERLINK("http://dx.doi.org/10.1080/07036337.2023.2270664","http://dx.doi.org/10.1080/07036337.2023.2270664")</f>
        <v>http://dx.doi.org/10.1080/07036337.2023.2270664</v>
      </c>
      <c r="BG441" t="s">
        <v>74</v>
      </c>
      <c r="BH441" t="s">
        <v>74</v>
      </c>
      <c r="BI441">
        <v>17</v>
      </c>
      <c r="BJ441" t="s">
        <v>8619</v>
      </c>
      <c r="BK441" t="s">
        <v>1740</v>
      </c>
      <c r="BL441" t="s">
        <v>8620</v>
      </c>
      <c r="BM441" t="s">
        <v>8621</v>
      </c>
      <c r="BN441" t="s">
        <v>74</v>
      </c>
      <c r="BO441" t="s">
        <v>74</v>
      </c>
      <c r="BP441" t="s">
        <v>74</v>
      </c>
      <c r="BQ441" t="s">
        <v>74</v>
      </c>
      <c r="BR441" t="s">
        <v>104</v>
      </c>
      <c r="BS441" t="s">
        <v>8622</v>
      </c>
      <c r="BT441" t="str">
        <f>HYPERLINK("https%3A%2F%2Fwww.webofscience.com%2Fwos%2Fwoscc%2Ffull-record%2FWOS:001114745600004","View Full Record in Web of Science")</f>
        <v>View Full Record in Web of Science</v>
      </c>
    </row>
    <row r="442" spans="1:72" x14ac:dyDescent="0.15">
      <c r="A442" t="s">
        <v>72</v>
      </c>
      <c r="B442" t="s">
        <v>8623</v>
      </c>
      <c r="C442" t="s">
        <v>74</v>
      </c>
      <c r="D442" t="s">
        <v>74</v>
      </c>
      <c r="E442" t="s">
        <v>74</v>
      </c>
      <c r="F442" t="s">
        <v>8624</v>
      </c>
      <c r="G442" t="s">
        <v>74</v>
      </c>
      <c r="H442" t="s">
        <v>74</v>
      </c>
      <c r="I442" t="s">
        <v>8625</v>
      </c>
      <c r="J442" t="s">
        <v>1746</v>
      </c>
      <c r="K442" t="s">
        <v>74</v>
      </c>
      <c r="L442" t="s">
        <v>74</v>
      </c>
      <c r="M442" t="s">
        <v>78</v>
      </c>
      <c r="N442" t="s">
        <v>79</v>
      </c>
      <c r="O442" t="s">
        <v>74</v>
      </c>
      <c r="P442" t="s">
        <v>74</v>
      </c>
      <c r="Q442" t="s">
        <v>74</v>
      </c>
      <c r="R442" t="s">
        <v>74</v>
      </c>
      <c r="S442" t="s">
        <v>74</v>
      </c>
      <c r="T442" t="s">
        <v>8626</v>
      </c>
      <c r="U442" t="s">
        <v>8627</v>
      </c>
      <c r="V442" t="s">
        <v>8628</v>
      </c>
      <c r="W442" t="s">
        <v>8629</v>
      </c>
      <c r="X442" t="s">
        <v>8630</v>
      </c>
      <c r="Y442" t="s">
        <v>8631</v>
      </c>
      <c r="Z442" t="s">
        <v>8632</v>
      </c>
      <c r="AA442" t="s">
        <v>74</v>
      </c>
      <c r="AB442" t="s">
        <v>74</v>
      </c>
      <c r="AC442" t="s">
        <v>8633</v>
      </c>
      <c r="AD442" t="s">
        <v>8634</v>
      </c>
      <c r="AE442" t="s">
        <v>8635</v>
      </c>
      <c r="AF442" t="s">
        <v>74</v>
      </c>
      <c r="AG442">
        <v>40</v>
      </c>
      <c r="AH442">
        <v>0</v>
      </c>
      <c r="AI442">
        <v>0</v>
      </c>
      <c r="AJ442">
        <v>0</v>
      </c>
      <c r="AK442">
        <v>0</v>
      </c>
      <c r="AL442" t="s">
        <v>1758</v>
      </c>
      <c r="AM442" t="s">
        <v>1759</v>
      </c>
      <c r="AN442" t="s">
        <v>1760</v>
      </c>
      <c r="AO442" t="s">
        <v>74</v>
      </c>
      <c r="AP442" t="s">
        <v>1761</v>
      </c>
      <c r="AQ442" t="s">
        <v>74</v>
      </c>
      <c r="AR442" t="s">
        <v>1762</v>
      </c>
      <c r="AS442" t="s">
        <v>1763</v>
      </c>
      <c r="AT442" t="s">
        <v>8554</v>
      </c>
      <c r="AU442">
        <v>2023</v>
      </c>
      <c r="AV442">
        <v>10</v>
      </c>
      <c r="AW442" t="s">
        <v>74</v>
      </c>
      <c r="AX442" t="s">
        <v>74</v>
      </c>
      <c r="AY442" t="s">
        <v>74</v>
      </c>
      <c r="AZ442" t="s">
        <v>74</v>
      </c>
      <c r="BA442" t="s">
        <v>74</v>
      </c>
      <c r="BB442" t="s">
        <v>74</v>
      </c>
      <c r="BC442" t="s">
        <v>74</v>
      </c>
      <c r="BD442">
        <v>1308728</v>
      </c>
      <c r="BE442" t="s">
        <v>8636</v>
      </c>
      <c r="BF442" t="str">
        <f>HYPERLINK("http://dx.doi.org/10.3389/fmars.2023.1308728","http://dx.doi.org/10.3389/fmars.2023.1308728")</f>
        <v>http://dx.doi.org/10.3389/fmars.2023.1308728</v>
      </c>
      <c r="BG442" t="s">
        <v>74</v>
      </c>
      <c r="BH442" t="s">
        <v>74</v>
      </c>
      <c r="BI442">
        <v>16</v>
      </c>
      <c r="BJ442" t="s">
        <v>1135</v>
      </c>
      <c r="BK442" t="s">
        <v>100</v>
      </c>
      <c r="BL442" t="s">
        <v>1136</v>
      </c>
      <c r="BM442" t="s">
        <v>8637</v>
      </c>
      <c r="BN442" t="s">
        <v>74</v>
      </c>
      <c r="BO442" t="s">
        <v>131</v>
      </c>
      <c r="BP442" t="s">
        <v>74</v>
      </c>
      <c r="BQ442" t="s">
        <v>74</v>
      </c>
      <c r="BR442" t="s">
        <v>104</v>
      </c>
      <c r="BS442" t="s">
        <v>8638</v>
      </c>
      <c r="BT442" t="str">
        <f>HYPERLINK("https%3A%2F%2Fwww.webofscience.com%2Fwos%2Fwoscc%2Ffull-record%2FWOS:001111568900001","View Full Record in Web of Science")</f>
        <v>View Full Record in Web of Science</v>
      </c>
    </row>
    <row r="443" spans="1:72" x14ac:dyDescent="0.15">
      <c r="A443" t="s">
        <v>72</v>
      </c>
      <c r="B443" t="s">
        <v>8639</v>
      </c>
      <c r="C443" t="s">
        <v>74</v>
      </c>
      <c r="D443" t="s">
        <v>74</v>
      </c>
      <c r="E443" t="s">
        <v>74</v>
      </c>
      <c r="F443" t="s">
        <v>8640</v>
      </c>
      <c r="G443" t="s">
        <v>74</v>
      </c>
      <c r="H443" t="s">
        <v>74</v>
      </c>
      <c r="I443" t="s">
        <v>8641</v>
      </c>
      <c r="J443" t="s">
        <v>3384</v>
      </c>
      <c r="K443" t="s">
        <v>74</v>
      </c>
      <c r="L443" t="s">
        <v>74</v>
      </c>
      <c r="M443" t="s">
        <v>78</v>
      </c>
      <c r="N443" t="s">
        <v>79</v>
      </c>
      <c r="O443" t="s">
        <v>74</v>
      </c>
      <c r="P443" t="s">
        <v>74</v>
      </c>
      <c r="Q443" t="s">
        <v>74</v>
      </c>
      <c r="R443" t="s">
        <v>74</v>
      </c>
      <c r="S443" t="s">
        <v>74</v>
      </c>
      <c r="T443" t="s">
        <v>74</v>
      </c>
      <c r="U443" t="s">
        <v>8642</v>
      </c>
      <c r="V443" t="s">
        <v>8643</v>
      </c>
      <c r="W443" t="s">
        <v>8644</v>
      </c>
      <c r="X443" t="s">
        <v>8645</v>
      </c>
      <c r="Y443" t="s">
        <v>8646</v>
      </c>
      <c r="Z443" t="s">
        <v>8647</v>
      </c>
      <c r="AA443" t="s">
        <v>8648</v>
      </c>
      <c r="AB443" t="s">
        <v>8649</v>
      </c>
      <c r="AC443" t="s">
        <v>8650</v>
      </c>
      <c r="AD443" t="s">
        <v>8651</v>
      </c>
      <c r="AE443" t="s">
        <v>8652</v>
      </c>
      <c r="AF443" t="s">
        <v>74</v>
      </c>
      <c r="AG443">
        <v>91</v>
      </c>
      <c r="AH443">
        <v>0</v>
      </c>
      <c r="AI443">
        <v>0</v>
      </c>
      <c r="AJ443">
        <v>8</v>
      </c>
      <c r="AK443">
        <v>8</v>
      </c>
      <c r="AL443" t="s">
        <v>3057</v>
      </c>
      <c r="AM443" t="s">
        <v>3058</v>
      </c>
      <c r="AN443" t="s">
        <v>3059</v>
      </c>
      <c r="AO443" t="s">
        <v>74</v>
      </c>
      <c r="AP443" t="s">
        <v>3396</v>
      </c>
      <c r="AQ443" t="s">
        <v>74</v>
      </c>
      <c r="AR443" t="s">
        <v>3397</v>
      </c>
      <c r="AS443" t="s">
        <v>3398</v>
      </c>
      <c r="AT443" t="s">
        <v>8554</v>
      </c>
      <c r="AU443">
        <v>2023</v>
      </c>
      <c r="AV443">
        <v>14</v>
      </c>
      <c r="AW443">
        <v>1</v>
      </c>
      <c r="AX443" t="s">
        <v>74</v>
      </c>
      <c r="AY443" t="s">
        <v>74</v>
      </c>
      <c r="AZ443" t="s">
        <v>74</v>
      </c>
      <c r="BA443" t="s">
        <v>74</v>
      </c>
      <c r="BB443" t="s">
        <v>74</v>
      </c>
      <c r="BC443" t="s">
        <v>74</v>
      </c>
      <c r="BD443">
        <v>7451</v>
      </c>
      <c r="BE443" t="s">
        <v>8653</v>
      </c>
      <c r="BF443" t="str">
        <f>HYPERLINK("http://dx.doi.org/10.1038/s41467-023-43209-y","http://dx.doi.org/10.1038/s41467-023-43209-y")</f>
        <v>http://dx.doi.org/10.1038/s41467-023-43209-y</v>
      </c>
      <c r="BG443" t="s">
        <v>74</v>
      </c>
      <c r="BH443" t="s">
        <v>74</v>
      </c>
      <c r="BI443">
        <v>12</v>
      </c>
      <c r="BJ443" t="s">
        <v>1035</v>
      </c>
      <c r="BK443" t="s">
        <v>100</v>
      </c>
      <c r="BL443" t="s">
        <v>1036</v>
      </c>
      <c r="BM443" t="s">
        <v>8654</v>
      </c>
      <c r="BN443">
        <v>37978186</v>
      </c>
      <c r="BO443" t="s">
        <v>5744</v>
      </c>
      <c r="BP443" t="s">
        <v>74</v>
      </c>
      <c r="BQ443" t="s">
        <v>74</v>
      </c>
      <c r="BR443" t="s">
        <v>104</v>
      </c>
      <c r="BS443" t="s">
        <v>8655</v>
      </c>
      <c r="BT443" t="str">
        <f>HYPERLINK("https%3A%2F%2Fwww.webofscience.com%2Fwos%2Fwoscc%2Ffull-record%2FWOS:001109577000020","View Full Record in Web of Science")</f>
        <v>View Full Record in Web of Science</v>
      </c>
    </row>
    <row r="444" spans="1:72" x14ac:dyDescent="0.15">
      <c r="A444" t="s">
        <v>72</v>
      </c>
      <c r="B444" t="s">
        <v>8656</v>
      </c>
      <c r="C444" t="s">
        <v>74</v>
      </c>
      <c r="D444" t="s">
        <v>74</v>
      </c>
      <c r="E444" t="s">
        <v>74</v>
      </c>
      <c r="F444" t="s">
        <v>8657</v>
      </c>
      <c r="G444" t="s">
        <v>74</v>
      </c>
      <c r="H444" t="s">
        <v>74</v>
      </c>
      <c r="I444" t="s">
        <v>8658</v>
      </c>
      <c r="J444" t="s">
        <v>8659</v>
      </c>
      <c r="K444" t="s">
        <v>74</v>
      </c>
      <c r="L444" t="s">
        <v>74</v>
      </c>
      <c r="M444" t="s">
        <v>78</v>
      </c>
      <c r="N444" t="s">
        <v>79</v>
      </c>
      <c r="O444" t="s">
        <v>74</v>
      </c>
      <c r="P444" t="s">
        <v>74</v>
      </c>
      <c r="Q444" t="s">
        <v>74</v>
      </c>
      <c r="R444" t="s">
        <v>74</v>
      </c>
      <c r="S444" t="s">
        <v>74</v>
      </c>
      <c r="T444" t="s">
        <v>8660</v>
      </c>
      <c r="U444" t="s">
        <v>8661</v>
      </c>
      <c r="V444" t="s">
        <v>8662</v>
      </c>
      <c r="W444" t="s">
        <v>8663</v>
      </c>
      <c r="X444" t="s">
        <v>8664</v>
      </c>
      <c r="Y444" t="s">
        <v>8665</v>
      </c>
      <c r="Z444" t="s">
        <v>8666</v>
      </c>
      <c r="AA444" t="s">
        <v>8667</v>
      </c>
      <c r="AB444" t="s">
        <v>74</v>
      </c>
      <c r="AC444" t="s">
        <v>8668</v>
      </c>
      <c r="AD444" t="s">
        <v>8669</v>
      </c>
      <c r="AE444" t="s">
        <v>8670</v>
      </c>
      <c r="AF444" t="s">
        <v>74</v>
      </c>
      <c r="AG444">
        <v>61</v>
      </c>
      <c r="AH444">
        <v>0</v>
      </c>
      <c r="AI444">
        <v>0</v>
      </c>
      <c r="AJ444">
        <v>4</v>
      </c>
      <c r="AK444">
        <v>4</v>
      </c>
      <c r="AL444" t="s">
        <v>119</v>
      </c>
      <c r="AM444" t="s">
        <v>120</v>
      </c>
      <c r="AN444" t="s">
        <v>121</v>
      </c>
      <c r="AO444" t="s">
        <v>8671</v>
      </c>
      <c r="AP444" t="s">
        <v>8672</v>
      </c>
      <c r="AQ444" t="s">
        <v>74</v>
      </c>
      <c r="AR444" t="s">
        <v>8673</v>
      </c>
      <c r="AS444" t="s">
        <v>8674</v>
      </c>
      <c r="AT444" t="s">
        <v>8554</v>
      </c>
      <c r="AU444">
        <v>2023</v>
      </c>
      <c r="AV444">
        <v>44</v>
      </c>
      <c r="AW444">
        <v>22</v>
      </c>
      <c r="AX444" t="s">
        <v>74</v>
      </c>
      <c r="AY444" t="s">
        <v>74</v>
      </c>
      <c r="AZ444" t="s">
        <v>74</v>
      </c>
      <c r="BA444" t="s">
        <v>74</v>
      </c>
      <c r="BB444">
        <v>7187</v>
      </c>
      <c r="BC444">
        <v>7210</v>
      </c>
      <c r="BD444" t="s">
        <v>74</v>
      </c>
      <c r="BE444" t="s">
        <v>8675</v>
      </c>
      <c r="BF444" t="str">
        <f>HYPERLINK("http://dx.doi.org/10.1080/01431161.2023.2283903","http://dx.doi.org/10.1080/01431161.2023.2283903")</f>
        <v>http://dx.doi.org/10.1080/01431161.2023.2283903</v>
      </c>
      <c r="BG444" t="s">
        <v>74</v>
      </c>
      <c r="BH444" t="s">
        <v>74</v>
      </c>
      <c r="BI444">
        <v>24</v>
      </c>
      <c r="BJ444" t="s">
        <v>8676</v>
      </c>
      <c r="BK444" t="s">
        <v>100</v>
      </c>
      <c r="BL444" t="s">
        <v>8676</v>
      </c>
      <c r="BM444" t="s">
        <v>8677</v>
      </c>
      <c r="BN444" t="s">
        <v>74</v>
      </c>
      <c r="BO444" t="s">
        <v>103</v>
      </c>
      <c r="BP444" t="s">
        <v>74</v>
      </c>
      <c r="BQ444" t="s">
        <v>74</v>
      </c>
      <c r="BR444" t="s">
        <v>104</v>
      </c>
      <c r="BS444" t="s">
        <v>8678</v>
      </c>
      <c r="BT444" t="str">
        <f>HYPERLINK("https%3A%2F%2Fwww.webofscience.com%2Fwos%2Fwoscc%2Ffull-record%2FWOS:001109972200001","View Full Record in Web of Science")</f>
        <v>View Full Record in Web of Science</v>
      </c>
    </row>
    <row r="445" spans="1:72" x14ac:dyDescent="0.15">
      <c r="A445" t="s">
        <v>72</v>
      </c>
      <c r="B445" t="s">
        <v>8679</v>
      </c>
      <c r="C445" t="s">
        <v>74</v>
      </c>
      <c r="D445" t="s">
        <v>74</v>
      </c>
      <c r="E445" t="s">
        <v>74</v>
      </c>
      <c r="F445" t="s">
        <v>8680</v>
      </c>
      <c r="G445" t="s">
        <v>74</v>
      </c>
      <c r="H445" t="s">
        <v>74</v>
      </c>
      <c r="I445" t="s">
        <v>8681</v>
      </c>
      <c r="J445" t="s">
        <v>8682</v>
      </c>
      <c r="K445" t="s">
        <v>74</v>
      </c>
      <c r="L445" t="s">
        <v>74</v>
      </c>
      <c r="M445" t="s">
        <v>78</v>
      </c>
      <c r="N445" t="s">
        <v>79</v>
      </c>
      <c r="O445" t="s">
        <v>74</v>
      </c>
      <c r="P445" t="s">
        <v>74</v>
      </c>
      <c r="Q445" t="s">
        <v>74</v>
      </c>
      <c r="R445" t="s">
        <v>74</v>
      </c>
      <c r="S445" t="s">
        <v>74</v>
      </c>
      <c r="T445" t="s">
        <v>74</v>
      </c>
      <c r="U445" t="s">
        <v>8683</v>
      </c>
      <c r="V445" t="s">
        <v>8684</v>
      </c>
      <c r="W445" t="s">
        <v>8685</v>
      </c>
      <c r="X445" t="s">
        <v>8686</v>
      </c>
      <c r="Y445" t="s">
        <v>8687</v>
      </c>
      <c r="Z445" t="s">
        <v>8688</v>
      </c>
      <c r="AA445" t="s">
        <v>8689</v>
      </c>
      <c r="AB445" t="s">
        <v>8690</v>
      </c>
      <c r="AC445" t="s">
        <v>8691</v>
      </c>
      <c r="AD445" t="s">
        <v>8692</v>
      </c>
      <c r="AE445" t="s">
        <v>8693</v>
      </c>
      <c r="AF445" t="s">
        <v>74</v>
      </c>
      <c r="AG445">
        <v>24</v>
      </c>
      <c r="AH445">
        <v>0</v>
      </c>
      <c r="AI445">
        <v>0</v>
      </c>
      <c r="AJ445">
        <v>0</v>
      </c>
      <c r="AK445">
        <v>0</v>
      </c>
      <c r="AL445" t="s">
        <v>8694</v>
      </c>
      <c r="AM445" t="s">
        <v>8695</v>
      </c>
      <c r="AN445" t="s">
        <v>8696</v>
      </c>
      <c r="AO445" t="s">
        <v>8697</v>
      </c>
      <c r="AP445" t="s">
        <v>74</v>
      </c>
      <c r="AQ445" t="s">
        <v>74</v>
      </c>
      <c r="AR445" t="s">
        <v>8682</v>
      </c>
      <c r="AS445" t="s">
        <v>8682</v>
      </c>
      <c r="AT445" t="s">
        <v>8554</v>
      </c>
      <c r="AU445">
        <v>2023</v>
      </c>
      <c r="AV445" t="s">
        <v>8698</v>
      </c>
      <c r="AW445" t="s">
        <v>74</v>
      </c>
      <c r="AX445" t="s">
        <v>74</v>
      </c>
      <c r="AY445" t="s">
        <v>74</v>
      </c>
      <c r="AZ445" t="s">
        <v>4005</v>
      </c>
      <c r="BA445" t="s">
        <v>74</v>
      </c>
      <c r="BB445">
        <v>9</v>
      </c>
      <c r="BC445">
        <v>15</v>
      </c>
      <c r="BD445" t="s">
        <v>74</v>
      </c>
      <c r="BE445" t="s">
        <v>8699</v>
      </c>
      <c r="BF445" t="str">
        <f>HYPERLINK("http://dx.doi.org/10.2151/sola.19B-002","http://dx.doi.org/10.2151/sola.19B-002")</f>
        <v>http://dx.doi.org/10.2151/sola.19B-002</v>
      </c>
      <c r="BG445" t="s">
        <v>74</v>
      </c>
      <c r="BH445" t="s">
        <v>74</v>
      </c>
      <c r="BI445">
        <v>7</v>
      </c>
      <c r="BJ445" t="s">
        <v>1522</v>
      </c>
      <c r="BK445" t="s">
        <v>100</v>
      </c>
      <c r="BL445" t="s">
        <v>1522</v>
      </c>
      <c r="BM445" t="s">
        <v>8700</v>
      </c>
      <c r="BN445" t="s">
        <v>74</v>
      </c>
      <c r="BO445" t="s">
        <v>131</v>
      </c>
      <c r="BP445" t="s">
        <v>74</v>
      </c>
      <c r="BQ445" t="s">
        <v>74</v>
      </c>
      <c r="BR445" t="s">
        <v>104</v>
      </c>
      <c r="BS445" t="s">
        <v>8701</v>
      </c>
      <c r="BT445" t="str">
        <f>HYPERLINK("https%3A%2F%2Fwww.webofscience.com%2Fwos%2Fwoscc%2Ffull-record%2FWOS:001105512800001","View Full Record in Web of Science")</f>
        <v>View Full Record in Web of Science</v>
      </c>
    </row>
    <row r="446" spans="1:72" x14ac:dyDescent="0.15">
      <c r="A446" t="s">
        <v>72</v>
      </c>
      <c r="B446" t="s">
        <v>8702</v>
      </c>
      <c r="C446" t="s">
        <v>74</v>
      </c>
      <c r="D446" t="s">
        <v>74</v>
      </c>
      <c r="E446" t="s">
        <v>74</v>
      </c>
      <c r="F446" t="s">
        <v>8703</v>
      </c>
      <c r="G446" t="s">
        <v>74</v>
      </c>
      <c r="H446" t="s">
        <v>74</v>
      </c>
      <c r="I446" t="s">
        <v>8704</v>
      </c>
      <c r="J446" t="s">
        <v>1746</v>
      </c>
      <c r="K446" t="s">
        <v>74</v>
      </c>
      <c r="L446" t="s">
        <v>74</v>
      </c>
      <c r="M446" t="s">
        <v>78</v>
      </c>
      <c r="N446" t="s">
        <v>441</v>
      </c>
      <c r="O446" t="s">
        <v>74</v>
      </c>
      <c r="P446" t="s">
        <v>74</v>
      </c>
      <c r="Q446" t="s">
        <v>74</v>
      </c>
      <c r="R446" t="s">
        <v>74</v>
      </c>
      <c r="S446" t="s">
        <v>74</v>
      </c>
      <c r="T446" t="s">
        <v>8705</v>
      </c>
      <c r="U446" t="s">
        <v>8706</v>
      </c>
      <c r="V446" t="s">
        <v>8707</v>
      </c>
      <c r="W446" t="s">
        <v>8708</v>
      </c>
      <c r="X446" t="s">
        <v>8709</v>
      </c>
      <c r="Y446" t="s">
        <v>8710</v>
      </c>
      <c r="Z446" t="s">
        <v>8711</v>
      </c>
      <c r="AA446" t="s">
        <v>74</v>
      </c>
      <c r="AB446" t="s">
        <v>8712</v>
      </c>
      <c r="AC446" t="s">
        <v>8713</v>
      </c>
      <c r="AD446" t="s">
        <v>8714</v>
      </c>
      <c r="AE446" t="s">
        <v>8715</v>
      </c>
      <c r="AF446" t="s">
        <v>74</v>
      </c>
      <c r="AG446">
        <v>123</v>
      </c>
      <c r="AH446">
        <v>0</v>
      </c>
      <c r="AI446">
        <v>0</v>
      </c>
      <c r="AJ446">
        <v>4</v>
      </c>
      <c r="AK446">
        <v>4</v>
      </c>
      <c r="AL446" t="s">
        <v>1758</v>
      </c>
      <c r="AM446" t="s">
        <v>1759</v>
      </c>
      <c r="AN446" t="s">
        <v>1760</v>
      </c>
      <c r="AO446" t="s">
        <v>74</v>
      </c>
      <c r="AP446" t="s">
        <v>1761</v>
      </c>
      <c r="AQ446" t="s">
        <v>74</v>
      </c>
      <c r="AR446" t="s">
        <v>1762</v>
      </c>
      <c r="AS446" t="s">
        <v>1763</v>
      </c>
      <c r="AT446" t="s">
        <v>8554</v>
      </c>
      <c r="AU446">
        <v>2023</v>
      </c>
      <c r="AV446">
        <v>10</v>
      </c>
      <c r="AW446" t="s">
        <v>74</v>
      </c>
      <c r="AX446" t="s">
        <v>74</v>
      </c>
      <c r="AY446" t="s">
        <v>74</v>
      </c>
      <c r="AZ446" t="s">
        <v>74</v>
      </c>
      <c r="BA446" t="s">
        <v>74</v>
      </c>
      <c r="BB446" t="s">
        <v>74</v>
      </c>
      <c r="BC446" t="s">
        <v>74</v>
      </c>
      <c r="BD446">
        <v>1161009</v>
      </c>
      <c r="BE446" t="s">
        <v>8716</v>
      </c>
      <c r="BF446" t="str">
        <f>HYPERLINK("http://dx.doi.org/10.3389/fmars.2023.1161009","http://dx.doi.org/10.3389/fmars.2023.1161009")</f>
        <v>http://dx.doi.org/10.3389/fmars.2023.1161009</v>
      </c>
      <c r="BG446" t="s">
        <v>74</v>
      </c>
      <c r="BH446" t="s">
        <v>74</v>
      </c>
      <c r="BI446">
        <v>12</v>
      </c>
      <c r="BJ446" t="s">
        <v>1135</v>
      </c>
      <c r="BK446" t="s">
        <v>100</v>
      </c>
      <c r="BL446" t="s">
        <v>1136</v>
      </c>
      <c r="BM446" t="s">
        <v>8717</v>
      </c>
      <c r="BN446" t="s">
        <v>74</v>
      </c>
      <c r="BO446" t="s">
        <v>131</v>
      </c>
      <c r="BP446" t="s">
        <v>74</v>
      </c>
      <c r="BQ446" t="s">
        <v>74</v>
      </c>
      <c r="BR446" t="s">
        <v>104</v>
      </c>
      <c r="BS446" t="s">
        <v>8718</v>
      </c>
      <c r="BT446" t="str">
        <f>HYPERLINK("https%3A%2F%2Fwww.webofscience.com%2Fwos%2Fwoscc%2Ffull-record%2FWOS:001112904800001","View Full Record in Web of Science")</f>
        <v>View Full Record in Web of Science</v>
      </c>
    </row>
    <row r="447" spans="1:72" x14ac:dyDescent="0.15">
      <c r="A447" t="s">
        <v>72</v>
      </c>
      <c r="B447" t="s">
        <v>8719</v>
      </c>
      <c r="C447" t="s">
        <v>74</v>
      </c>
      <c r="D447" t="s">
        <v>74</v>
      </c>
      <c r="E447" t="s">
        <v>74</v>
      </c>
      <c r="F447" t="s">
        <v>8720</v>
      </c>
      <c r="G447" t="s">
        <v>74</v>
      </c>
      <c r="H447" t="s">
        <v>74</v>
      </c>
      <c r="I447" t="s">
        <v>8721</v>
      </c>
      <c r="J447" t="s">
        <v>8722</v>
      </c>
      <c r="K447" t="s">
        <v>74</v>
      </c>
      <c r="L447" t="s">
        <v>74</v>
      </c>
      <c r="M447" t="s">
        <v>78</v>
      </c>
      <c r="N447" t="s">
        <v>79</v>
      </c>
      <c r="O447" t="s">
        <v>74</v>
      </c>
      <c r="P447" t="s">
        <v>74</v>
      </c>
      <c r="Q447" t="s">
        <v>74</v>
      </c>
      <c r="R447" t="s">
        <v>74</v>
      </c>
      <c r="S447" t="s">
        <v>74</v>
      </c>
      <c r="T447" t="s">
        <v>8723</v>
      </c>
      <c r="U447" t="s">
        <v>8724</v>
      </c>
      <c r="V447" t="s">
        <v>8725</v>
      </c>
      <c r="W447" t="s">
        <v>8726</v>
      </c>
      <c r="X447" t="s">
        <v>8727</v>
      </c>
      <c r="Y447" t="s">
        <v>8728</v>
      </c>
      <c r="Z447" t="s">
        <v>8729</v>
      </c>
      <c r="AA447" t="s">
        <v>8730</v>
      </c>
      <c r="AB447" t="s">
        <v>74</v>
      </c>
      <c r="AC447" t="s">
        <v>8731</v>
      </c>
      <c r="AD447" t="s">
        <v>8731</v>
      </c>
      <c r="AE447" t="s">
        <v>8732</v>
      </c>
      <c r="AF447" t="s">
        <v>74</v>
      </c>
      <c r="AG447">
        <v>61</v>
      </c>
      <c r="AH447">
        <v>0</v>
      </c>
      <c r="AI447">
        <v>0</v>
      </c>
      <c r="AJ447">
        <v>6</v>
      </c>
      <c r="AK447">
        <v>6</v>
      </c>
      <c r="AL447" t="s">
        <v>119</v>
      </c>
      <c r="AM447" t="s">
        <v>120</v>
      </c>
      <c r="AN447" t="s">
        <v>121</v>
      </c>
      <c r="AO447" t="s">
        <v>8733</v>
      </c>
      <c r="AP447" t="s">
        <v>8734</v>
      </c>
      <c r="AQ447" t="s">
        <v>74</v>
      </c>
      <c r="AR447" t="s">
        <v>8735</v>
      </c>
      <c r="AS447" t="s">
        <v>8736</v>
      </c>
      <c r="AT447" t="s">
        <v>8737</v>
      </c>
      <c r="AU447">
        <v>2023</v>
      </c>
      <c r="AV447">
        <v>59</v>
      </c>
      <c r="AW447" t="s">
        <v>8738</v>
      </c>
      <c r="AX447" t="s">
        <v>74</v>
      </c>
      <c r="AY447" t="s">
        <v>74</v>
      </c>
      <c r="AZ447" t="s">
        <v>74</v>
      </c>
      <c r="BA447" t="s">
        <v>74</v>
      </c>
      <c r="BB447">
        <v>412</v>
      </c>
      <c r="BC447">
        <v>425</v>
      </c>
      <c r="BD447" t="s">
        <v>74</v>
      </c>
      <c r="BE447" t="s">
        <v>8739</v>
      </c>
      <c r="BF447" t="str">
        <f>HYPERLINK("http://dx.doi.org/10.1080/10256016.2023.2281932","http://dx.doi.org/10.1080/10256016.2023.2281932")</f>
        <v>http://dx.doi.org/10.1080/10256016.2023.2281932</v>
      </c>
      <c r="BG447" t="s">
        <v>74</v>
      </c>
      <c r="BH447" t="s">
        <v>6982</v>
      </c>
      <c r="BI447">
        <v>14</v>
      </c>
      <c r="BJ447" t="s">
        <v>8740</v>
      </c>
      <c r="BK447" t="s">
        <v>100</v>
      </c>
      <c r="BL447" t="s">
        <v>8741</v>
      </c>
      <c r="BM447" t="s">
        <v>8742</v>
      </c>
      <c r="BN447">
        <v>37975284</v>
      </c>
      <c r="BO447" t="s">
        <v>74</v>
      </c>
      <c r="BP447" t="s">
        <v>74</v>
      </c>
      <c r="BQ447" t="s">
        <v>74</v>
      </c>
      <c r="BR447" t="s">
        <v>104</v>
      </c>
      <c r="BS447" t="s">
        <v>8743</v>
      </c>
      <c r="BT447" t="str">
        <f>HYPERLINK("https%3A%2F%2Fwww.webofscience.com%2Fwos%2Fwoscc%2Ffull-record%2FWOS:001104037800001","View Full Record in Web of Science")</f>
        <v>View Full Record in Web of Science</v>
      </c>
    </row>
    <row r="448" spans="1:72" x14ac:dyDescent="0.15">
      <c r="A448" t="s">
        <v>72</v>
      </c>
      <c r="B448" t="s">
        <v>8744</v>
      </c>
      <c r="C448" t="s">
        <v>74</v>
      </c>
      <c r="D448" t="s">
        <v>74</v>
      </c>
      <c r="E448" t="s">
        <v>74</v>
      </c>
      <c r="F448" t="s">
        <v>8745</v>
      </c>
      <c r="G448" t="s">
        <v>74</v>
      </c>
      <c r="H448" t="s">
        <v>74</v>
      </c>
      <c r="I448" t="s">
        <v>8746</v>
      </c>
      <c r="J448" t="s">
        <v>8747</v>
      </c>
      <c r="K448" t="s">
        <v>74</v>
      </c>
      <c r="L448" t="s">
        <v>74</v>
      </c>
      <c r="M448" t="s">
        <v>78</v>
      </c>
      <c r="N448" t="s">
        <v>79</v>
      </c>
      <c r="O448" t="s">
        <v>74</v>
      </c>
      <c r="P448" t="s">
        <v>74</v>
      </c>
      <c r="Q448" t="s">
        <v>74</v>
      </c>
      <c r="R448" t="s">
        <v>74</v>
      </c>
      <c r="S448" t="s">
        <v>74</v>
      </c>
      <c r="T448" t="s">
        <v>8748</v>
      </c>
      <c r="U448" t="s">
        <v>74</v>
      </c>
      <c r="V448" t="s">
        <v>8749</v>
      </c>
      <c r="W448" t="s">
        <v>8750</v>
      </c>
      <c r="X448" t="s">
        <v>8751</v>
      </c>
      <c r="Y448" t="s">
        <v>8752</v>
      </c>
      <c r="Z448" t="s">
        <v>8753</v>
      </c>
      <c r="AA448" t="s">
        <v>8754</v>
      </c>
      <c r="AB448" t="s">
        <v>8755</v>
      </c>
      <c r="AC448" t="s">
        <v>8756</v>
      </c>
      <c r="AD448" t="s">
        <v>8756</v>
      </c>
      <c r="AE448" t="s">
        <v>8757</v>
      </c>
      <c r="AF448" t="s">
        <v>74</v>
      </c>
      <c r="AG448">
        <v>32</v>
      </c>
      <c r="AH448">
        <v>0</v>
      </c>
      <c r="AI448">
        <v>0</v>
      </c>
      <c r="AJ448">
        <v>5</v>
      </c>
      <c r="AK448">
        <v>5</v>
      </c>
      <c r="AL448" t="s">
        <v>1101</v>
      </c>
      <c r="AM448" t="s">
        <v>1102</v>
      </c>
      <c r="AN448" t="s">
        <v>1103</v>
      </c>
      <c r="AO448" t="s">
        <v>8758</v>
      </c>
      <c r="AP448" t="s">
        <v>8759</v>
      </c>
      <c r="AQ448" t="s">
        <v>74</v>
      </c>
      <c r="AR448" t="s">
        <v>8760</v>
      </c>
      <c r="AS448" t="s">
        <v>8761</v>
      </c>
      <c r="AT448" t="s">
        <v>1108</v>
      </c>
      <c r="AU448">
        <v>2024</v>
      </c>
      <c r="AV448">
        <v>38</v>
      </c>
      <c r="AW448">
        <v>2</v>
      </c>
      <c r="AX448" t="s">
        <v>74</v>
      </c>
      <c r="AY448" t="s">
        <v>74</v>
      </c>
      <c r="AZ448" t="s">
        <v>74</v>
      </c>
      <c r="BA448" t="s">
        <v>74</v>
      </c>
      <c r="BB448" t="s">
        <v>74</v>
      </c>
      <c r="BC448" t="s">
        <v>74</v>
      </c>
      <c r="BD448" t="s">
        <v>74</v>
      </c>
      <c r="BE448" t="s">
        <v>8762</v>
      </c>
      <c r="BF448" t="str">
        <f>HYPERLINK("http://dx.doi.org/10.1111/cobi.14183","http://dx.doi.org/10.1111/cobi.14183")</f>
        <v>http://dx.doi.org/10.1111/cobi.14183</v>
      </c>
      <c r="BG448" t="s">
        <v>74</v>
      </c>
      <c r="BH448" t="s">
        <v>6982</v>
      </c>
      <c r="BI448">
        <v>7</v>
      </c>
      <c r="BJ448" t="s">
        <v>8763</v>
      </c>
      <c r="BK448" t="s">
        <v>100</v>
      </c>
      <c r="BL448" t="s">
        <v>913</v>
      </c>
      <c r="BM448" t="s">
        <v>8764</v>
      </c>
      <c r="BN448">
        <v>37700634</v>
      </c>
      <c r="BO448" t="s">
        <v>103</v>
      </c>
      <c r="BP448" t="s">
        <v>74</v>
      </c>
      <c r="BQ448" t="s">
        <v>74</v>
      </c>
      <c r="BR448" t="s">
        <v>104</v>
      </c>
      <c r="BS448" t="s">
        <v>8765</v>
      </c>
      <c r="BT448" t="str">
        <f>HYPERLINK("https%3A%2F%2Fwww.webofscience.com%2Fwos%2Fwoscc%2Ffull-record%2FWOS:001103456000001","View Full Record in Web of Science")</f>
        <v>View Full Record in Web of Science</v>
      </c>
    </row>
    <row r="449" spans="1:72" x14ac:dyDescent="0.15">
      <c r="A449" t="s">
        <v>72</v>
      </c>
      <c r="B449" t="s">
        <v>8766</v>
      </c>
      <c r="C449" t="s">
        <v>74</v>
      </c>
      <c r="D449" t="s">
        <v>74</v>
      </c>
      <c r="E449" t="s">
        <v>74</v>
      </c>
      <c r="F449" t="s">
        <v>8767</v>
      </c>
      <c r="G449" t="s">
        <v>74</v>
      </c>
      <c r="H449" t="s">
        <v>74</v>
      </c>
      <c r="I449" t="s">
        <v>8768</v>
      </c>
      <c r="J449" t="s">
        <v>1504</v>
      </c>
      <c r="K449" t="s">
        <v>74</v>
      </c>
      <c r="L449" t="s">
        <v>74</v>
      </c>
      <c r="M449" t="s">
        <v>78</v>
      </c>
      <c r="N449" t="s">
        <v>79</v>
      </c>
      <c r="O449" t="s">
        <v>74</v>
      </c>
      <c r="P449" t="s">
        <v>74</v>
      </c>
      <c r="Q449" t="s">
        <v>74</v>
      </c>
      <c r="R449" t="s">
        <v>74</v>
      </c>
      <c r="S449" t="s">
        <v>74</v>
      </c>
      <c r="T449" t="s">
        <v>8769</v>
      </c>
      <c r="U449" t="s">
        <v>8770</v>
      </c>
      <c r="V449" t="s">
        <v>8771</v>
      </c>
      <c r="W449" t="s">
        <v>8772</v>
      </c>
      <c r="X449" t="s">
        <v>8773</v>
      </c>
      <c r="Y449" t="s">
        <v>8774</v>
      </c>
      <c r="Z449" t="s">
        <v>8775</v>
      </c>
      <c r="AA449" t="s">
        <v>74</v>
      </c>
      <c r="AB449" t="s">
        <v>74</v>
      </c>
      <c r="AC449" t="s">
        <v>8776</v>
      </c>
      <c r="AD449" t="s">
        <v>8777</v>
      </c>
      <c r="AE449" t="s">
        <v>8778</v>
      </c>
      <c r="AF449" t="s">
        <v>74</v>
      </c>
      <c r="AG449">
        <v>62</v>
      </c>
      <c r="AH449">
        <v>0</v>
      </c>
      <c r="AI449">
        <v>0</v>
      </c>
      <c r="AJ449">
        <v>1</v>
      </c>
      <c r="AK449">
        <v>1</v>
      </c>
      <c r="AL449" t="s">
        <v>1208</v>
      </c>
      <c r="AM449" t="s">
        <v>1209</v>
      </c>
      <c r="AN449" t="s">
        <v>1210</v>
      </c>
      <c r="AO449" t="s">
        <v>1515</v>
      </c>
      <c r="AP449" t="s">
        <v>1516</v>
      </c>
      <c r="AQ449" t="s">
        <v>74</v>
      </c>
      <c r="AR449" t="s">
        <v>1517</v>
      </c>
      <c r="AS449" t="s">
        <v>1518</v>
      </c>
      <c r="AT449" t="s">
        <v>8779</v>
      </c>
      <c r="AU449">
        <v>2023</v>
      </c>
      <c r="AV449">
        <v>128</v>
      </c>
      <c r="AW449">
        <v>21</v>
      </c>
      <c r="AX449" t="s">
        <v>74</v>
      </c>
      <c r="AY449" t="s">
        <v>74</v>
      </c>
      <c r="AZ449" t="s">
        <v>74</v>
      </c>
      <c r="BA449" t="s">
        <v>74</v>
      </c>
      <c r="BB449" t="s">
        <v>74</v>
      </c>
      <c r="BC449" t="s">
        <v>74</v>
      </c>
      <c r="BD449" t="s">
        <v>8780</v>
      </c>
      <c r="BE449" t="s">
        <v>8781</v>
      </c>
      <c r="BF449" t="str">
        <f>HYPERLINK("http://dx.doi.org/10.1029/2023JD039519","http://dx.doi.org/10.1029/2023JD039519")</f>
        <v>http://dx.doi.org/10.1029/2023JD039519</v>
      </c>
      <c r="BG449" t="s">
        <v>74</v>
      </c>
      <c r="BH449" t="s">
        <v>74</v>
      </c>
      <c r="BI449">
        <v>13</v>
      </c>
      <c r="BJ449" t="s">
        <v>1522</v>
      </c>
      <c r="BK449" t="s">
        <v>100</v>
      </c>
      <c r="BL449" t="s">
        <v>1522</v>
      </c>
      <c r="BM449" t="s">
        <v>8782</v>
      </c>
      <c r="BN449" t="s">
        <v>74</v>
      </c>
      <c r="BO449" t="s">
        <v>74</v>
      </c>
      <c r="BP449" t="s">
        <v>74</v>
      </c>
      <c r="BQ449" t="s">
        <v>74</v>
      </c>
      <c r="BR449" t="s">
        <v>104</v>
      </c>
      <c r="BS449" t="s">
        <v>8783</v>
      </c>
      <c r="BT449" t="str">
        <f>HYPERLINK("https%3A%2F%2Fwww.webofscience.com%2Fwos%2Fwoscc%2Ffull-record%2FWOS:001095498200001","View Full Record in Web of Science")</f>
        <v>View Full Record in Web of Science</v>
      </c>
    </row>
    <row r="450" spans="1:72" x14ac:dyDescent="0.15">
      <c r="A450" t="s">
        <v>72</v>
      </c>
      <c r="B450" t="s">
        <v>8784</v>
      </c>
      <c r="C450" t="s">
        <v>74</v>
      </c>
      <c r="D450" t="s">
        <v>74</v>
      </c>
      <c r="E450" t="s">
        <v>74</v>
      </c>
      <c r="F450" t="s">
        <v>8785</v>
      </c>
      <c r="G450" t="s">
        <v>74</v>
      </c>
      <c r="H450" t="s">
        <v>74</v>
      </c>
      <c r="I450" t="s">
        <v>8786</v>
      </c>
      <c r="J450" t="s">
        <v>8787</v>
      </c>
      <c r="K450" t="s">
        <v>74</v>
      </c>
      <c r="L450" t="s">
        <v>74</v>
      </c>
      <c r="M450" t="s">
        <v>78</v>
      </c>
      <c r="N450" t="s">
        <v>79</v>
      </c>
      <c r="O450" t="s">
        <v>74</v>
      </c>
      <c r="P450" t="s">
        <v>74</v>
      </c>
      <c r="Q450" t="s">
        <v>74</v>
      </c>
      <c r="R450" t="s">
        <v>74</v>
      </c>
      <c r="S450" t="s">
        <v>74</v>
      </c>
      <c r="T450" t="s">
        <v>8788</v>
      </c>
      <c r="U450" t="s">
        <v>8789</v>
      </c>
      <c r="V450" t="s">
        <v>8790</v>
      </c>
      <c r="W450" t="s">
        <v>8791</v>
      </c>
      <c r="X450" t="s">
        <v>8792</v>
      </c>
      <c r="Y450" t="s">
        <v>8793</v>
      </c>
      <c r="Z450" t="s">
        <v>8794</v>
      </c>
      <c r="AA450" t="s">
        <v>74</v>
      </c>
      <c r="AB450" t="s">
        <v>8795</v>
      </c>
      <c r="AC450" t="s">
        <v>8796</v>
      </c>
      <c r="AD450" t="s">
        <v>8797</v>
      </c>
      <c r="AE450" t="s">
        <v>8798</v>
      </c>
      <c r="AF450" t="s">
        <v>74</v>
      </c>
      <c r="AG450">
        <v>105</v>
      </c>
      <c r="AH450">
        <v>0</v>
      </c>
      <c r="AI450">
        <v>0</v>
      </c>
      <c r="AJ450">
        <v>14</v>
      </c>
      <c r="AK450">
        <v>14</v>
      </c>
      <c r="AL450" t="s">
        <v>947</v>
      </c>
      <c r="AM450" t="s">
        <v>948</v>
      </c>
      <c r="AN450" t="s">
        <v>949</v>
      </c>
      <c r="AO450" t="s">
        <v>8799</v>
      </c>
      <c r="AP450" t="s">
        <v>74</v>
      </c>
      <c r="AQ450" t="s">
        <v>74</v>
      </c>
      <c r="AR450" t="s">
        <v>8800</v>
      </c>
      <c r="AS450" t="s">
        <v>8801</v>
      </c>
      <c r="AT450" t="s">
        <v>954</v>
      </c>
      <c r="AU450">
        <v>2024</v>
      </c>
      <c r="AV450">
        <v>552</v>
      </c>
      <c r="AW450" t="s">
        <v>74</v>
      </c>
      <c r="AX450" t="s">
        <v>74</v>
      </c>
      <c r="AY450" t="s">
        <v>74</v>
      </c>
      <c r="AZ450" t="s">
        <v>74</v>
      </c>
      <c r="BA450" t="s">
        <v>74</v>
      </c>
      <c r="BB450" t="s">
        <v>74</v>
      </c>
      <c r="BC450" t="s">
        <v>74</v>
      </c>
      <c r="BD450">
        <v>113675</v>
      </c>
      <c r="BE450" t="s">
        <v>8802</v>
      </c>
      <c r="BF450" t="str">
        <f>HYPERLINK("http://dx.doi.org/10.1016/j.mcat.2023.113675","http://dx.doi.org/10.1016/j.mcat.2023.113675")</f>
        <v>http://dx.doi.org/10.1016/j.mcat.2023.113675</v>
      </c>
      <c r="BG450" t="s">
        <v>74</v>
      </c>
      <c r="BH450" t="s">
        <v>6982</v>
      </c>
      <c r="BI450">
        <v>12</v>
      </c>
      <c r="BJ450" t="s">
        <v>8803</v>
      </c>
      <c r="BK450" t="s">
        <v>100</v>
      </c>
      <c r="BL450" t="s">
        <v>8804</v>
      </c>
      <c r="BM450" t="s">
        <v>8805</v>
      </c>
      <c r="BN450" t="s">
        <v>74</v>
      </c>
      <c r="BO450" t="s">
        <v>74</v>
      </c>
      <c r="BP450" t="s">
        <v>74</v>
      </c>
      <c r="BQ450" t="s">
        <v>74</v>
      </c>
      <c r="BR450" t="s">
        <v>104</v>
      </c>
      <c r="BS450" t="s">
        <v>8806</v>
      </c>
      <c r="BT450" t="str">
        <f>HYPERLINK("https%3A%2F%2Fwww.webofscience.com%2Fwos%2Fwoscc%2Ffull-record%2FWOS:001165128400001","View Full Record in Web of Science")</f>
        <v>View Full Record in Web of Science</v>
      </c>
    </row>
    <row r="451" spans="1:72" x14ac:dyDescent="0.15">
      <c r="A451" t="s">
        <v>72</v>
      </c>
      <c r="B451" t="s">
        <v>8807</v>
      </c>
      <c r="C451" t="s">
        <v>74</v>
      </c>
      <c r="D451" t="s">
        <v>74</v>
      </c>
      <c r="E451" t="s">
        <v>74</v>
      </c>
      <c r="F451" t="s">
        <v>8808</v>
      </c>
      <c r="G451" t="s">
        <v>74</v>
      </c>
      <c r="H451" t="s">
        <v>74</v>
      </c>
      <c r="I451" t="s">
        <v>8809</v>
      </c>
      <c r="J451" t="s">
        <v>991</v>
      </c>
      <c r="K451" t="s">
        <v>74</v>
      </c>
      <c r="L451" t="s">
        <v>74</v>
      </c>
      <c r="M451" t="s">
        <v>78</v>
      </c>
      <c r="N451" t="s">
        <v>79</v>
      </c>
      <c r="O451" t="s">
        <v>74</v>
      </c>
      <c r="P451" t="s">
        <v>74</v>
      </c>
      <c r="Q451" t="s">
        <v>74</v>
      </c>
      <c r="R451" t="s">
        <v>74</v>
      </c>
      <c r="S451" t="s">
        <v>74</v>
      </c>
      <c r="T451" t="s">
        <v>8810</v>
      </c>
      <c r="U451" t="s">
        <v>8811</v>
      </c>
      <c r="V451" t="s">
        <v>8812</v>
      </c>
      <c r="W451" t="s">
        <v>8813</v>
      </c>
      <c r="X451" t="s">
        <v>8814</v>
      </c>
      <c r="Y451" t="s">
        <v>8815</v>
      </c>
      <c r="Z451" t="s">
        <v>8816</v>
      </c>
      <c r="AA451" t="s">
        <v>8817</v>
      </c>
      <c r="AB451" t="s">
        <v>8818</v>
      </c>
      <c r="AC451" t="s">
        <v>8819</v>
      </c>
      <c r="AD451" t="s">
        <v>8820</v>
      </c>
      <c r="AE451" t="s">
        <v>8821</v>
      </c>
      <c r="AF451" t="s">
        <v>74</v>
      </c>
      <c r="AG451">
        <v>130</v>
      </c>
      <c r="AH451">
        <v>0</v>
      </c>
      <c r="AI451">
        <v>0</v>
      </c>
      <c r="AJ451">
        <v>34</v>
      </c>
      <c r="AK451">
        <v>34</v>
      </c>
      <c r="AL451" t="s">
        <v>947</v>
      </c>
      <c r="AM451" t="s">
        <v>948</v>
      </c>
      <c r="AN451" t="s">
        <v>949</v>
      </c>
      <c r="AO451" t="s">
        <v>1004</v>
      </c>
      <c r="AP451" t="s">
        <v>1005</v>
      </c>
      <c r="AQ451" t="s">
        <v>74</v>
      </c>
      <c r="AR451" t="s">
        <v>1006</v>
      </c>
      <c r="AS451" t="s">
        <v>1007</v>
      </c>
      <c r="AT451" t="s">
        <v>4250</v>
      </c>
      <c r="AU451">
        <v>2024</v>
      </c>
      <c r="AV451">
        <v>908</v>
      </c>
      <c r="AW451" t="s">
        <v>74</v>
      </c>
      <c r="AX451" t="s">
        <v>74</v>
      </c>
      <c r="AY451" t="s">
        <v>74</v>
      </c>
      <c r="AZ451" t="s">
        <v>74</v>
      </c>
      <c r="BA451" t="s">
        <v>74</v>
      </c>
      <c r="BB451" t="s">
        <v>74</v>
      </c>
      <c r="BC451" t="s">
        <v>74</v>
      </c>
      <c r="BD451">
        <v>168323</v>
      </c>
      <c r="BE451" t="s">
        <v>8822</v>
      </c>
      <c r="BF451" t="str">
        <f>HYPERLINK("http://dx.doi.org/10.1016/j.scitotenv.2023.168323","http://dx.doi.org/10.1016/j.scitotenv.2023.168323")</f>
        <v>http://dx.doi.org/10.1016/j.scitotenv.2023.168323</v>
      </c>
      <c r="BG451" t="s">
        <v>74</v>
      </c>
      <c r="BH451" t="s">
        <v>6982</v>
      </c>
      <c r="BI451">
        <v>13</v>
      </c>
      <c r="BJ451" t="s">
        <v>1010</v>
      </c>
      <c r="BK451" t="s">
        <v>100</v>
      </c>
      <c r="BL451" t="s">
        <v>1011</v>
      </c>
      <c r="BM451" t="s">
        <v>8823</v>
      </c>
      <c r="BN451">
        <v>37949125</v>
      </c>
      <c r="BO451" t="s">
        <v>322</v>
      </c>
      <c r="BP451" t="s">
        <v>74</v>
      </c>
      <c r="BQ451" t="s">
        <v>74</v>
      </c>
      <c r="BR451" t="s">
        <v>104</v>
      </c>
      <c r="BS451" t="s">
        <v>8824</v>
      </c>
      <c r="BT451" t="str">
        <f>HYPERLINK("https%3A%2F%2Fwww.webofscience.com%2Fwos%2Fwoscc%2Ffull-record%2FWOS:001162457400001","View Full Record in Web of Science")</f>
        <v>View Full Record in Web of Science</v>
      </c>
    </row>
    <row r="452" spans="1:72" x14ac:dyDescent="0.15">
      <c r="A452" t="s">
        <v>72</v>
      </c>
      <c r="B452" t="s">
        <v>8825</v>
      </c>
      <c r="C452" t="s">
        <v>74</v>
      </c>
      <c r="D452" t="s">
        <v>74</v>
      </c>
      <c r="E452" t="s">
        <v>74</v>
      </c>
      <c r="F452" t="s">
        <v>8826</v>
      </c>
      <c r="G452" t="s">
        <v>74</v>
      </c>
      <c r="H452" t="s">
        <v>74</v>
      </c>
      <c r="I452" t="s">
        <v>8827</v>
      </c>
      <c r="J452" t="s">
        <v>8828</v>
      </c>
      <c r="K452" t="s">
        <v>74</v>
      </c>
      <c r="L452" t="s">
        <v>74</v>
      </c>
      <c r="M452" t="s">
        <v>78</v>
      </c>
      <c r="N452" t="s">
        <v>79</v>
      </c>
      <c r="O452" t="s">
        <v>74</v>
      </c>
      <c r="P452" t="s">
        <v>74</v>
      </c>
      <c r="Q452" t="s">
        <v>74</v>
      </c>
      <c r="R452" t="s">
        <v>74</v>
      </c>
      <c r="S452" t="s">
        <v>74</v>
      </c>
      <c r="T452" t="s">
        <v>8829</v>
      </c>
      <c r="U452" t="s">
        <v>8830</v>
      </c>
      <c r="V452" t="s">
        <v>8831</v>
      </c>
      <c r="W452" t="s">
        <v>8832</v>
      </c>
      <c r="X452" t="s">
        <v>8833</v>
      </c>
      <c r="Y452" t="s">
        <v>8834</v>
      </c>
      <c r="Z452" t="s">
        <v>8835</v>
      </c>
      <c r="AA452" t="s">
        <v>8836</v>
      </c>
      <c r="AB452" t="s">
        <v>74</v>
      </c>
      <c r="AC452" t="s">
        <v>8837</v>
      </c>
      <c r="AD452" t="s">
        <v>8838</v>
      </c>
      <c r="AE452" t="s">
        <v>8839</v>
      </c>
      <c r="AF452" t="s">
        <v>74</v>
      </c>
      <c r="AG452">
        <v>33</v>
      </c>
      <c r="AH452">
        <v>0</v>
      </c>
      <c r="AI452">
        <v>0</v>
      </c>
      <c r="AJ452">
        <v>4</v>
      </c>
      <c r="AK452">
        <v>4</v>
      </c>
      <c r="AL452" t="s">
        <v>975</v>
      </c>
      <c r="AM452" t="s">
        <v>976</v>
      </c>
      <c r="AN452" t="s">
        <v>977</v>
      </c>
      <c r="AO452" t="s">
        <v>8840</v>
      </c>
      <c r="AP452" t="s">
        <v>8841</v>
      </c>
      <c r="AQ452" t="s">
        <v>74</v>
      </c>
      <c r="AR452" t="s">
        <v>8842</v>
      </c>
      <c r="AS452" t="s">
        <v>8843</v>
      </c>
      <c r="AT452" t="s">
        <v>5341</v>
      </c>
      <c r="AU452">
        <v>2023</v>
      </c>
      <c r="AV452">
        <v>289</v>
      </c>
      <c r="AW452" t="s">
        <v>74</v>
      </c>
      <c r="AX452">
        <v>1</v>
      </c>
      <c r="AY452" t="s">
        <v>74</v>
      </c>
      <c r="AZ452" t="s">
        <v>74</v>
      </c>
      <c r="BA452" t="s">
        <v>74</v>
      </c>
      <c r="BB452" t="s">
        <v>74</v>
      </c>
      <c r="BC452" t="s">
        <v>74</v>
      </c>
      <c r="BD452">
        <v>116231</v>
      </c>
      <c r="BE452" t="s">
        <v>8844</v>
      </c>
      <c r="BF452" t="str">
        <f>HYPERLINK("http://dx.doi.org/10.1016/j.oceaneng.2023.116231","http://dx.doi.org/10.1016/j.oceaneng.2023.116231")</f>
        <v>http://dx.doi.org/10.1016/j.oceaneng.2023.116231</v>
      </c>
      <c r="BG452" t="s">
        <v>74</v>
      </c>
      <c r="BH452" t="s">
        <v>6982</v>
      </c>
      <c r="BI452">
        <v>8</v>
      </c>
      <c r="BJ452" t="s">
        <v>8845</v>
      </c>
      <c r="BK452" t="s">
        <v>100</v>
      </c>
      <c r="BL452" t="s">
        <v>5789</v>
      </c>
      <c r="BM452" t="s">
        <v>8846</v>
      </c>
      <c r="BN452" t="s">
        <v>74</v>
      </c>
      <c r="BO452" t="s">
        <v>74</v>
      </c>
      <c r="BP452" t="s">
        <v>74</v>
      </c>
      <c r="BQ452" t="s">
        <v>74</v>
      </c>
      <c r="BR452" t="s">
        <v>104</v>
      </c>
      <c r="BS452" t="s">
        <v>8847</v>
      </c>
      <c r="BT452" t="str">
        <f>HYPERLINK("https%3A%2F%2Fwww.webofscience.com%2Fwos%2Fwoscc%2Ffull-record%2FWOS:001150003500001","View Full Record in Web of Science")</f>
        <v>View Full Record in Web of Science</v>
      </c>
    </row>
    <row r="453" spans="1:72" x14ac:dyDescent="0.15">
      <c r="A453" t="s">
        <v>72</v>
      </c>
      <c r="B453" t="s">
        <v>8848</v>
      </c>
      <c r="C453" t="s">
        <v>74</v>
      </c>
      <c r="D453" t="s">
        <v>74</v>
      </c>
      <c r="E453" t="s">
        <v>74</v>
      </c>
      <c r="F453" t="s">
        <v>8849</v>
      </c>
      <c r="G453" t="s">
        <v>74</v>
      </c>
      <c r="H453" t="s">
        <v>74</v>
      </c>
      <c r="I453" t="s">
        <v>8850</v>
      </c>
      <c r="J453" t="s">
        <v>3000</v>
      </c>
      <c r="K453" t="s">
        <v>74</v>
      </c>
      <c r="L453" t="s">
        <v>74</v>
      </c>
      <c r="M453" t="s">
        <v>78</v>
      </c>
      <c r="N453" t="s">
        <v>441</v>
      </c>
      <c r="O453" t="s">
        <v>74</v>
      </c>
      <c r="P453" t="s">
        <v>74</v>
      </c>
      <c r="Q453" t="s">
        <v>74</v>
      </c>
      <c r="R453" t="s">
        <v>74</v>
      </c>
      <c r="S453" t="s">
        <v>74</v>
      </c>
      <c r="T453" t="s">
        <v>8851</v>
      </c>
      <c r="U453" t="s">
        <v>8852</v>
      </c>
      <c r="V453" t="s">
        <v>8853</v>
      </c>
      <c r="W453" t="s">
        <v>8854</v>
      </c>
      <c r="X453" t="s">
        <v>8855</v>
      </c>
      <c r="Y453" t="s">
        <v>8856</v>
      </c>
      <c r="Z453" t="s">
        <v>8857</v>
      </c>
      <c r="AA453" t="s">
        <v>8858</v>
      </c>
      <c r="AB453" t="s">
        <v>8859</v>
      </c>
      <c r="AC453" t="s">
        <v>8860</v>
      </c>
      <c r="AD453" t="s">
        <v>8861</v>
      </c>
      <c r="AE453" t="s">
        <v>8862</v>
      </c>
      <c r="AF453" t="s">
        <v>74</v>
      </c>
      <c r="AG453">
        <v>140</v>
      </c>
      <c r="AH453">
        <v>1</v>
      </c>
      <c r="AI453">
        <v>1</v>
      </c>
      <c r="AJ453">
        <v>12</v>
      </c>
      <c r="AK453">
        <v>12</v>
      </c>
      <c r="AL453" t="s">
        <v>3013</v>
      </c>
      <c r="AM453" t="s">
        <v>3014</v>
      </c>
      <c r="AN453" t="s">
        <v>3015</v>
      </c>
      <c r="AO453" t="s">
        <v>3016</v>
      </c>
      <c r="AP453" t="s">
        <v>3017</v>
      </c>
      <c r="AQ453" t="s">
        <v>74</v>
      </c>
      <c r="AR453" t="s">
        <v>3018</v>
      </c>
      <c r="AS453" t="s">
        <v>3019</v>
      </c>
      <c r="AT453" t="s">
        <v>4250</v>
      </c>
      <c r="AU453">
        <v>2024</v>
      </c>
      <c r="AV453">
        <v>241</v>
      </c>
      <c r="AW453" t="s">
        <v>74</v>
      </c>
      <c r="AX453" t="s">
        <v>74</v>
      </c>
      <c r="AY453" t="s">
        <v>74</v>
      </c>
      <c r="AZ453" t="s">
        <v>74</v>
      </c>
      <c r="BA453" t="s">
        <v>74</v>
      </c>
      <c r="BB453" t="s">
        <v>74</v>
      </c>
      <c r="BC453" t="s">
        <v>74</v>
      </c>
      <c r="BD453">
        <v>117579</v>
      </c>
      <c r="BE453" t="s">
        <v>8863</v>
      </c>
      <c r="BF453" t="str">
        <f>HYPERLINK("http://dx.doi.org/10.1016/j.envres.2023.117579","http://dx.doi.org/10.1016/j.envres.2023.117579")</f>
        <v>http://dx.doi.org/10.1016/j.envres.2023.117579</v>
      </c>
      <c r="BG453" t="s">
        <v>74</v>
      </c>
      <c r="BH453" t="s">
        <v>6982</v>
      </c>
      <c r="BI453">
        <v>15</v>
      </c>
      <c r="BJ453" t="s">
        <v>3021</v>
      </c>
      <c r="BK453" t="s">
        <v>100</v>
      </c>
      <c r="BL453" t="s">
        <v>3022</v>
      </c>
      <c r="BM453" t="s">
        <v>8864</v>
      </c>
      <c r="BN453">
        <v>37944691</v>
      </c>
      <c r="BO453" t="s">
        <v>74</v>
      </c>
      <c r="BP453" t="s">
        <v>74</v>
      </c>
      <c r="BQ453" t="s">
        <v>74</v>
      </c>
      <c r="BR453" t="s">
        <v>104</v>
      </c>
      <c r="BS453" t="s">
        <v>8865</v>
      </c>
      <c r="BT453" t="str">
        <f>HYPERLINK("https%3A%2F%2Fwww.webofscience.com%2Fwos%2Fwoscc%2Ffull-record%2FWOS:001120118000001","View Full Record in Web of Science")</f>
        <v>View Full Record in Web of Science</v>
      </c>
    </row>
    <row r="454" spans="1:72" x14ac:dyDescent="0.15">
      <c r="A454" t="s">
        <v>72</v>
      </c>
      <c r="B454" t="s">
        <v>8866</v>
      </c>
      <c r="C454" t="s">
        <v>74</v>
      </c>
      <c r="D454" t="s">
        <v>74</v>
      </c>
      <c r="E454" t="s">
        <v>74</v>
      </c>
      <c r="F454" t="s">
        <v>8867</v>
      </c>
      <c r="G454" t="s">
        <v>74</v>
      </c>
      <c r="H454" t="s">
        <v>74</v>
      </c>
      <c r="I454" t="s">
        <v>8868</v>
      </c>
      <c r="J454" t="s">
        <v>7320</v>
      </c>
      <c r="K454" t="s">
        <v>74</v>
      </c>
      <c r="L454" t="s">
        <v>74</v>
      </c>
      <c r="M454" t="s">
        <v>78</v>
      </c>
      <c r="N454" t="s">
        <v>79</v>
      </c>
      <c r="O454" t="s">
        <v>74</v>
      </c>
      <c r="P454" t="s">
        <v>74</v>
      </c>
      <c r="Q454" t="s">
        <v>74</v>
      </c>
      <c r="R454" t="s">
        <v>74</v>
      </c>
      <c r="S454" t="s">
        <v>74</v>
      </c>
      <c r="T454" t="s">
        <v>8869</v>
      </c>
      <c r="U454" t="s">
        <v>8870</v>
      </c>
      <c r="V454" t="s">
        <v>8871</v>
      </c>
      <c r="W454" t="s">
        <v>8872</v>
      </c>
      <c r="X454" t="s">
        <v>8873</v>
      </c>
      <c r="Y454" t="s">
        <v>8874</v>
      </c>
      <c r="Z454" t="s">
        <v>8875</v>
      </c>
      <c r="AA454" t="s">
        <v>8876</v>
      </c>
      <c r="AB454" t="s">
        <v>8877</v>
      </c>
      <c r="AC454" t="s">
        <v>8878</v>
      </c>
      <c r="AD454" t="s">
        <v>8879</v>
      </c>
      <c r="AE454" t="s">
        <v>8880</v>
      </c>
      <c r="AF454" t="s">
        <v>74</v>
      </c>
      <c r="AG454">
        <v>71</v>
      </c>
      <c r="AH454">
        <v>0</v>
      </c>
      <c r="AI454">
        <v>0</v>
      </c>
      <c r="AJ454">
        <v>12</v>
      </c>
      <c r="AK454">
        <v>12</v>
      </c>
      <c r="AL454" t="s">
        <v>4271</v>
      </c>
      <c r="AM454" t="s">
        <v>1076</v>
      </c>
      <c r="AN454" t="s">
        <v>4272</v>
      </c>
      <c r="AO454" t="s">
        <v>7330</v>
      </c>
      <c r="AP454" t="s">
        <v>7331</v>
      </c>
      <c r="AQ454" t="s">
        <v>74</v>
      </c>
      <c r="AR454" t="s">
        <v>7332</v>
      </c>
      <c r="AS454" t="s">
        <v>7333</v>
      </c>
      <c r="AT454" t="s">
        <v>954</v>
      </c>
      <c r="AU454">
        <v>2024</v>
      </c>
      <c r="AV454">
        <v>297</v>
      </c>
      <c r="AW454" t="s">
        <v>74</v>
      </c>
      <c r="AX454" t="s">
        <v>74</v>
      </c>
      <c r="AY454" t="s">
        <v>74</v>
      </c>
      <c r="AZ454" t="s">
        <v>74</v>
      </c>
      <c r="BA454" t="s">
        <v>74</v>
      </c>
      <c r="BB454" t="s">
        <v>74</v>
      </c>
      <c r="BC454" t="s">
        <v>74</v>
      </c>
      <c r="BD454">
        <v>107112</v>
      </c>
      <c r="BE454" t="s">
        <v>8881</v>
      </c>
      <c r="BF454" t="str">
        <f>HYPERLINK("http://dx.doi.org/10.1016/j.atmosres.2023.107112","http://dx.doi.org/10.1016/j.atmosres.2023.107112")</f>
        <v>http://dx.doi.org/10.1016/j.atmosres.2023.107112</v>
      </c>
      <c r="BG454" t="s">
        <v>74</v>
      </c>
      <c r="BH454" t="s">
        <v>6982</v>
      </c>
      <c r="BI454">
        <v>14</v>
      </c>
      <c r="BJ454" t="s">
        <v>1522</v>
      </c>
      <c r="BK454" t="s">
        <v>100</v>
      </c>
      <c r="BL454" t="s">
        <v>1522</v>
      </c>
      <c r="BM454" t="s">
        <v>8882</v>
      </c>
      <c r="BN454" t="s">
        <v>74</v>
      </c>
      <c r="BO454" t="s">
        <v>103</v>
      </c>
      <c r="BP454" t="s">
        <v>74</v>
      </c>
      <c r="BQ454" t="s">
        <v>74</v>
      </c>
      <c r="BR454" t="s">
        <v>104</v>
      </c>
      <c r="BS454" t="s">
        <v>8883</v>
      </c>
      <c r="BT454" t="str">
        <f>HYPERLINK("https%3A%2F%2Fwww.webofscience.com%2Fwos%2Fwoscc%2Ffull-record%2FWOS:001114530800001","View Full Record in Web of Science")</f>
        <v>View Full Record in Web of Science</v>
      </c>
    </row>
    <row r="455" spans="1:72" x14ac:dyDescent="0.15">
      <c r="A455" t="s">
        <v>72</v>
      </c>
      <c r="B455" t="s">
        <v>8884</v>
      </c>
      <c r="C455" t="s">
        <v>74</v>
      </c>
      <c r="D455" t="s">
        <v>74</v>
      </c>
      <c r="E455" t="s">
        <v>74</v>
      </c>
      <c r="F455" t="s">
        <v>8885</v>
      </c>
      <c r="G455" t="s">
        <v>74</v>
      </c>
      <c r="H455" t="s">
        <v>74</v>
      </c>
      <c r="I455" t="s">
        <v>8886</v>
      </c>
      <c r="J455" t="s">
        <v>1195</v>
      </c>
      <c r="K455" t="s">
        <v>74</v>
      </c>
      <c r="L455" t="s">
        <v>74</v>
      </c>
      <c r="M455" t="s">
        <v>78</v>
      </c>
      <c r="N455" t="s">
        <v>79</v>
      </c>
      <c r="O455" t="s">
        <v>74</v>
      </c>
      <c r="P455" t="s">
        <v>74</v>
      </c>
      <c r="Q455" t="s">
        <v>74</v>
      </c>
      <c r="R455" t="s">
        <v>74</v>
      </c>
      <c r="S455" t="s">
        <v>74</v>
      </c>
      <c r="T455" t="s">
        <v>8887</v>
      </c>
      <c r="U455" t="s">
        <v>8888</v>
      </c>
      <c r="V455" t="s">
        <v>8889</v>
      </c>
      <c r="W455" t="s">
        <v>8890</v>
      </c>
      <c r="X455" t="s">
        <v>8891</v>
      </c>
      <c r="Y455" t="s">
        <v>8892</v>
      </c>
      <c r="Z455" t="s">
        <v>8893</v>
      </c>
      <c r="AA455" t="s">
        <v>74</v>
      </c>
      <c r="AB455" t="s">
        <v>8894</v>
      </c>
      <c r="AC455" t="s">
        <v>8895</v>
      </c>
      <c r="AD455" t="s">
        <v>8896</v>
      </c>
      <c r="AE455" t="s">
        <v>8897</v>
      </c>
      <c r="AF455" t="s">
        <v>74</v>
      </c>
      <c r="AG455">
        <v>58</v>
      </c>
      <c r="AH455">
        <v>0</v>
      </c>
      <c r="AI455">
        <v>0</v>
      </c>
      <c r="AJ455">
        <v>1</v>
      </c>
      <c r="AK455">
        <v>1</v>
      </c>
      <c r="AL455" t="s">
        <v>1208</v>
      </c>
      <c r="AM455" t="s">
        <v>1209</v>
      </c>
      <c r="AN455" t="s">
        <v>1210</v>
      </c>
      <c r="AO455" t="s">
        <v>1211</v>
      </c>
      <c r="AP455" t="s">
        <v>1212</v>
      </c>
      <c r="AQ455" t="s">
        <v>74</v>
      </c>
      <c r="AR455" t="s">
        <v>1213</v>
      </c>
      <c r="AS455" t="s">
        <v>1214</v>
      </c>
      <c r="AT455" t="s">
        <v>8779</v>
      </c>
      <c r="AU455">
        <v>2023</v>
      </c>
      <c r="AV455">
        <v>50</v>
      </c>
      <c r="AW455">
        <v>21</v>
      </c>
      <c r="AX455" t="s">
        <v>74</v>
      </c>
      <c r="AY455" t="s">
        <v>74</v>
      </c>
      <c r="AZ455" t="s">
        <v>74</v>
      </c>
      <c r="BA455" t="s">
        <v>74</v>
      </c>
      <c r="BB455" t="s">
        <v>74</v>
      </c>
      <c r="BC455" t="s">
        <v>74</v>
      </c>
      <c r="BD455" t="s">
        <v>8898</v>
      </c>
      <c r="BE455" t="s">
        <v>8899</v>
      </c>
      <c r="BF455" t="str">
        <f>HYPERLINK("http://dx.doi.org/10.1029/2023GL104547","http://dx.doi.org/10.1029/2023GL104547")</f>
        <v>http://dx.doi.org/10.1029/2023GL104547</v>
      </c>
      <c r="BG455" t="s">
        <v>74</v>
      </c>
      <c r="BH455" t="s">
        <v>74</v>
      </c>
      <c r="BI455">
        <v>10</v>
      </c>
      <c r="BJ455" t="s">
        <v>535</v>
      </c>
      <c r="BK455" t="s">
        <v>100</v>
      </c>
      <c r="BL455" t="s">
        <v>536</v>
      </c>
      <c r="BM455" t="s">
        <v>8900</v>
      </c>
      <c r="BN455" t="s">
        <v>74</v>
      </c>
      <c r="BO455" t="s">
        <v>103</v>
      </c>
      <c r="BP455" t="s">
        <v>74</v>
      </c>
      <c r="BQ455" t="s">
        <v>74</v>
      </c>
      <c r="BR455" t="s">
        <v>104</v>
      </c>
      <c r="BS455" t="s">
        <v>8901</v>
      </c>
      <c r="BT455" t="str">
        <f>HYPERLINK("https%3A%2F%2Fwww.webofscience.com%2Fwos%2Fwoscc%2Ffull-record%2FWOS:001093953900001","View Full Record in Web of Science")</f>
        <v>View Full Record in Web of Science</v>
      </c>
    </row>
    <row r="456" spans="1:72" x14ac:dyDescent="0.15">
      <c r="A456" t="s">
        <v>72</v>
      </c>
      <c r="B456" t="s">
        <v>7317</v>
      </c>
      <c r="C456" t="s">
        <v>74</v>
      </c>
      <c r="D456" t="s">
        <v>74</v>
      </c>
      <c r="E456" t="s">
        <v>74</v>
      </c>
      <c r="F456" t="s">
        <v>7318</v>
      </c>
      <c r="G456" t="s">
        <v>74</v>
      </c>
      <c r="H456" t="s">
        <v>74</v>
      </c>
      <c r="I456" t="s">
        <v>8902</v>
      </c>
      <c r="J456" t="s">
        <v>1195</v>
      </c>
      <c r="K456" t="s">
        <v>74</v>
      </c>
      <c r="L456" t="s">
        <v>74</v>
      </c>
      <c r="M456" t="s">
        <v>78</v>
      </c>
      <c r="N456" t="s">
        <v>79</v>
      </c>
      <c r="O456" t="s">
        <v>74</v>
      </c>
      <c r="P456" t="s">
        <v>74</v>
      </c>
      <c r="Q456" t="s">
        <v>74</v>
      </c>
      <c r="R456" t="s">
        <v>74</v>
      </c>
      <c r="S456" t="s">
        <v>74</v>
      </c>
      <c r="T456" t="s">
        <v>8903</v>
      </c>
      <c r="U456" t="s">
        <v>8904</v>
      </c>
      <c r="V456" t="s">
        <v>8905</v>
      </c>
      <c r="W456" t="s">
        <v>7324</v>
      </c>
      <c r="X456" t="s">
        <v>7325</v>
      </c>
      <c r="Y456" t="s">
        <v>8906</v>
      </c>
      <c r="Z456" t="s">
        <v>7327</v>
      </c>
      <c r="AA456" t="s">
        <v>8907</v>
      </c>
      <c r="AB456" t="s">
        <v>8908</v>
      </c>
      <c r="AC456" t="s">
        <v>8909</v>
      </c>
      <c r="AD456" t="s">
        <v>8910</v>
      </c>
      <c r="AE456" t="s">
        <v>8911</v>
      </c>
      <c r="AF456" t="s">
        <v>74</v>
      </c>
      <c r="AG456">
        <v>60</v>
      </c>
      <c r="AH456">
        <v>0</v>
      </c>
      <c r="AI456">
        <v>0</v>
      </c>
      <c r="AJ456">
        <v>7</v>
      </c>
      <c r="AK456">
        <v>7</v>
      </c>
      <c r="AL456" t="s">
        <v>1208</v>
      </c>
      <c r="AM456" t="s">
        <v>1209</v>
      </c>
      <c r="AN456" t="s">
        <v>1210</v>
      </c>
      <c r="AO456" t="s">
        <v>1211</v>
      </c>
      <c r="AP456" t="s">
        <v>1212</v>
      </c>
      <c r="AQ456" t="s">
        <v>74</v>
      </c>
      <c r="AR456" t="s">
        <v>1213</v>
      </c>
      <c r="AS456" t="s">
        <v>1214</v>
      </c>
      <c r="AT456" t="s">
        <v>8779</v>
      </c>
      <c r="AU456">
        <v>2023</v>
      </c>
      <c r="AV456">
        <v>50</v>
      </c>
      <c r="AW456">
        <v>21</v>
      </c>
      <c r="AX456" t="s">
        <v>74</v>
      </c>
      <c r="AY456" t="s">
        <v>74</v>
      </c>
      <c r="AZ456" t="s">
        <v>74</v>
      </c>
      <c r="BA456" t="s">
        <v>74</v>
      </c>
      <c r="BB456" t="s">
        <v>74</v>
      </c>
      <c r="BC456" t="s">
        <v>74</v>
      </c>
      <c r="BD456" t="s">
        <v>8912</v>
      </c>
      <c r="BE456" t="s">
        <v>8913</v>
      </c>
      <c r="BF456" t="str">
        <f>HYPERLINK("http://dx.doi.org/10.1029/2023GL105678","http://dx.doi.org/10.1029/2023GL105678")</f>
        <v>http://dx.doi.org/10.1029/2023GL105678</v>
      </c>
      <c r="BG456" t="s">
        <v>74</v>
      </c>
      <c r="BH456" t="s">
        <v>74</v>
      </c>
      <c r="BI456">
        <v>11</v>
      </c>
      <c r="BJ456" t="s">
        <v>535</v>
      </c>
      <c r="BK456" t="s">
        <v>100</v>
      </c>
      <c r="BL456" t="s">
        <v>536</v>
      </c>
      <c r="BM456" t="s">
        <v>8914</v>
      </c>
      <c r="BN456" t="s">
        <v>74</v>
      </c>
      <c r="BO456" t="s">
        <v>103</v>
      </c>
      <c r="BP456" t="s">
        <v>74</v>
      </c>
      <c r="BQ456" t="s">
        <v>74</v>
      </c>
      <c r="BR456" t="s">
        <v>104</v>
      </c>
      <c r="BS456" t="s">
        <v>8915</v>
      </c>
      <c r="BT456" t="str">
        <f>HYPERLINK("https%3A%2F%2Fwww.webofscience.com%2Fwos%2Fwoscc%2Ffull-record%2FWOS:001095945500001","View Full Record in Web of Science")</f>
        <v>View Full Record in Web of Science</v>
      </c>
    </row>
    <row r="457" spans="1:72" x14ac:dyDescent="0.15">
      <c r="A457" t="s">
        <v>72</v>
      </c>
      <c r="B457" t="s">
        <v>8916</v>
      </c>
      <c r="C457" t="s">
        <v>74</v>
      </c>
      <c r="D457" t="s">
        <v>74</v>
      </c>
      <c r="E457" t="s">
        <v>74</v>
      </c>
      <c r="F457" t="s">
        <v>8917</v>
      </c>
      <c r="G457" t="s">
        <v>74</v>
      </c>
      <c r="H457" t="s">
        <v>74</v>
      </c>
      <c r="I457" t="s">
        <v>8918</v>
      </c>
      <c r="J457" t="s">
        <v>1195</v>
      </c>
      <c r="K457" t="s">
        <v>74</v>
      </c>
      <c r="L457" t="s">
        <v>74</v>
      </c>
      <c r="M457" t="s">
        <v>78</v>
      </c>
      <c r="N457" t="s">
        <v>79</v>
      </c>
      <c r="O457" t="s">
        <v>74</v>
      </c>
      <c r="P457" t="s">
        <v>74</v>
      </c>
      <c r="Q457" t="s">
        <v>74</v>
      </c>
      <c r="R457" t="s">
        <v>74</v>
      </c>
      <c r="S457" t="s">
        <v>74</v>
      </c>
      <c r="T457" t="s">
        <v>8919</v>
      </c>
      <c r="U457" t="s">
        <v>8920</v>
      </c>
      <c r="V457" t="s">
        <v>8921</v>
      </c>
      <c r="W457" t="s">
        <v>8922</v>
      </c>
      <c r="X457" t="s">
        <v>8923</v>
      </c>
      <c r="Y457" t="s">
        <v>8924</v>
      </c>
      <c r="Z457" t="s">
        <v>8925</v>
      </c>
      <c r="AA457" t="s">
        <v>8926</v>
      </c>
      <c r="AB457" t="s">
        <v>8927</v>
      </c>
      <c r="AC457" t="s">
        <v>8928</v>
      </c>
      <c r="AD457" t="s">
        <v>8929</v>
      </c>
      <c r="AE457" t="s">
        <v>8930</v>
      </c>
      <c r="AF457" t="s">
        <v>74</v>
      </c>
      <c r="AG457">
        <v>49</v>
      </c>
      <c r="AH457">
        <v>1</v>
      </c>
      <c r="AI457">
        <v>1</v>
      </c>
      <c r="AJ457">
        <v>5</v>
      </c>
      <c r="AK457">
        <v>5</v>
      </c>
      <c r="AL457" t="s">
        <v>1208</v>
      </c>
      <c r="AM457" t="s">
        <v>1209</v>
      </c>
      <c r="AN457" t="s">
        <v>1210</v>
      </c>
      <c r="AO457" t="s">
        <v>1211</v>
      </c>
      <c r="AP457" t="s">
        <v>1212</v>
      </c>
      <c r="AQ457" t="s">
        <v>74</v>
      </c>
      <c r="AR457" t="s">
        <v>1213</v>
      </c>
      <c r="AS457" t="s">
        <v>1214</v>
      </c>
      <c r="AT457" t="s">
        <v>8779</v>
      </c>
      <c r="AU457">
        <v>2023</v>
      </c>
      <c r="AV457">
        <v>50</v>
      </c>
      <c r="AW457">
        <v>21</v>
      </c>
      <c r="AX457" t="s">
        <v>74</v>
      </c>
      <c r="AY457" t="s">
        <v>74</v>
      </c>
      <c r="AZ457" t="s">
        <v>74</v>
      </c>
      <c r="BA457" t="s">
        <v>74</v>
      </c>
      <c r="BB457" t="s">
        <v>74</v>
      </c>
      <c r="BC457" t="s">
        <v>74</v>
      </c>
      <c r="BD457" t="s">
        <v>8931</v>
      </c>
      <c r="BE457" t="s">
        <v>8932</v>
      </c>
      <c r="BF457" t="str">
        <f>HYPERLINK("http://dx.doi.org/10.1029/2023GL103820","http://dx.doi.org/10.1029/2023GL103820")</f>
        <v>http://dx.doi.org/10.1029/2023GL103820</v>
      </c>
      <c r="BG457" t="s">
        <v>74</v>
      </c>
      <c r="BH457" t="s">
        <v>74</v>
      </c>
      <c r="BI457">
        <v>9</v>
      </c>
      <c r="BJ457" t="s">
        <v>535</v>
      </c>
      <c r="BK457" t="s">
        <v>100</v>
      </c>
      <c r="BL457" t="s">
        <v>536</v>
      </c>
      <c r="BM457" t="s">
        <v>8933</v>
      </c>
      <c r="BN457" t="s">
        <v>74</v>
      </c>
      <c r="BO457" t="s">
        <v>3040</v>
      </c>
      <c r="BP457" t="s">
        <v>74</v>
      </c>
      <c r="BQ457" t="s">
        <v>74</v>
      </c>
      <c r="BR457" t="s">
        <v>104</v>
      </c>
      <c r="BS457" t="s">
        <v>8934</v>
      </c>
      <c r="BT457" t="str">
        <f>HYPERLINK("https%3A%2F%2Fwww.webofscience.com%2Fwos%2Fwoscc%2Ffull-record%2FWOS:001091206500001","View Full Record in Web of Science")</f>
        <v>View Full Record in Web of Science</v>
      </c>
    </row>
    <row r="458" spans="1:72" x14ac:dyDescent="0.15">
      <c r="A458" t="s">
        <v>72</v>
      </c>
      <c r="B458" t="s">
        <v>8935</v>
      </c>
      <c r="C458" t="s">
        <v>74</v>
      </c>
      <c r="D458" t="s">
        <v>74</v>
      </c>
      <c r="E458" t="s">
        <v>74</v>
      </c>
      <c r="F458" t="s">
        <v>8936</v>
      </c>
      <c r="G458" t="s">
        <v>74</v>
      </c>
      <c r="H458" t="s">
        <v>74</v>
      </c>
      <c r="I458" t="s">
        <v>8937</v>
      </c>
      <c r="J458" t="s">
        <v>1195</v>
      </c>
      <c r="K458" t="s">
        <v>74</v>
      </c>
      <c r="L458" t="s">
        <v>74</v>
      </c>
      <c r="M458" t="s">
        <v>78</v>
      </c>
      <c r="N458" t="s">
        <v>79</v>
      </c>
      <c r="O458" t="s">
        <v>74</v>
      </c>
      <c r="P458" t="s">
        <v>74</v>
      </c>
      <c r="Q458" t="s">
        <v>74</v>
      </c>
      <c r="R458" t="s">
        <v>74</v>
      </c>
      <c r="S458" t="s">
        <v>74</v>
      </c>
      <c r="T458" t="s">
        <v>8938</v>
      </c>
      <c r="U458" t="s">
        <v>8939</v>
      </c>
      <c r="V458" t="s">
        <v>8940</v>
      </c>
      <c r="W458" t="s">
        <v>8941</v>
      </c>
      <c r="X458" t="s">
        <v>8942</v>
      </c>
      <c r="Y458" t="s">
        <v>8943</v>
      </c>
      <c r="Z458" t="s">
        <v>8944</v>
      </c>
      <c r="AA458" t="s">
        <v>74</v>
      </c>
      <c r="AB458" t="s">
        <v>8945</v>
      </c>
      <c r="AC458" t="s">
        <v>8946</v>
      </c>
      <c r="AD458" t="s">
        <v>8946</v>
      </c>
      <c r="AE458" t="s">
        <v>8946</v>
      </c>
      <c r="AF458" t="s">
        <v>74</v>
      </c>
      <c r="AG458">
        <v>50</v>
      </c>
      <c r="AH458">
        <v>0</v>
      </c>
      <c r="AI458">
        <v>0</v>
      </c>
      <c r="AJ458">
        <v>1</v>
      </c>
      <c r="AK458">
        <v>1</v>
      </c>
      <c r="AL458" t="s">
        <v>1208</v>
      </c>
      <c r="AM458" t="s">
        <v>1209</v>
      </c>
      <c r="AN458" t="s">
        <v>1210</v>
      </c>
      <c r="AO458" t="s">
        <v>1211</v>
      </c>
      <c r="AP458" t="s">
        <v>1212</v>
      </c>
      <c r="AQ458" t="s">
        <v>74</v>
      </c>
      <c r="AR458" t="s">
        <v>1213</v>
      </c>
      <c r="AS458" t="s">
        <v>1214</v>
      </c>
      <c r="AT458" t="s">
        <v>8779</v>
      </c>
      <c r="AU458">
        <v>2023</v>
      </c>
      <c r="AV458">
        <v>50</v>
      </c>
      <c r="AW458">
        <v>21</v>
      </c>
      <c r="AX458" t="s">
        <v>74</v>
      </c>
      <c r="AY458" t="s">
        <v>74</v>
      </c>
      <c r="AZ458" t="s">
        <v>74</v>
      </c>
      <c r="BA458" t="s">
        <v>74</v>
      </c>
      <c r="BB458" t="s">
        <v>74</v>
      </c>
      <c r="BC458" t="s">
        <v>74</v>
      </c>
      <c r="BD458" t="s">
        <v>8947</v>
      </c>
      <c r="BE458" t="s">
        <v>8948</v>
      </c>
      <c r="BF458" t="str">
        <f>HYPERLINK("http://dx.doi.org/10.1029/2023GL105033","http://dx.doi.org/10.1029/2023GL105033")</f>
        <v>http://dx.doi.org/10.1029/2023GL105033</v>
      </c>
      <c r="BG458" t="s">
        <v>74</v>
      </c>
      <c r="BH458" t="s">
        <v>74</v>
      </c>
      <c r="BI458">
        <v>10</v>
      </c>
      <c r="BJ458" t="s">
        <v>535</v>
      </c>
      <c r="BK458" t="s">
        <v>100</v>
      </c>
      <c r="BL458" t="s">
        <v>536</v>
      </c>
      <c r="BM458" t="s">
        <v>8949</v>
      </c>
      <c r="BN458" t="s">
        <v>74</v>
      </c>
      <c r="BO458" t="s">
        <v>103</v>
      </c>
      <c r="BP458" t="s">
        <v>74</v>
      </c>
      <c r="BQ458" t="s">
        <v>74</v>
      </c>
      <c r="BR458" t="s">
        <v>104</v>
      </c>
      <c r="BS458" t="s">
        <v>8950</v>
      </c>
      <c r="BT458" t="str">
        <f>HYPERLINK("https%3A%2F%2Fwww.webofscience.com%2Fwos%2Fwoscc%2Ffull-record%2FWOS:001089955300001","View Full Record in Web of Science")</f>
        <v>View Full Record in Web of Science</v>
      </c>
    </row>
    <row r="459" spans="1:72" x14ac:dyDescent="0.15">
      <c r="A459" t="s">
        <v>72</v>
      </c>
      <c r="B459" t="s">
        <v>8951</v>
      </c>
      <c r="C459" t="s">
        <v>74</v>
      </c>
      <c r="D459" t="s">
        <v>74</v>
      </c>
      <c r="E459" t="s">
        <v>74</v>
      </c>
      <c r="F459" t="s">
        <v>8952</v>
      </c>
      <c r="G459" t="s">
        <v>74</v>
      </c>
      <c r="H459" t="s">
        <v>74</v>
      </c>
      <c r="I459" t="s">
        <v>8953</v>
      </c>
      <c r="J459" t="s">
        <v>1195</v>
      </c>
      <c r="K459" t="s">
        <v>74</v>
      </c>
      <c r="L459" t="s">
        <v>74</v>
      </c>
      <c r="M459" t="s">
        <v>78</v>
      </c>
      <c r="N459" t="s">
        <v>79</v>
      </c>
      <c r="O459" t="s">
        <v>74</v>
      </c>
      <c r="P459" t="s">
        <v>74</v>
      </c>
      <c r="Q459" t="s">
        <v>74</v>
      </c>
      <c r="R459" t="s">
        <v>74</v>
      </c>
      <c r="S459" t="s">
        <v>74</v>
      </c>
      <c r="T459" t="s">
        <v>8954</v>
      </c>
      <c r="U459" t="s">
        <v>8955</v>
      </c>
      <c r="V459" t="s">
        <v>8956</v>
      </c>
      <c r="W459" t="s">
        <v>8957</v>
      </c>
      <c r="X459" t="s">
        <v>8958</v>
      </c>
      <c r="Y459" t="s">
        <v>8959</v>
      </c>
      <c r="Z459" t="s">
        <v>8960</v>
      </c>
      <c r="AA459" t="s">
        <v>8961</v>
      </c>
      <c r="AB459" t="s">
        <v>8962</v>
      </c>
      <c r="AC459" t="s">
        <v>8963</v>
      </c>
      <c r="AD459" t="s">
        <v>8964</v>
      </c>
      <c r="AE459" t="s">
        <v>8965</v>
      </c>
      <c r="AF459" t="s">
        <v>74</v>
      </c>
      <c r="AG459">
        <v>85</v>
      </c>
      <c r="AH459">
        <v>0</v>
      </c>
      <c r="AI459">
        <v>0</v>
      </c>
      <c r="AJ459">
        <v>9</v>
      </c>
      <c r="AK459">
        <v>9</v>
      </c>
      <c r="AL459" t="s">
        <v>1208</v>
      </c>
      <c r="AM459" t="s">
        <v>1209</v>
      </c>
      <c r="AN459" t="s">
        <v>1210</v>
      </c>
      <c r="AO459" t="s">
        <v>1211</v>
      </c>
      <c r="AP459" t="s">
        <v>1212</v>
      </c>
      <c r="AQ459" t="s">
        <v>74</v>
      </c>
      <c r="AR459" t="s">
        <v>1213</v>
      </c>
      <c r="AS459" t="s">
        <v>1214</v>
      </c>
      <c r="AT459" t="s">
        <v>8779</v>
      </c>
      <c r="AU459">
        <v>2023</v>
      </c>
      <c r="AV459">
        <v>50</v>
      </c>
      <c r="AW459">
        <v>21</v>
      </c>
      <c r="AX459" t="s">
        <v>74</v>
      </c>
      <c r="AY459" t="s">
        <v>74</v>
      </c>
      <c r="AZ459" t="s">
        <v>74</v>
      </c>
      <c r="BA459" t="s">
        <v>74</v>
      </c>
      <c r="BB459" t="s">
        <v>74</v>
      </c>
      <c r="BC459" t="s">
        <v>74</v>
      </c>
      <c r="BD459" t="s">
        <v>8966</v>
      </c>
      <c r="BE459" t="s">
        <v>8967</v>
      </c>
      <c r="BF459" t="str">
        <f>HYPERLINK("http://dx.doi.org/10.1029/2023GL104489","http://dx.doi.org/10.1029/2023GL104489")</f>
        <v>http://dx.doi.org/10.1029/2023GL104489</v>
      </c>
      <c r="BG459" t="s">
        <v>74</v>
      </c>
      <c r="BH459" t="s">
        <v>74</v>
      </c>
      <c r="BI459">
        <v>12</v>
      </c>
      <c r="BJ459" t="s">
        <v>535</v>
      </c>
      <c r="BK459" t="s">
        <v>100</v>
      </c>
      <c r="BL459" t="s">
        <v>536</v>
      </c>
      <c r="BM459" t="s">
        <v>8968</v>
      </c>
      <c r="BN459" t="s">
        <v>74</v>
      </c>
      <c r="BO459" t="s">
        <v>3456</v>
      </c>
      <c r="BP459" t="s">
        <v>74</v>
      </c>
      <c r="BQ459" t="s">
        <v>74</v>
      </c>
      <c r="BR459" t="s">
        <v>104</v>
      </c>
      <c r="BS459" t="s">
        <v>8969</v>
      </c>
      <c r="BT459" t="str">
        <f>HYPERLINK("https%3A%2F%2Fwww.webofscience.com%2Fwos%2Fwoscc%2Ffull-record%2FWOS:001089956100001","View Full Record in Web of Science")</f>
        <v>View Full Record in Web of Science</v>
      </c>
    </row>
    <row r="460" spans="1:72" x14ac:dyDescent="0.15">
      <c r="A460" t="s">
        <v>72</v>
      </c>
      <c r="B460" t="s">
        <v>8970</v>
      </c>
      <c r="C460" t="s">
        <v>74</v>
      </c>
      <c r="D460" t="s">
        <v>74</v>
      </c>
      <c r="E460" t="s">
        <v>74</v>
      </c>
      <c r="F460" t="s">
        <v>8971</v>
      </c>
      <c r="G460" t="s">
        <v>74</v>
      </c>
      <c r="H460" t="s">
        <v>74</v>
      </c>
      <c r="I460" t="s">
        <v>8972</v>
      </c>
      <c r="J460" t="s">
        <v>1195</v>
      </c>
      <c r="K460" t="s">
        <v>74</v>
      </c>
      <c r="L460" t="s">
        <v>74</v>
      </c>
      <c r="M460" t="s">
        <v>78</v>
      </c>
      <c r="N460" t="s">
        <v>79</v>
      </c>
      <c r="O460" t="s">
        <v>74</v>
      </c>
      <c r="P460" t="s">
        <v>74</v>
      </c>
      <c r="Q460" t="s">
        <v>74</v>
      </c>
      <c r="R460" t="s">
        <v>74</v>
      </c>
      <c r="S460" t="s">
        <v>74</v>
      </c>
      <c r="T460" t="s">
        <v>74</v>
      </c>
      <c r="U460" t="s">
        <v>8973</v>
      </c>
      <c r="V460" t="s">
        <v>8974</v>
      </c>
      <c r="W460" t="s">
        <v>8975</v>
      </c>
      <c r="X460" t="s">
        <v>8976</v>
      </c>
      <c r="Y460" t="s">
        <v>8977</v>
      </c>
      <c r="Z460" t="s">
        <v>8978</v>
      </c>
      <c r="AA460" t="s">
        <v>8979</v>
      </c>
      <c r="AB460" t="s">
        <v>8980</v>
      </c>
      <c r="AC460" t="s">
        <v>8981</v>
      </c>
      <c r="AD460" t="s">
        <v>8982</v>
      </c>
      <c r="AE460" t="s">
        <v>8983</v>
      </c>
      <c r="AF460" t="s">
        <v>74</v>
      </c>
      <c r="AG460">
        <v>86</v>
      </c>
      <c r="AH460">
        <v>0</v>
      </c>
      <c r="AI460">
        <v>0</v>
      </c>
      <c r="AJ460">
        <v>5</v>
      </c>
      <c r="AK460">
        <v>5</v>
      </c>
      <c r="AL460" t="s">
        <v>1208</v>
      </c>
      <c r="AM460" t="s">
        <v>1209</v>
      </c>
      <c r="AN460" t="s">
        <v>1210</v>
      </c>
      <c r="AO460" t="s">
        <v>1211</v>
      </c>
      <c r="AP460" t="s">
        <v>1212</v>
      </c>
      <c r="AQ460" t="s">
        <v>74</v>
      </c>
      <c r="AR460" t="s">
        <v>1213</v>
      </c>
      <c r="AS460" t="s">
        <v>1214</v>
      </c>
      <c r="AT460" t="s">
        <v>8779</v>
      </c>
      <c r="AU460">
        <v>2023</v>
      </c>
      <c r="AV460">
        <v>50</v>
      </c>
      <c r="AW460">
        <v>21</v>
      </c>
      <c r="AX460" t="s">
        <v>74</v>
      </c>
      <c r="AY460" t="s">
        <v>74</v>
      </c>
      <c r="AZ460" t="s">
        <v>74</v>
      </c>
      <c r="BA460" t="s">
        <v>74</v>
      </c>
      <c r="BB460" t="s">
        <v>74</v>
      </c>
      <c r="BC460" t="s">
        <v>74</v>
      </c>
      <c r="BD460" t="s">
        <v>8984</v>
      </c>
      <c r="BE460" t="s">
        <v>8985</v>
      </c>
      <c r="BF460" t="str">
        <f>HYPERLINK("http://dx.doi.org/10.1029/2023GL104666","http://dx.doi.org/10.1029/2023GL104666")</f>
        <v>http://dx.doi.org/10.1029/2023GL104666</v>
      </c>
      <c r="BG460" t="s">
        <v>74</v>
      </c>
      <c r="BH460" t="s">
        <v>74</v>
      </c>
      <c r="BI460">
        <v>12</v>
      </c>
      <c r="BJ460" t="s">
        <v>535</v>
      </c>
      <c r="BK460" t="s">
        <v>100</v>
      </c>
      <c r="BL460" t="s">
        <v>536</v>
      </c>
      <c r="BM460" t="s">
        <v>8986</v>
      </c>
      <c r="BN460" t="s">
        <v>74</v>
      </c>
      <c r="BO460" t="s">
        <v>103</v>
      </c>
      <c r="BP460" t="s">
        <v>74</v>
      </c>
      <c r="BQ460" t="s">
        <v>74</v>
      </c>
      <c r="BR460" t="s">
        <v>104</v>
      </c>
      <c r="BS460" t="s">
        <v>8987</v>
      </c>
      <c r="BT460" t="str">
        <f>HYPERLINK("https%3A%2F%2Fwww.webofscience.com%2Fwos%2Fwoscc%2Ffull-record%2FWOS:001088299200001","View Full Record in Web of Science")</f>
        <v>View Full Record in Web of Science</v>
      </c>
    </row>
    <row r="461" spans="1:72" x14ac:dyDescent="0.15">
      <c r="A461" t="s">
        <v>72</v>
      </c>
      <c r="B461" t="s">
        <v>8988</v>
      </c>
      <c r="C461" t="s">
        <v>74</v>
      </c>
      <c r="D461" t="s">
        <v>74</v>
      </c>
      <c r="E461" t="s">
        <v>74</v>
      </c>
      <c r="F461" t="s">
        <v>8989</v>
      </c>
      <c r="G461" t="s">
        <v>74</v>
      </c>
      <c r="H461" t="s">
        <v>74</v>
      </c>
      <c r="I461" t="s">
        <v>8990</v>
      </c>
      <c r="J461" t="s">
        <v>3323</v>
      </c>
      <c r="K461" t="s">
        <v>74</v>
      </c>
      <c r="L461" t="s">
        <v>74</v>
      </c>
      <c r="M461" t="s">
        <v>78</v>
      </c>
      <c r="N461" t="s">
        <v>79</v>
      </c>
      <c r="O461" t="s">
        <v>74</v>
      </c>
      <c r="P461" t="s">
        <v>74</v>
      </c>
      <c r="Q461" t="s">
        <v>74</v>
      </c>
      <c r="R461" t="s">
        <v>74</v>
      </c>
      <c r="S461" t="s">
        <v>74</v>
      </c>
      <c r="T461" t="s">
        <v>74</v>
      </c>
      <c r="U461" t="s">
        <v>8991</v>
      </c>
      <c r="V461" t="s">
        <v>8992</v>
      </c>
      <c r="W461" t="s">
        <v>8993</v>
      </c>
      <c r="X461" t="s">
        <v>8994</v>
      </c>
      <c r="Y461" t="s">
        <v>8995</v>
      </c>
      <c r="Z461" t="s">
        <v>8996</v>
      </c>
      <c r="AA461" t="s">
        <v>8997</v>
      </c>
      <c r="AB461" t="s">
        <v>8998</v>
      </c>
      <c r="AC461" t="s">
        <v>8999</v>
      </c>
      <c r="AD461" t="s">
        <v>9000</v>
      </c>
      <c r="AE461" t="s">
        <v>9001</v>
      </c>
      <c r="AF461" t="s">
        <v>74</v>
      </c>
      <c r="AG461">
        <v>109</v>
      </c>
      <c r="AH461">
        <v>0</v>
      </c>
      <c r="AI461">
        <v>0</v>
      </c>
      <c r="AJ461">
        <v>9</v>
      </c>
      <c r="AK461">
        <v>9</v>
      </c>
      <c r="AL461" t="s">
        <v>1838</v>
      </c>
      <c r="AM461" t="s">
        <v>1839</v>
      </c>
      <c r="AN461" t="s">
        <v>1840</v>
      </c>
      <c r="AO461" t="s">
        <v>3335</v>
      </c>
      <c r="AP461" t="s">
        <v>3336</v>
      </c>
      <c r="AQ461" t="s">
        <v>74</v>
      </c>
      <c r="AR461" t="s">
        <v>3337</v>
      </c>
      <c r="AS461" t="s">
        <v>3338</v>
      </c>
      <c r="AT461" t="s">
        <v>9002</v>
      </c>
      <c r="AU461">
        <v>2023</v>
      </c>
      <c r="AV461">
        <v>19</v>
      </c>
      <c r="AW461">
        <v>11</v>
      </c>
      <c r="AX461" t="s">
        <v>74</v>
      </c>
      <c r="AY461" t="s">
        <v>74</v>
      </c>
      <c r="AZ461" t="s">
        <v>74</v>
      </c>
      <c r="BA461" t="s">
        <v>74</v>
      </c>
      <c r="BB461">
        <v>2287</v>
      </c>
      <c r="BC461">
        <v>2311</v>
      </c>
      <c r="BD461" t="s">
        <v>74</v>
      </c>
      <c r="BE461" t="s">
        <v>9003</v>
      </c>
      <c r="BF461" t="str">
        <f>HYPERLINK("http://dx.doi.org/10.5194/cp-19-2287-2023","http://dx.doi.org/10.5194/cp-19-2287-2023")</f>
        <v>http://dx.doi.org/10.5194/cp-19-2287-2023</v>
      </c>
      <c r="BG461" t="s">
        <v>74</v>
      </c>
      <c r="BH461" t="s">
        <v>74</v>
      </c>
      <c r="BI461">
        <v>25</v>
      </c>
      <c r="BJ461" t="s">
        <v>2405</v>
      </c>
      <c r="BK461" t="s">
        <v>100</v>
      </c>
      <c r="BL461" t="s">
        <v>2406</v>
      </c>
      <c r="BM461" t="s">
        <v>9004</v>
      </c>
      <c r="BN461" t="s">
        <v>74</v>
      </c>
      <c r="BO461" t="s">
        <v>349</v>
      </c>
      <c r="BP461" t="s">
        <v>74</v>
      </c>
      <c r="BQ461" t="s">
        <v>74</v>
      </c>
      <c r="BR461" t="s">
        <v>104</v>
      </c>
      <c r="BS461" t="s">
        <v>9005</v>
      </c>
      <c r="BT461" t="str">
        <f>HYPERLINK("https%3A%2F%2Fwww.webofscience.com%2Fwos%2Fwoscc%2Ffull-record%2FWOS:001169036900001","View Full Record in Web of Science")</f>
        <v>View Full Record in Web of Science</v>
      </c>
    </row>
    <row r="462" spans="1:72" x14ac:dyDescent="0.15">
      <c r="A462" t="s">
        <v>72</v>
      </c>
      <c r="B462" t="s">
        <v>9006</v>
      </c>
      <c r="C462" t="s">
        <v>74</v>
      </c>
      <c r="D462" t="s">
        <v>74</v>
      </c>
      <c r="E462" t="s">
        <v>74</v>
      </c>
      <c r="F462" t="s">
        <v>9007</v>
      </c>
      <c r="G462" t="s">
        <v>74</v>
      </c>
      <c r="H462" t="s">
        <v>74</v>
      </c>
      <c r="I462" t="s">
        <v>9008</v>
      </c>
      <c r="J462" t="s">
        <v>2809</v>
      </c>
      <c r="K462" t="s">
        <v>74</v>
      </c>
      <c r="L462" t="s">
        <v>74</v>
      </c>
      <c r="M462" t="s">
        <v>78</v>
      </c>
      <c r="N462" t="s">
        <v>79</v>
      </c>
      <c r="O462" t="s">
        <v>74</v>
      </c>
      <c r="P462" t="s">
        <v>74</v>
      </c>
      <c r="Q462" t="s">
        <v>74</v>
      </c>
      <c r="R462" t="s">
        <v>74</v>
      </c>
      <c r="S462" t="s">
        <v>74</v>
      </c>
      <c r="T462" t="s">
        <v>74</v>
      </c>
      <c r="U462" t="s">
        <v>9009</v>
      </c>
      <c r="V462" t="s">
        <v>9010</v>
      </c>
      <c r="W462" t="s">
        <v>9011</v>
      </c>
      <c r="X462" t="s">
        <v>9012</v>
      </c>
      <c r="Y462" t="s">
        <v>9013</v>
      </c>
      <c r="Z462" t="s">
        <v>9014</v>
      </c>
      <c r="AA462" t="s">
        <v>74</v>
      </c>
      <c r="AB462" t="s">
        <v>9015</v>
      </c>
      <c r="AC462" t="s">
        <v>9016</v>
      </c>
      <c r="AD462" t="s">
        <v>9017</v>
      </c>
      <c r="AE462" t="s">
        <v>9018</v>
      </c>
      <c r="AF462" t="s">
        <v>74</v>
      </c>
      <c r="AG462">
        <v>45</v>
      </c>
      <c r="AH462">
        <v>0</v>
      </c>
      <c r="AI462">
        <v>0</v>
      </c>
      <c r="AJ462">
        <v>0</v>
      </c>
      <c r="AK462">
        <v>0</v>
      </c>
      <c r="AL462" t="s">
        <v>1838</v>
      </c>
      <c r="AM462" t="s">
        <v>1839</v>
      </c>
      <c r="AN462" t="s">
        <v>1840</v>
      </c>
      <c r="AO462" t="s">
        <v>2818</v>
      </c>
      <c r="AP462" t="s">
        <v>2819</v>
      </c>
      <c r="AQ462" t="s">
        <v>74</v>
      </c>
      <c r="AR462" t="s">
        <v>2809</v>
      </c>
      <c r="AS462" t="s">
        <v>2820</v>
      </c>
      <c r="AT462" t="s">
        <v>9002</v>
      </c>
      <c r="AU462">
        <v>2023</v>
      </c>
      <c r="AV462">
        <v>17</v>
      </c>
      <c r="AW462">
        <v>11</v>
      </c>
      <c r="AX462" t="s">
        <v>74</v>
      </c>
      <c r="AY462" t="s">
        <v>74</v>
      </c>
      <c r="AZ462" t="s">
        <v>74</v>
      </c>
      <c r="BA462" t="s">
        <v>74</v>
      </c>
      <c r="BB462">
        <v>4837</v>
      </c>
      <c r="BC462">
        <v>4851</v>
      </c>
      <c r="BD462" t="s">
        <v>74</v>
      </c>
      <c r="BE462" t="s">
        <v>9019</v>
      </c>
      <c r="BF462" t="str">
        <f>HYPERLINK("http://dx.doi.org/10.5194/tc-17-4837-2023","http://dx.doi.org/10.5194/tc-17-4837-2023")</f>
        <v>http://dx.doi.org/10.5194/tc-17-4837-2023</v>
      </c>
      <c r="BG462" t="s">
        <v>74</v>
      </c>
      <c r="BH462" t="s">
        <v>74</v>
      </c>
      <c r="BI462">
        <v>15</v>
      </c>
      <c r="BJ462" t="s">
        <v>984</v>
      </c>
      <c r="BK462" t="s">
        <v>100</v>
      </c>
      <c r="BL462" t="s">
        <v>985</v>
      </c>
      <c r="BM462" t="s">
        <v>9020</v>
      </c>
      <c r="BN462" t="s">
        <v>74</v>
      </c>
      <c r="BO462" t="s">
        <v>131</v>
      </c>
      <c r="BP462" t="s">
        <v>74</v>
      </c>
      <c r="BQ462" t="s">
        <v>74</v>
      </c>
      <c r="BR462" t="s">
        <v>104</v>
      </c>
      <c r="BS462" t="s">
        <v>9021</v>
      </c>
      <c r="BT462" t="str">
        <f>HYPERLINK("https%3A%2F%2Fwww.webofscience.com%2Fwos%2Fwoscc%2Ffull-record%2FWOS:001169018900001","View Full Record in Web of Science")</f>
        <v>View Full Record in Web of Science</v>
      </c>
    </row>
    <row r="463" spans="1:72" x14ac:dyDescent="0.15">
      <c r="A463" t="s">
        <v>72</v>
      </c>
      <c r="B463" t="s">
        <v>9022</v>
      </c>
      <c r="C463" t="s">
        <v>74</v>
      </c>
      <c r="D463" t="s">
        <v>74</v>
      </c>
      <c r="E463" t="s">
        <v>74</v>
      </c>
      <c r="F463" t="s">
        <v>9023</v>
      </c>
      <c r="G463" t="s">
        <v>74</v>
      </c>
      <c r="H463" t="s">
        <v>74</v>
      </c>
      <c r="I463" t="s">
        <v>9024</v>
      </c>
      <c r="J463" t="s">
        <v>9025</v>
      </c>
      <c r="K463" t="s">
        <v>74</v>
      </c>
      <c r="L463" t="s">
        <v>74</v>
      </c>
      <c r="M463" t="s">
        <v>78</v>
      </c>
      <c r="N463" t="s">
        <v>79</v>
      </c>
      <c r="O463" t="s">
        <v>74</v>
      </c>
      <c r="P463" t="s">
        <v>74</v>
      </c>
      <c r="Q463" t="s">
        <v>74</v>
      </c>
      <c r="R463" t="s">
        <v>74</v>
      </c>
      <c r="S463" t="s">
        <v>74</v>
      </c>
      <c r="T463" t="s">
        <v>9026</v>
      </c>
      <c r="U463" t="s">
        <v>9027</v>
      </c>
      <c r="V463" t="s">
        <v>9028</v>
      </c>
      <c r="W463" t="s">
        <v>9029</v>
      </c>
      <c r="X463" t="s">
        <v>9030</v>
      </c>
      <c r="Y463" t="s">
        <v>9031</v>
      </c>
      <c r="Z463" t="s">
        <v>9032</v>
      </c>
      <c r="AA463" t="s">
        <v>9033</v>
      </c>
      <c r="AB463" t="s">
        <v>9034</v>
      </c>
      <c r="AC463" t="s">
        <v>74</v>
      </c>
      <c r="AD463" t="s">
        <v>74</v>
      </c>
      <c r="AE463" t="s">
        <v>74</v>
      </c>
      <c r="AF463" t="s">
        <v>74</v>
      </c>
      <c r="AG463">
        <v>128</v>
      </c>
      <c r="AH463">
        <v>0</v>
      </c>
      <c r="AI463">
        <v>0</v>
      </c>
      <c r="AJ463">
        <v>6</v>
      </c>
      <c r="AK463">
        <v>6</v>
      </c>
      <c r="AL463" t="s">
        <v>975</v>
      </c>
      <c r="AM463" t="s">
        <v>976</v>
      </c>
      <c r="AN463" t="s">
        <v>977</v>
      </c>
      <c r="AO463" t="s">
        <v>9035</v>
      </c>
      <c r="AP463" t="s">
        <v>9036</v>
      </c>
      <c r="AQ463" t="s">
        <v>74</v>
      </c>
      <c r="AR463" t="s">
        <v>9037</v>
      </c>
      <c r="AS463" t="s">
        <v>9038</v>
      </c>
      <c r="AT463" t="s">
        <v>954</v>
      </c>
      <c r="AU463">
        <v>2024</v>
      </c>
      <c r="AV463">
        <v>259</v>
      </c>
      <c r="AW463" t="s">
        <v>74</v>
      </c>
      <c r="AX463" t="s">
        <v>74</v>
      </c>
      <c r="AY463" t="s">
        <v>74</v>
      </c>
      <c r="AZ463" t="s">
        <v>74</v>
      </c>
      <c r="BA463" t="s">
        <v>74</v>
      </c>
      <c r="BB463" t="s">
        <v>74</v>
      </c>
      <c r="BC463" t="s">
        <v>74</v>
      </c>
      <c r="BD463">
        <v>105916</v>
      </c>
      <c r="BE463" t="s">
        <v>9039</v>
      </c>
      <c r="BF463" t="str">
        <f>HYPERLINK("http://dx.doi.org/10.1016/j.jseaes.2023.105916","http://dx.doi.org/10.1016/j.jseaes.2023.105916")</f>
        <v>http://dx.doi.org/10.1016/j.jseaes.2023.105916</v>
      </c>
      <c r="BG463" t="s">
        <v>74</v>
      </c>
      <c r="BH463" t="s">
        <v>6982</v>
      </c>
      <c r="BI463">
        <v>12</v>
      </c>
      <c r="BJ463" t="s">
        <v>535</v>
      </c>
      <c r="BK463" t="s">
        <v>100</v>
      </c>
      <c r="BL463" t="s">
        <v>536</v>
      </c>
      <c r="BM463" t="s">
        <v>9040</v>
      </c>
      <c r="BN463" t="s">
        <v>74</v>
      </c>
      <c r="BO463" t="s">
        <v>74</v>
      </c>
      <c r="BP463" t="s">
        <v>74</v>
      </c>
      <c r="BQ463" t="s">
        <v>74</v>
      </c>
      <c r="BR463" t="s">
        <v>104</v>
      </c>
      <c r="BS463" t="s">
        <v>9041</v>
      </c>
      <c r="BT463" t="str">
        <f>HYPERLINK("https%3A%2F%2Fwww.webofscience.com%2Fwos%2Fwoscc%2Ffull-record%2FWOS:001160674700001","View Full Record in Web of Science")</f>
        <v>View Full Record in Web of Science</v>
      </c>
    </row>
    <row r="464" spans="1:72" x14ac:dyDescent="0.15">
      <c r="A464" t="s">
        <v>72</v>
      </c>
      <c r="B464" t="s">
        <v>9042</v>
      </c>
      <c r="C464" t="s">
        <v>74</v>
      </c>
      <c r="D464" t="s">
        <v>74</v>
      </c>
      <c r="E464" t="s">
        <v>74</v>
      </c>
      <c r="F464" t="s">
        <v>9043</v>
      </c>
      <c r="G464" t="s">
        <v>74</v>
      </c>
      <c r="H464" t="s">
        <v>74</v>
      </c>
      <c r="I464" t="s">
        <v>9044</v>
      </c>
      <c r="J464" t="s">
        <v>2668</v>
      </c>
      <c r="K464" t="s">
        <v>74</v>
      </c>
      <c r="L464" t="s">
        <v>74</v>
      </c>
      <c r="M464" t="s">
        <v>78</v>
      </c>
      <c r="N464" t="s">
        <v>79</v>
      </c>
      <c r="O464" t="s">
        <v>74</v>
      </c>
      <c r="P464" t="s">
        <v>74</v>
      </c>
      <c r="Q464" t="s">
        <v>74</v>
      </c>
      <c r="R464" t="s">
        <v>74</v>
      </c>
      <c r="S464" t="s">
        <v>74</v>
      </c>
      <c r="T464" t="s">
        <v>9045</v>
      </c>
      <c r="U464" t="s">
        <v>9046</v>
      </c>
      <c r="V464" t="s">
        <v>9047</v>
      </c>
      <c r="W464" t="s">
        <v>9048</v>
      </c>
      <c r="X464" t="s">
        <v>9049</v>
      </c>
      <c r="Y464" t="s">
        <v>9050</v>
      </c>
      <c r="Z464" t="s">
        <v>9051</v>
      </c>
      <c r="AA464" t="s">
        <v>9052</v>
      </c>
      <c r="AB464" t="s">
        <v>9053</v>
      </c>
      <c r="AC464" t="s">
        <v>9054</v>
      </c>
      <c r="AD464" t="s">
        <v>9055</v>
      </c>
      <c r="AE464" t="s">
        <v>9056</v>
      </c>
      <c r="AF464" t="s">
        <v>74</v>
      </c>
      <c r="AG464">
        <v>93</v>
      </c>
      <c r="AH464">
        <v>0</v>
      </c>
      <c r="AI464">
        <v>0</v>
      </c>
      <c r="AJ464">
        <v>1</v>
      </c>
      <c r="AK464">
        <v>1</v>
      </c>
      <c r="AL464" t="s">
        <v>947</v>
      </c>
      <c r="AM464" t="s">
        <v>948</v>
      </c>
      <c r="AN464" t="s">
        <v>949</v>
      </c>
      <c r="AO464" t="s">
        <v>2679</v>
      </c>
      <c r="AP464" t="s">
        <v>2680</v>
      </c>
      <c r="AQ464" t="s">
        <v>74</v>
      </c>
      <c r="AR464" t="s">
        <v>2681</v>
      </c>
      <c r="AS464" t="s">
        <v>2682</v>
      </c>
      <c r="AT464" t="s">
        <v>9002</v>
      </c>
      <c r="AU464">
        <v>2023</v>
      </c>
      <c r="AV464">
        <v>630</v>
      </c>
      <c r="AW464" t="s">
        <v>74</v>
      </c>
      <c r="AX464" t="s">
        <v>74</v>
      </c>
      <c r="AY464" t="s">
        <v>74</v>
      </c>
      <c r="AZ464" t="s">
        <v>74</v>
      </c>
      <c r="BA464" t="s">
        <v>74</v>
      </c>
      <c r="BB464" t="s">
        <v>74</v>
      </c>
      <c r="BC464" t="s">
        <v>74</v>
      </c>
      <c r="BD464">
        <v>111808</v>
      </c>
      <c r="BE464" t="s">
        <v>9057</v>
      </c>
      <c r="BF464" t="str">
        <f>HYPERLINK("http://dx.doi.org/10.1016/j.palaeo.2023.111808","http://dx.doi.org/10.1016/j.palaeo.2023.111808")</f>
        <v>http://dx.doi.org/10.1016/j.palaeo.2023.111808</v>
      </c>
      <c r="BG464" t="s">
        <v>74</v>
      </c>
      <c r="BH464" t="s">
        <v>74</v>
      </c>
      <c r="BI464">
        <v>14</v>
      </c>
      <c r="BJ464" t="s">
        <v>2684</v>
      </c>
      <c r="BK464" t="s">
        <v>100</v>
      </c>
      <c r="BL464" t="s">
        <v>2685</v>
      </c>
      <c r="BM464" t="s">
        <v>9058</v>
      </c>
      <c r="BN464" t="s">
        <v>74</v>
      </c>
      <c r="BO464" t="s">
        <v>74</v>
      </c>
      <c r="BP464" t="s">
        <v>74</v>
      </c>
      <c r="BQ464" t="s">
        <v>74</v>
      </c>
      <c r="BR464" t="s">
        <v>104</v>
      </c>
      <c r="BS464" t="s">
        <v>9059</v>
      </c>
      <c r="BT464" t="str">
        <f>HYPERLINK("https%3A%2F%2Fwww.webofscience.com%2Fwos%2Fwoscc%2Ffull-record%2FWOS:001141090400001","View Full Record in Web of Science")</f>
        <v>View Full Record in Web of Science</v>
      </c>
    </row>
    <row r="465" spans="1:72" x14ac:dyDescent="0.15">
      <c r="A465" t="s">
        <v>72</v>
      </c>
      <c r="B465" t="s">
        <v>9060</v>
      </c>
      <c r="C465" t="s">
        <v>74</v>
      </c>
      <c r="D465" t="s">
        <v>74</v>
      </c>
      <c r="E465" t="s">
        <v>74</v>
      </c>
      <c r="F465" t="s">
        <v>9061</v>
      </c>
      <c r="G465" t="s">
        <v>74</v>
      </c>
      <c r="H465" t="s">
        <v>74</v>
      </c>
      <c r="I465" t="s">
        <v>9062</v>
      </c>
      <c r="J465" t="s">
        <v>3966</v>
      </c>
      <c r="K465" t="s">
        <v>74</v>
      </c>
      <c r="L465" t="s">
        <v>74</v>
      </c>
      <c r="M465" t="s">
        <v>78</v>
      </c>
      <c r="N465" t="s">
        <v>79</v>
      </c>
      <c r="O465" t="s">
        <v>74</v>
      </c>
      <c r="P465" t="s">
        <v>74</v>
      </c>
      <c r="Q465" t="s">
        <v>74</v>
      </c>
      <c r="R465" t="s">
        <v>74</v>
      </c>
      <c r="S465" t="s">
        <v>74</v>
      </c>
      <c r="T465" t="s">
        <v>9063</v>
      </c>
      <c r="U465" t="s">
        <v>9064</v>
      </c>
      <c r="V465" t="s">
        <v>9065</v>
      </c>
      <c r="W465" t="s">
        <v>9066</v>
      </c>
      <c r="X465" t="s">
        <v>9067</v>
      </c>
      <c r="Y465" t="s">
        <v>9068</v>
      </c>
      <c r="Z465" t="s">
        <v>9069</v>
      </c>
      <c r="AA465" t="s">
        <v>9070</v>
      </c>
      <c r="AB465" t="s">
        <v>9071</v>
      </c>
      <c r="AC465" t="s">
        <v>9072</v>
      </c>
      <c r="AD465" t="s">
        <v>9073</v>
      </c>
      <c r="AE465" t="s">
        <v>9074</v>
      </c>
      <c r="AF465" t="s">
        <v>74</v>
      </c>
      <c r="AG465">
        <v>78</v>
      </c>
      <c r="AH465">
        <v>1</v>
      </c>
      <c r="AI465">
        <v>1</v>
      </c>
      <c r="AJ465">
        <v>4</v>
      </c>
      <c r="AK465">
        <v>4</v>
      </c>
      <c r="AL465" t="s">
        <v>947</v>
      </c>
      <c r="AM465" t="s">
        <v>948</v>
      </c>
      <c r="AN465" t="s">
        <v>949</v>
      </c>
      <c r="AO465" t="s">
        <v>3978</v>
      </c>
      <c r="AP465" t="s">
        <v>3979</v>
      </c>
      <c r="AQ465" t="s">
        <v>74</v>
      </c>
      <c r="AR465" t="s">
        <v>3980</v>
      </c>
      <c r="AS465" t="s">
        <v>3981</v>
      </c>
      <c r="AT465" t="s">
        <v>1947</v>
      </c>
      <c r="AU465">
        <v>2023</v>
      </c>
      <c r="AV465">
        <v>125</v>
      </c>
      <c r="AW465" t="s">
        <v>74</v>
      </c>
      <c r="AX465" t="s">
        <v>74</v>
      </c>
      <c r="AY465" t="s">
        <v>74</v>
      </c>
      <c r="AZ465" t="s">
        <v>74</v>
      </c>
      <c r="BA465" t="s">
        <v>74</v>
      </c>
      <c r="BB465" t="s">
        <v>74</v>
      </c>
      <c r="BC465" t="s">
        <v>74</v>
      </c>
      <c r="BD465">
        <v>103565</v>
      </c>
      <c r="BE465" t="s">
        <v>9075</v>
      </c>
      <c r="BF465" t="str">
        <f>HYPERLINK("http://dx.doi.org/10.1016/j.jag.2023.103565","http://dx.doi.org/10.1016/j.jag.2023.103565")</f>
        <v>http://dx.doi.org/10.1016/j.jag.2023.103565</v>
      </c>
      <c r="BG465" t="s">
        <v>74</v>
      </c>
      <c r="BH465" t="s">
        <v>6982</v>
      </c>
      <c r="BI465">
        <v>12</v>
      </c>
      <c r="BJ465" t="s">
        <v>3983</v>
      </c>
      <c r="BK465" t="s">
        <v>100</v>
      </c>
      <c r="BL465" t="s">
        <v>3983</v>
      </c>
      <c r="BM465" t="s">
        <v>9076</v>
      </c>
      <c r="BN465" t="s">
        <v>74</v>
      </c>
      <c r="BO465" t="s">
        <v>131</v>
      </c>
      <c r="BP465" t="s">
        <v>74</v>
      </c>
      <c r="BQ465" t="s">
        <v>74</v>
      </c>
      <c r="BR465" t="s">
        <v>104</v>
      </c>
      <c r="BS465" t="s">
        <v>9077</v>
      </c>
      <c r="BT465" t="str">
        <f>HYPERLINK("https%3A%2F%2Fwww.webofscience.com%2Fwos%2Fwoscc%2Ffull-record%2FWOS:001117200000001","View Full Record in Web of Science")</f>
        <v>View Full Record in Web of Science</v>
      </c>
    </row>
    <row r="466" spans="1:72" x14ac:dyDescent="0.15">
      <c r="A466" t="s">
        <v>72</v>
      </c>
      <c r="B466" t="s">
        <v>9078</v>
      </c>
      <c r="C466" t="s">
        <v>74</v>
      </c>
      <c r="D466" t="s">
        <v>74</v>
      </c>
      <c r="E466" t="s">
        <v>74</v>
      </c>
      <c r="F466" t="s">
        <v>9079</v>
      </c>
      <c r="G466" t="s">
        <v>74</v>
      </c>
      <c r="H466" t="s">
        <v>74</v>
      </c>
      <c r="I466" t="s">
        <v>9080</v>
      </c>
      <c r="J466" t="s">
        <v>962</v>
      </c>
      <c r="K466" t="s">
        <v>74</v>
      </c>
      <c r="L466" t="s">
        <v>74</v>
      </c>
      <c r="M466" t="s">
        <v>78</v>
      </c>
      <c r="N466" t="s">
        <v>79</v>
      </c>
      <c r="O466" t="s">
        <v>74</v>
      </c>
      <c r="P466" t="s">
        <v>74</v>
      </c>
      <c r="Q466" t="s">
        <v>74</v>
      </c>
      <c r="R466" t="s">
        <v>74</v>
      </c>
      <c r="S466" t="s">
        <v>74</v>
      </c>
      <c r="T466" t="s">
        <v>74</v>
      </c>
      <c r="U466" t="s">
        <v>9081</v>
      </c>
      <c r="V466" t="s">
        <v>9082</v>
      </c>
      <c r="W466" t="s">
        <v>9083</v>
      </c>
      <c r="X466" t="s">
        <v>9084</v>
      </c>
      <c r="Y466" t="s">
        <v>9085</v>
      </c>
      <c r="Z466" t="s">
        <v>9086</v>
      </c>
      <c r="AA466" t="s">
        <v>9087</v>
      </c>
      <c r="AB466" t="s">
        <v>9088</v>
      </c>
      <c r="AC466" t="s">
        <v>9089</v>
      </c>
      <c r="AD466" t="s">
        <v>9090</v>
      </c>
      <c r="AE466" t="s">
        <v>9091</v>
      </c>
      <c r="AF466" t="s">
        <v>74</v>
      </c>
      <c r="AG466">
        <v>147</v>
      </c>
      <c r="AH466">
        <v>0</v>
      </c>
      <c r="AI466">
        <v>0</v>
      </c>
      <c r="AJ466">
        <v>2</v>
      </c>
      <c r="AK466">
        <v>2</v>
      </c>
      <c r="AL466" t="s">
        <v>975</v>
      </c>
      <c r="AM466" t="s">
        <v>976</v>
      </c>
      <c r="AN466" t="s">
        <v>977</v>
      </c>
      <c r="AO466" t="s">
        <v>978</v>
      </c>
      <c r="AP466" t="s">
        <v>979</v>
      </c>
      <c r="AQ466" t="s">
        <v>74</v>
      </c>
      <c r="AR466" t="s">
        <v>980</v>
      </c>
      <c r="AS466" t="s">
        <v>981</v>
      </c>
      <c r="AT466" t="s">
        <v>3646</v>
      </c>
      <c r="AU466">
        <v>2023</v>
      </c>
      <c r="AV466">
        <v>322</v>
      </c>
      <c r="AW466" t="s">
        <v>74</v>
      </c>
      <c r="AX466" t="s">
        <v>74</v>
      </c>
      <c r="AY466" t="s">
        <v>74</v>
      </c>
      <c r="AZ466" t="s">
        <v>74</v>
      </c>
      <c r="BA466" t="s">
        <v>74</v>
      </c>
      <c r="BB466" t="s">
        <v>74</v>
      </c>
      <c r="BC466" t="s">
        <v>74</v>
      </c>
      <c r="BD466">
        <v>108387</v>
      </c>
      <c r="BE466" t="s">
        <v>9092</v>
      </c>
      <c r="BF466" t="str">
        <f>HYPERLINK("http://dx.doi.org/10.1016/j.quascirev.2023.108387","http://dx.doi.org/10.1016/j.quascirev.2023.108387")</f>
        <v>http://dx.doi.org/10.1016/j.quascirev.2023.108387</v>
      </c>
      <c r="BG466" t="s">
        <v>74</v>
      </c>
      <c r="BH466" t="s">
        <v>6982</v>
      </c>
      <c r="BI466">
        <v>25</v>
      </c>
      <c r="BJ466" t="s">
        <v>984</v>
      </c>
      <c r="BK466" t="s">
        <v>100</v>
      </c>
      <c r="BL466" t="s">
        <v>985</v>
      </c>
      <c r="BM466" t="s">
        <v>9093</v>
      </c>
      <c r="BN466" t="s">
        <v>74</v>
      </c>
      <c r="BO466" t="s">
        <v>74</v>
      </c>
      <c r="BP466" t="s">
        <v>74</v>
      </c>
      <c r="BQ466" t="s">
        <v>74</v>
      </c>
      <c r="BR466" t="s">
        <v>104</v>
      </c>
      <c r="BS466" t="s">
        <v>9094</v>
      </c>
      <c r="BT466" t="str">
        <f>HYPERLINK("https%3A%2F%2Fwww.webofscience.com%2Fwos%2Fwoscc%2Ffull-record%2FWOS:001113153700001","View Full Record in Web of Science")</f>
        <v>View Full Record in Web of Science</v>
      </c>
    </row>
    <row r="467" spans="1:72" x14ac:dyDescent="0.15">
      <c r="A467" t="s">
        <v>72</v>
      </c>
      <c r="B467" t="s">
        <v>9095</v>
      </c>
      <c r="C467" t="s">
        <v>74</v>
      </c>
      <c r="D467" t="s">
        <v>74</v>
      </c>
      <c r="E467" t="s">
        <v>74</v>
      </c>
      <c r="F467" t="s">
        <v>9096</v>
      </c>
      <c r="G467" t="s">
        <v>74</v>
      </c>
      <c r="H467" t="s">
        <v>74</v>
      </c>
      <c r="I467" t="s">
        <v>9097</v>
      </c>
      <c r="J467" t="s">
        <v>991</v>
      </c>
      <c r="K467" t="s">
        <v>74</v>
      </c>
      <c r="L467" t="s">
        <v>74</v>
      </c>
      <c r="M467" t="s">
        <v>78</v>
      </c>
      <c r="N467" t="s">
        <v>79</v>
      </c>
      <c r="O467" t="s">
        <v>74</v>
      </c>
      <c r="P467" t="s">
        <v>74</v>
      </c>
      <c r="Q467" t="s">
        <v>74</v>
      </c>
      <c r="R467" t="s">
        <v>74</v>
      </c>
      <c r="S467" t="s">
        <v>74</v>
      </c>
      <c r="T467" t="s">
        <v>9098</v>
      </c>
      <c r="U467" t="s">
        <v>9099</v>
      </c>
      <c r="V467" t="s">
        <v>9100</v>
      </c>
      <c r="W467" t="s">
        <v>9101</v>
      </c>
      <c r="X467" t="s">
        <v>9102</v>
      </c>
      <c r="Y467" t="s">
        <v>9103</v>
      </c>
      <c r="Z467" t="s">
        <v>9104</v>
      </c>
      <c r="AA467" t="s">
        <v>74</v>
      </c>
      <c r="AB467" t="s">
        <v>74</v>
      </c>
      <c r="AC467" t="s">
        <v>9105</v>
      </c>
      <c r="AD467" t="s">
        <v>9105</v>
      </c>
      <c r="AE467" t="s">
        <v>9106</v>
      </c>
      <c r="AF467" t="s">
        <v>74</v>
      </c>
      <c r="AG467">
        <v>118</v>
      </c>
      <c r="AH467">
        <v>1</v>
      </c>
      <c r="AI467">
        <v>1</v>
      </c>
      <c r="AJ467">
        <v>20</v>
      </c>
      <c r="AK467">
        <v>20</v>
      </c>
      <c r="AL467" t="s">
        <v>947</v>
      </c>
      <c r="AM467" t="s">
        <v>948</v>
      </c>
      <c r="AN467" t="s">
        <v>949</v>
      </c>
      <c r="AO467" t="s">
        <v>1004</v>
      </c>
      <c r="AP467" t="s">
        <v>1005</v>
      </c>
      <c r="AQ467" t="s">
        <v>74</v>
      </c>
      <c r="AR467" t="s">
        <v>1006</v>
      </c>
      <c r="AS467" t="s">
        <v>1007</v>
      </c>
      <c r="AT467" t="s">
        <v>4250</v>
      </c>
      <c r="AU467">
        <v>2024</v>
      </c>
      <c r="AV467">
        <v>908</v>
      </c>
      <c r="AW467" t="s">
        <v>74</v>
      </c>
      <c r="AX467" t="s">
        <v>74</v>
      </c>
      <c r="AY467" t="s">
        <v>74</v>
      </c>
      <c r="AZ467" t="s">
        <v>74</v>
      </c>
      <c r="BA467" t="s">
        <v>74</v>
      </c>
      <c r="BB467" t="s">
        <v>74</v>
      </c>
      <c r="BC467" t="s">
        <v>74</v>
      </c>
      <c r="BD467">
        <v>168063</v>
      </c>
      <c r="BE467" t="s">
        <v>9107</v>
      </c>
      <c r="BF467" t="str">
        <f>HYPERLINK("http://dx.doi.org/10.1016/j.scitotenv.2023.168063","http://dx.doi.org/10.1016/j.scitotenv.2023.168063")</f>
        <v>http://dx.doi.org/10.1016/j.scitotenv.2023.168063</v>
      </c>
      <c r="BG467" t="s">
        <v>74</v>
      </c>
      <c r="BH467" t="s">
        <v>6982</v>
      </c>
      <c r="BI467">
        <v>20</v>
      </c>
      <c r="BJ467" t="s">
        <v>1010</v>
      </c>
      <c r="BK467" t="s">
        <v>100</v>
      </c>
      <c r="BL467" t="s">
        <v>1011</v>
      </c>
      <c r="BM467" t="s">
        <v>9108</v>
      </c>
      <c r="BN467">
        <v>37907104</v>
      </c>
      <c r="BO467" t="s">
        <v>103</v>
      </c>
      <c r="BP467" t="s">
        <v>74</v>
      </c>
      <c r="BQ467" t="s">
        <v>74</v>
      </c>
      <c r="BR467" t="s">
        <v>104</v>
      </c>
      <c r="BS467" t="s">
        <v>9109</v>
      </c>
      <c r="BT467" t="str">
        <f>HYPERLINK("https%3A%2F%2Fwww.webofscience.com%2Fwos%2Fwoscc%2Ffull-record%2FWOS:001113147400001","View Full Record in Web of Science")</f>
        <v>View Full Record in Web of Science</v>
      </c>
    </row>
    <row r="468" spans="1:72" x14ac:dyDescent="0.15">
      <c r="A468" t="s">
        <v>72</v>
      </c>
      <c r="B468" t="s">
        <v>9110</v>
      </c>
      <c r="C468" t="s">
        <v>74</v>
      </c>
      <c r="D468" t="s">
        <v>74</v>
      </c>
      <c r="E468" t="s">
        <v>74</v>
      </c>
      <c r="F468" t="s">
        <v>9111</v>
      </c>
      <c r="G468" t="s">
        <v>74</v>
      </c>
      <c r="H468" t="s">
        <v>74</v>
      </c>
      <c r="I468" t="s">
        <v>9112</v>
      </c>
      <c r="J468" t="s">
        <v>9113</v>
      </c>
      <c r="K468" t="s">
        <v>74</v>
      </c>
      <c r="L468" t="s">
        <v>74</v>
      </c>
      <c r="M468" t="s">
        <v>78</v>
      </c>
      <c r="N468" t="s">
        <v>79</v>
      </c>
      <c r="O468" t="s">
        <v>74</v>
      </c>
      <c r="P468" t="s">
        <v>74</v>
      </c>
      <c r="Q468" t="s">
        <v>74</v>
      </c>
      <c r="R468" t="s">
        <v>74</v>
      </c>
      <c r="S468" t="s">
        <v>74</v>
      </c>
      <c r="T468" t="s">
        <v>9114</v>
      </c>
      <c r="U468" t="s">
        <v>9115</v>
      </c>
      <c r="V468" t="s">
        <v>9116</v>
      </c>
      <c r="W468" t="s">
        <v>9117</v>
      </c>
      <c r="X468" t="s">
        <v>9118</v>
      </c>
      <c r="Y468" t="s">
        <v>9119</v>
      </c>
      <c r="Z468" t="s">
        <v>9120</v>
      </c>
      <c r="AA468" t="s">
        <v>9121</v>
      </c>
      <c r="AB468" t="s">
        <v>9122</v>
      </c>
      <c r="AC468" t="s">
        <v>9123</v>
      </c>
      <c r="AD468" t="s">
        <v>9123</v>
      </c>
      <c r="AE468" t="s">
        <v>9124</v>
      </c>
      <c r="AF468" t="s">
        <v>74</v>
      </c>
      <c r="AG468">
        <v>91</v>
      </c>
      <c r="AH468">
        <v>0</v>
      </c>
      <c r="AI468">
        <v>0</v>
      </c>
      <c r="AJ468">
        <v>2</v>
      </c>
      <c r="AK468">
        <v>2</v>
      </c>
      <c r="AL468" t="s">
        <v>1101</v>
      </c>
      <c r="AM468" t="s">
        <v>1102</v>
      </c>
      <c r="AN468" t="s">
        <v>1103</v>
      </c>
      <c r="AO468" t="s">
        <v>9125</v>
      </c>
      <c r="AP468" t="s">
        <v>9126</v>
      </c>
      <c r="AQ468" t="s">
        <v>74</v>
      </c>
      <c r="AR468" t="s">
        <v>9127</v>
      </c>
      <c r="AS468" t="s">
        <v>9128</v>
      </c>
      <c r="AT468" t="s">
        <v>1133</v>
      </c>
      <c r="AU468">
        <v>2024</v>
      </c>
      <c r="AV468">
        <v>60</v>
      </c>
      <c r="AW468">
        <v>1</v>
      </c>
      <c r="AX468" t="s">
        <v>74</v>
      </c>
      <c r="AY468" t="s">
        <v>74</v>
      </c>
      <c r="AZ468" t="s">
        <v>74</v>
      </c>
      <c r="BA468" t="s">
        <v>74</v>
      </c>
      <c r="BB468">
        <v>102</v>
      </c>
      <c r="BC468">
        <v>115</v>
      </c>
      <c r="BD468" t="s">
        <v>74</v>
      </c>
      <c r="BE468" t="s">
        <v>9129</v>
      </c>
      <c r="BF468" t="str">
        <f>HYPERLINK("http://dx.doi.org/10.1111/jpy.13408","http://dx.doi.org/10.1111/jpy.13408")</f>
        <v>http://dx.doi.org/10.1111/jpy.13408</v>
      </c>
      <c r="BG468" t="s">
        <v>74</v>
      </c>
      <c r="BH468" t="s">
        <v>6982</v>
      </c>
      <c r="BI468">
        <v>14</v>
      </c>
      <c r="BJ468" t="s">
        <v>1058</v>
      </c>
      <c r="BK468" t="s">
        <v>100</v>
      </c>
      <c r="BL468" t="s">
        <v>1058</v>
      </c>
      <c r="BM468" t="s">
        <v>9130</v>
      </c>
      <c r="BN468">
        <v>37966712</v>
      </c>
      <c r="BO468" t="s">
        <v>103</v>
      </c>
      <c r="BP468" t="s">
        <v>74</v>
      </c>
      <c r="BQ468" t="s">
        <v>74</v>
      </c>
      <c r="BR468" t="s">
        <v>104</v>
      </c>
      <c r="BS468" t="s">
        <v>9131</v>
      </c>
      <c r="BT468" t="str">
        <f>HYPERLINK("https%3A%2F%2Fwww.webofscience.com%2Fwos%2Fwoscc%2Ffull-record%2FWOS:001105087700001","View Full Record in Web of Science")</f>
        <v>View Full Record in Web of Science</v>
      </c>
    </row>
    <row r="469" spans="1:72" x14ac:dyDescent="0.15">
      <c r="A469" t="s">
        <v>72</v>
      </c>
      <c r="B469" t="s">
        <v>9132</v>
      </c>
      <c r="C469" t="s">
        <v>74</v>
      </c>
      <c r="D469" t="s">
        <v>74</v>
      </c>
      <c r="E469" t="s">
        <v>74</v>
      </c>
      <c r="F469" t="s">
        <v>9133</v>
      </c>
      <c r="G469" t="s">
        <v>74</v>
      </c>
      <c r="H469" t="s">
        <v>74</v>
      </c>
      <c r="I469" t="s">
        <v>9134</v>
      </c>
      <c r="J469" t="s">
        <v>9135</v>
      </c>
      <c r="K469" t="s">
        <v>74</v>
      </c>
      <c r="L469" t="s">
        <v>74</v>
      </c>
      <c r="M469" t="s">
        <v>78</v>
      </c>
      <c r="N469" t="s">
        <v>79</v>
      </c>
      <c r="O469" t="s">
        <v>74</v>
      </c>
      <c r="P469" t="s">
        <v>74</v>
      </c>
      <c r="Q469" t="s">
        <v>74</v>
      </c>
      <c r="R469" t="s">
        <v>74</v>
      </c>
      <c r="S469" t="s">
        <v>74</v>
      </c>
      <c r="T469" t="s">
        <v>9136</v>
      </c>
      <c r="U469" t="s">
        <v>9137</v>
      </c>
      <c r="V469" t="s">
        <v>9138</v>
      </c>
      <c r="W469" t="s">
        <v>9139</v>
      </c>
      <c r="X469" t="s">
        <v>9140</v>
      </c>
      <c r="Y469" t="s">
        <v>9141</v>
      </c>
      <c r="Z469" t="s">
        <v>9142</v>
      </c>
      <c r="AA469" t="s">
        <v>74</v>
      </c>
      <c r="AB469" t="s">
        <v>74</v>
      </c>
      <c r="AC469" t="s">
        <v>9143</v>
      </c>
      <c r="AD469" t="s">
        <v>9143</v>
      </c>
      <c r="AE469" t="s">
        <v>9143</v>
      </c>
      <c r="AF469" t="s">
        <v>74</v>
      </c>
      <c r="AG469">
        <v>42</v>
      </c>
      <c r="AH469">
        <v>0</v>
      </c>
      <c r="AI469">
        <v>0</v>
      </c>
      <c r="AJ469">
        <v>0</v>
      </c>
      <c r="AK469">
        <v>0</v>
      </c>
      <c r="AL469" t="s">
        <v>9144</v>
      </c>
      <c r="AM469" t="s">
        <v>9145</v>
      </c>
      <c r="AN469" t="s">
        <v>9146</v>
      </c>
      <c r="AO469" t="s">
        <v>9147</v>
      </c>
      <c r="AP469" t="s">
        <v>9148</v>
      </c>
      <c r="AQ469" t="s">
        <v>74</v>
      </c>
      <c r="AR469" t="s">
        <v>9149</v>
      </c>
      <c r="AS469" t="s">
        <v>9150</v>
      </c>
      <c r="AT469" t="s">
        <v>9002</v>
      </c>
      <c r="AU469">
        <v>2023</v>
      </c>
      <c r="AV469">
        <v>66</v>
      </c>
      <c r="AW469">
        <v>1</v>
      </c>
      <c r="AX469" t="s">
        <v>74</v>
      </c>
      <c r="AY469" t="s">
        <v>74</v>
      </c>
      <c r="AZ469" t="s">
        <v>74</v>
      </c>
      <c r="BA469" t="s">
        <v>74</v>
      </c>
      <c r="BB469" t="s">
        <v>74</v>
      </c>
      <c r="BC469" t="s">
        <v>74</v>
      </c>
      <c r="BD469">
        <v>77</v>
      </c>
      <c r="BE469" t="s">
        <v>9151</v>
      </c>
      <c r="BF469" t="str">
        <f>HYPERLINK("http://dx.doi.org/10.1186/s13765-023-00835-w","http://dx.doi.org/10.1186/s13765-023-00835-w")</f>
        <v>http://dx.doi.org/10.1186/s13765-023-00835-w</v>
      </c>
      <c r="BG469" t="s">
        <v>74</v>
      </c>
      <c r="BH469" t="s">
        <v>74</v>
      </c>
      <c r="BI469">
        <v>10</v>
      </c>
      <c r="BJ469" t="s">
        <v>6029</v>
      </c>
      <c r="BK469" t="s">
        <v>100</v>
      </c>
      <c r="BL469" t="s">
        <v>6029</v>
      </c>
      <c r="BM469" t="s">
        <v>9152</v>
      </c>
      <c r="BN469" t="s">
        <v>74</v>
      </c>
      <c r="BO469" t="s">
        <v>131</v>
      </c>
      <c r="BP469" t="s">
        <v>74</v>
      </c>
      <c r="BQ469" t="s">
        <v>74</v>
      </c>
      <c r="BR469" t="s">
        <v>104</v>
      </c>
      <c r="BS469" t="s">
        <v>9153</v>
      </c>
      <c r="BT469" t="str">
        <f>HYPERLINK("https%3A%2F%2Fwww.webofscience.com%2Fwos%2Fwoscc%2Ffull-record%2FWOS:001101766600001","View Full Record in Web of Science")</f>
        <v>View Full Record in Web of Science</v>
      </c>
    </row>
    <row r="470" spans="1:72" x14ac:dyDescent="0.15">
      <c r="A470" t="s">
        <v>72</v>
      </c>
      <c r="B470" t="s">
        <v>9154</v>
      </c>
      <c r="C470" t="s">
        <v>74</v>
      </c>
      <c r="D470" t="s">
        <v>74</v>
      </c>
      <c r="E470" t="s">
        <v>74</v>
      </c>
      <c r="F470" t="s">
        <v>9155</v>
      </c>
      <c r="G470" t="s">
        <v>74</v>
      </c>
      <c r="H470" t="s">
        <v>74</v>
      </c>
      <c r="I470" t="s">
        <v>9156</v>
      </c>
      <c r="J470" t="s">
        <v>8204</v>
      </c>
      <c r="K470" t="s">
        <v>74</v>
      </c>
      <c r="L470" t="s">
        <v>74</v>
      </c>
      <c r="M470" t="s">
        <v>78</v>
      </c>
      <c r="N470" t="s">
        <v>79</v>
      </c>
      <c r="O470" t="s">
        <v>74</v>
      </c>
      <c r="P470" t="s">
        <v>74</v>
      </c>
      <c r="Q470" t="s">
        <v>74</v>
      </c>
      <c r="R470" t="s">
        <v>74</v>
      </c>
      <c r="S470" t="s">
        <v>74</v>
      </c>
      <c r="T470" t="s">
        <v>9157</v>
      </c>
      <c r="U470" t="s">
        <v>9158</v>
      </c>
      <c r="V470" t="s">
        <v>9159</v>
      </c>
      <c r="W470" t="s">
        <v>9160</v>
      </c>
      <c r="X470" t="s">
        <v>9161</v>
      </c>
      <c r="Y470" t="s">
        <v>9162</v>
      </c>
      <c r="Z470" t="s">
        <v>9163</v>
      </c>
      <c r="AA470" t="s">
        <v>74</v>
      </c>
      <c r="AB470" t="s">
        <v>9164</v>
      </c>
      <c r="AC470" t="s">
        <v>9165</v>
      </c>
      <c r="AD470" t="s">
        <v>9166</v>
      </c>
      <c r="AE470" t="s">
        <v>9167</v>
      </c>
      <c r="AF470" t="s">
        <v>74</v>
      </c>
      <c r="AG470">
        <v>76</v>
      </c>
      <c r="AH470">
        <v>0</v>
      </c>
      <c r="AI470">
        <v>0</v>
      </c>
      <c r="AJ470">
        <v>5</v>
      </c>
      <c r="AK470">
        <v>5</v>
      </c>
      <c r="AL470" t="s">
        <v>8217</v>
      </c>
      <c r="AM470" t="s">
        <v>1209</v>
      </c>
      <c r="AN470" t="s">
        <v>8218</v>
      </c>
      <c r="AO470" t="s">
        <v>8219</v>
      </c>
      <c r="AP470" t="s">
        <v>8220</v>
      </c>
      <c r="AQ470" t="s">
        <v>74</v>
      </c>
      <c r="AR470" t="s">
        <v>8221</v>
      </c>
      <c r="AS470" t="s">
        <v>8222</v>
      </c>
      <c r="AT470" t="s">
        <v>9168</v>
      </c>
      <c r="AU470">
        <v>2023</v>
      </c>
      <c r="AV470">
        <v>120</v>
      </c>
      <c r="AW470">
        <v>46</v>
      </c>
      <c r="AX470" t="s">
        <v>74</v>
      </c>
      <c r="AY470" t="s">
        <v>74</v>
      </c>
      <c r="AZ470" t="s">
        <v>74</v>
      </c>
      <c r="BA470" t="s">
        <v>74</v>
      </c>
      <c r="BB470" t="s">
        <v>74</v>
      </c>
      <c r="BC470" t="s">
        <v>74</v>
      </c>
      <c r="BD470" t="s">
        <v>9169</v>
      </c>
      <c r="BE470" t="s">
        <v>9170</v>
      </c>
      <c r="BF470" t="str">
        <f>HYPERLINK("http://dx.doi.org/10.1073/pnas.2306840120","http://dx.doi.org/10.1073/pnas.2306840120")</f>
        <v>http://dx.doi.org/10.1073/pnas.2306840120</v>
      </c>
      <c r="BG470" t="s">
        <v>74</v>
      </c>
      <c r="BH470" t="s">
        <v>74</v>
      </c>
      <c r="BI470">
        <v>9</v>
      </c>
      <c r="BJ470" t="s">
        <v>1035</v>
      </c>
      <c r="BK470" t="s">
        <v>100</v>
      </c>
      <c r="BL470" t="s">
        <v>1036</v>
      </c>
      <c r="BM470" t="s">
        <v>9171</v>
      </c>
      <c r="BN470">
        <v>37931108</v>
      </c>
      <c r="BO470" t="s">
        <v>103</v>
      </c>
      <c r="BP470" t="s">
        <v>74</v>
      </c>
      <c r="BQ470" t="s">
        <v>74</v>
      </c>
      <c r="BR470" t="s">
        <v>104</v>
      </c>
      <c r="BS470" t="s">
        <v>9172</v>
      </c>
      <c r="BT470" t="str">
        <f>HYPERLINK("https%3A%2F%2Fwww.webofscience.com%2Fwos%2Fwoscc%2Ffull-record%2FWOS:001156414900005","View Full Record in Web of Science")</f>
        <v>View Full Record in Web of Science</v>
      </c>
    </row>
    <row r="471" spans="1:72" x14ac:dyDescent="0.15">
      <c r="A471" t="s">
        <v>72</v>
      </c>
      <c r="B471" t="s">
        <v>9173</v>
      </c>
      <c r="C471" t="s">
        <v>74</v>
      </c>
      <c r="D471" t="s">
        <v>74</v>
      </c>
      <c r="E471" t="s">
        <v>74</v>
      </c>
      <c r="F471" t="s">
        <v>9174</v>
      </c>
      <c r="G471" t="s">
        <v>74</v>
      </c>
      <c r="H471" t="s">
        <v>74</v>
      </c>
      <c r="I471" t="s">
        <v>9175</v>
      </c>
      <c r="J471" t="s">
        <v>9176</v>
      </c>
      <c r="K471" t="s">
        <v>74</v>
      </c>
      <c r="L471" t="s">
        <v>74</v>
      </c>
      <c r="M471" t="s">
        <v>78</v>
      </c>
      <c r="N471" t="s">
        <v>79</v>
      </c>
      <c r="O471" t="s">
        <v>74</v>
      </c>
      <c r="P471" t="s">
        <v>74</v>
      </c>
      <c r="Q471" t="s">
        <v>74</v>
      </c>
      <c r="R471" t="s">
        <v>74</v>
      </c>
      <c r="S471" t="s">
        <v>74</v>
      </c>
      <c r="T471" t="s">
        <v>74</v>
      </c>
      <c r="U471" t="s">
        <v>9177</v>
      </c>
      <c r="V471" t="s">
        <v>9178</v>
      </c>
      <c r="W471" t="s">
        <v>9179</v>
      </c>
      <c r="X471" t="s">
        <v>9180</v>
      </c>
      <c r="Y471" t="s">
        <v>9181</v>
      </c>
      <c r="Z471" t="s">
        <v>9182</v>
      </c>
      <c r="AA471" t="s">
        <v>74</v>
      </c>
      <c r="AB471" t="s">
        <v>74</v>
      </c>
      <c r="AC471" t="s">
        <v>9183</v>
      </c>
      <c r="AD471" t="s">
        <v>9183</v>
      </c>
      <c r="AE471" t="s">
        <v>9184</v>
      </c>
      <c r="AF471" t="s">
        <v>74</v>
      </c>
      <c r="AG471">
        <v>28</v>
      </c>
      <c r="AH471">
        <v>1</v>
      </c>
      <c r="AI471">
        <v>1</v>
      </c>
      <c r="AJ471">
        <v>1</v>
      </c>
      <c r="AK471">
        <v>1</v>
      </c>
      <c r="AL471" t="s">
        <v>1838</v>
      </c>
      <c r="AM471" t="s">
        <v>1839</v>
      </c>
      <c r="AN471" t="s">
        <v>1840</v>
      </c>
      <c r="AO471" t="s">
        <v>9185</v>
      </c>
      <c r="AP471" t="s">
        <v>9186</v>
      </c>
      <c r="AQ471" t="s">
        <v>74</v>
      </c>
      <c r="AR471" t="s">
        <v>9187</v>
      </c>
      <c r="AS471" t="s">
        <v>9188</v>
      </c>
      <c r="AT471" t="s">
        <v>9168</v>
      </c>
      <c r="AU471">
        <v>2023</v>
      </c>
      <c r="AV471">
        <v>16</v>
      </c>
      <c r="AW471">
        <v>22</v>
      </c>
      <c r="AX471" t="s">
        <v>74</v>
      </c>
      <c r="AY471" t="s">
        <v>74</v>
      </c>
      <c r="AZ471" t="s">
        <v>74</v>
      </c>
      <c r="BA471" t="s">
        <v>74</v>
      </c>
      <c r="BB471">
        <v>5443</v>
      </c>
      <c r="BC471">
        <v>5459</v>
      </c>
      <c r="BD471" t="s">
        <v>74</v>
      </c>
      <c r="BE471" t="s">
        <v>9189</v>
      </c>
      <c r="BF471" t="str">
        <f>HYPERLINK("http://dx.doi.org/10.5194/amt-16-5443-2023","http://dx.doi.org/10.5194/amt-16-5443-2023")</f>
        <v>http://dx.doi.org/10.5194/amt-16-5443-2023</v>
      </c>
      <c r="BG471" t="s">
        <v>74</v>
      </c>
      <c r="BH471" t="s">
        <v>74</v>
      </c>
      <c r="BI471">
        <v>17</v>
      </c>
      <c r="BJ471" t="s">
        <v>1522</v>
      </c>
      <c r="BK471" t="s">
        <v>100</v>
      </c>
      <c r="BL471" t="s">
        <v>1522</v>
      </c>
      <c r="BM471" t="s">
        <v>9190</v>
      </c>
      <c r="BN471" t="s">
        <v>74</v>
      </c>
      <c r="BO471" t="s">
        <v>131</v>
      </c>
      <c r="BP471" t="s">
        <v>74</v>
      </c>
      <c r="BQ471" t="s">
        <v>74</v>
      </c>
      <c r="BR471" t="s">
        <v>104</v>
      </c>
      <c r="BS471" t="s">
        <v>9191</v>
      </c>
      <c r="BT471" t="str">
        <f>HYPERLINK("https%3A%2F%2Fwww.webofscience.com%2Fwos%2Fwoscc%2Ffull-record%2FWOS:001169002600001","View Full Record in Web of Science")</f>
        <v>View Full Record in Web of Science</v>
      </c>
    </row>
    <row r="472" spans="1:72" x14ac:dyDescent="0.15">
      <c r="A472" t="s">
        <v>72</v>
      </c>
      <c r="B472" t="s">
        <v>9192</v>
      </c>
      <c r="C472" t="s">
        <v>74</v>
      </c>
      <c r="D472" t="s">
        <v>74</v>
      </c>
      <c r="E472" t="s">
        <v>74</v>
      </c>
      <c r="F472" t="s">
        <v>9193</v>
      </c>
      <c r="G472" t="s">
        <v>74</v>
      </c>
      <c r="H472" t="s">
        <v>74</v>
      </c>
      <c r="I472" t="s">
        <v>9194</v>
      </c>
      <c r="J472" t="s">
        <v>9195</v>
      </c>
      <c r="K472" t="s">
        <v>74</v>
      </c>
      <c r="L472" t="s">
        <v>74</v>
      </c>
      <c r="M472" t="s">
        <v>78</v>
      </c>
      <c r="N472" t="s">
        <v>920</v>
      </c>
      <c r="O472" t="s">
        <v>74</v>
      </c>
      <c r="P472" t="s">
        <v>74</v>
      </c>
      <c r="Q472" t="s">
        <v>74</v>
      </c>
      <c r="R472" t="s">
        <v>74</v>
      </c>
      <c r="S472" t="s">
        <v>74</v>
      </c>
      <c r="T472" t="s">
        <v>74</v>
      </c>
      <c r="U472" t="s">
        <v>74</v>
      </c>
      <c r="V472" t="s">
        <v>9196</v>
      </c>
      <c r="W472" t="s">
        <v>9197</v>
      </c>
      <c r="X472" t="s">
        <v>9198</v>
      </c>
      <c r="Y472" t="s">
        <v>9199</v>
      </c>
      <c r="Z472" t="s">
        <v>9200</v>
      </c>
      <c r="AA472" t="s">
        <v>74</v>
      </c>
      <c r="AB472" t="s">
        <v>9201</v>
      </c>
      <c r="AC472" t="s">
        <v>74</v>
      </c>
      <c r="AD472" t="s">
        <v>74</v>
      </c>
      <c r="AE472" t="s">
        <v>74</v>
      </c>
      <c r="AF472" t="s">
        <v>74</v>
      </c>
      <c r="AG472">
        <v>9</v>
      </c>
      <c r="AH472">
        <v>0</v>
      </c>
      <c r="AI472">
        <v>0</v>
      </c>
      <c r="AJ472">
        <v>5</v>
      </c>
      <c r="AK472">
        <v>6</v>
      </c>
      <c r="AL472" t="s">
        <v>9202</v>
      </c>
      <c r="AM472" t="s">
        <v>1783</v>
      </c>
      <c r="AN472" t="s">
        <v>9203</v>
      </c>
      <c r="AO472" t="s">
        <v>9204</v>
      </c>
      <c r="AP472" t="s">
        <v>9205</v>
      </c>
      <c r="AQ472" t="s">
        <v>74</v>
      </c>
      <c r="AR472" t="s">
        <v>9206</v>
      </c>
      <c r="AS472" t="s">
        <v>9207</v>
      </c>
      <c r="AT472" t="s">
        <v>1947</v>
      </c>
      <c r="AU472">
        <v>2023</v>
      </c>
      <c r="AV472">
        <v>38</v>
      </c>
      <c r="AW472">
        <v>12</v>
      </c>
      <c r="AX472" t="s">
        <v>74</v>
      </c>
      <c r="AY472" t="s">
        <v>74</v>
      </c>
      <c r="AZ472" t="s">
        <v>74</v>
      </c>
      <c r="BA472" t="s">
        <v>74</v>
      </c>
      <c r="BB472">
        <v>1122</v>
      </c>
      <c r="BC472">
        <v>1124</v>
      </c>
      <c r="BD472" t="s">
        <v>74</v>
      </c>
      <c r="BE472" t="s">
        <v>9208</v>
      </c>
      <c r="BF472" t="str">
        <f>HYPERLINK("http://dx.doi.org/10.1016/j.tree.2023.09.011","http://dx.doi.org/10.1016/j.tree.2023.09.011")</f>
        <v>http://dx.doi.org/10.1016/j.tree.2023.09.011</v>
      </c>
      <c r="BG472" t="s">
        <v>74</v>
      </c>
      <c r="BH472" t="s">
        <v>6982</v>
      </c>
      <c r="BI472">
        <v>3</v>
      </c>
      <c r="BJ472" t="s">
        <v>9209</v>
      </c>
      <c r="BK472" t="s">
        <v>100</v>
      </c>
      <c r="BL472" t="s">
        <v>9210</v>
      </c>
      <c r="BM472" t="s">
        <v>9211</v>
      </c>
      <c r="BN472">
        <v>37743187</v>
      </c>
      <c r="BO472" t="s">
        <v>74</v>
      </c>
      <c r="BP472" t="s">
        <v>74</v>
      </c>
      <c r="BQ472" t="s">
        <v>74</v>
      </c>
      <c r="BR472" t="s">
        <v>104</v>
      </c>
      <c r="BS472" t="s">
        <v>9212</v>
      </c>
      <c r="BT472" t="str">
        <f>HYPERLINK("https%3A%2F%2Fwww.webofscience.com%2Fwos%2Fwoscc%2Ffull-record%2FWOS:001118765400001","View Full Record in Web of Science")</f>
        <v>View Full Record in Web of Science</v>
      </c>
    </row>
    <row r="473" spans="1:72" x14ac:dyDescent="0.15">
      <c r="A473" t="s">
        <v>72</v>
      </c>
      <c r="B473" t="s">
        <v>9213</v>
      </c>
      <c r="C473" t="s">
        <v>74</v>
      </c>
      <c r="D473" t="s">
        <v>74</v>
      </c>
      <c r="E473" t="s">
        <v>74</v>
      </c>
      <c r="F473" t="s">
        <v>9214</v>
      </c>
      <c r="G473" t="s">
        <v>74</v>
      </c>
      <c r="H473" t="s">
        <v>74</v>
      </c>
      <c r="I473" t="s">
        <v>9215</v>
      </c>
      <c r="J473" t="s">
        <v>7825</v>
      </c>
      <c r="K473" t="s">
        <v>74</v>
      </c>
      <c r="L473" t="s">
        <v>74</v>
      </c>
      <c r="M473" t="s">
        <v>78</v>
      </c>
      <c r="N473" t="s">
        <v>79</v>
      </c>
      <c r="O473" t="s">
        <v>74</v>
      </c>
      <c r="P473" t="s">
        <v>74</v>
      </c>
      <c r="Q473" t="s">
        <v>74</v>
      </c>
      <c r="R473" t="s">
        <v>74</v>
      </c>
      <c r="S473" t="s">
        <v>74</v>
      </c>
      <c r="T473" t="s">
        <v>9216</v>
      </c>
      <c r="U473" t="s">
        <v>9217</v>
      </c>
      <c r="V473" t="s">
        <v>9218</v>
      </c>
      <c r="W473" t="s">
        <v>9219</v>
      </c>
      <c r="X473" t="s">
        <v>9220</v>
      </c>
      <c r="Y473" t="s">
        <v>9221</v>
      </c>
      <c r="Z473" t="s">
        <v>9222</v>
      </c>
      <c r="AA473" t="s">
        <v>9223</v>
      </c>
      <c r="AB473" t="s">
        <v>9224</v>
      </c>
      <c r="AC473" t="s">
        <v>9225</v>
      </c>
      <c r="AD473" t="s">
        <v>9226</v>
      </c>
      <c r="AE473" t="s">
        <v>9227</v>
      </c>
      <c r="AF473" t="s">
        <v>74</v>
      </c>
      <c r="AG473">
        <v>95</v>
      </c>
      <c r="AH473">
        <v>0</v>
      </c>
      <c r="AI473">
        <v>0</v>
      </c>
      <c r="AJ473">
        <v>20</v>
      </c>
      <c r="AK473">
        <v>20</v>
      </c>
      <c r="AL473" t="s">
        <v>89</v>
      </c>
      <c r="AM473" t="s">
        <v>90</v>
      </c>
      <c r="AN473" t="s">
        <v>91</v>
      </c>
      <c r="AO473" t="s">
        <v>7837</v>
      </c>
      <c r="AP473" t="s">
        <v>7838</v>
      </c>
      <c r="AQ473" t="s">
        <v>74</v>
      </c>
      <c r="AR473" t="s">
        <v>7839</v>
      </c>
      <c r="AS473" t="s">
        <v>7840</v>
      </c>
      <c r="AT473" t="s">
        <v>4525</v>
      </c>
      <c r="AU473">
        <v>2023</v>
      </c>
      <c r="AV473">
        <v>192</v>
      </c>
      <c r="AW473" t="s">
        <v>74</v>
      </c>
      <c r="AX473" t="s">
        <v>74</v>
      </c>
      <c r="AY473" t="s">
        <v>74</v>
      </c>
      <c r="AZ473" t="s">
        <v>74</v>
      </c>
      <c r="BA473" t="s">
        <v>74</v>
      </c>
      <c r="BB473" t="s">
        <v>74</v>
      </c>
      <c r="BC473" t="s">
        <v>74</v>
      </c>
      <c r="BD473">
        <v>106225</v>
      </c>
      <c r="BE473" t="s">
        <v>9228</v>
      </c>
      <c r="BF473" t="str">
        <f>HYPERLINK("http://dx.doi.org/10.1016/j.marenvres.2023.106225","http://dx.doi.org/10.1016/j.marenvres.2023.106225")</f>
        <v>http://dx.doi.org/10.1016/j.marenvres.2023.106225</v>
      </c>
      <c r="BG473" t="s">
        <v>74</v>
      </c>
      <c r="BH473" t="s">
        <v>6982</v>
      </c>
      <c r="BI473">
        <v>11</v>
      </c>
      <c r="BJ473" t="s">
        <v>7842</v>
      </c>
      <c r="BK473" t="s">
        <v>100</v>
      </c>
      <c r="BL473" t="s">
        <v>7843</v>
      </c>
      <c r="BM473" t="s">
        <v>9229</v>
      </c>
      <c r="BN473">
        <v>37866974</v>
      </c>
      <c r="BO473" t="s">
        <v>74</v>
      </c>
      <c r="BP473" t="s">
        <v>74</v>
      </c>
      <c r="BQ473" t="s">
        <v>74</v>
      </c>
      <c r="BR473" t="s">
        <v>104</v>
      </c>
      <c r="BS473" t="s">
        <v>9230</v>
      </c>
      <c r="BT473" t="str">
        <f>HYPERLINK("https%3A%2F%2Fwww.webofscience.com%2Fwos%2Fwoscc%2Ffull-record%2FWOS:001113091800001","View Full Record in Web of Science")</f>
        <v>View Full Record in Web of Science</v>
      </c>
    </row>
    <row r="474" spans="1:72" x14ac:dyDescent="0.15">
      <c r="A474" t="s">
        <v>72</v>
      </c>
      <c r="B474" t="s">
        <v>9231</v>
      </c>
      <c r="C474" t="s">
        <v>74</v>
      </c>
      <c r="D474" t="s">
        <v>74</v>
      </c>
      <c r="E474" t="s">
        <v>74</v>
      </c>
      <c r="F474" t="s">
        <v>9232</v>
      </c>
      <c r="G474" t="s">
        <v>74</v>
      </c>
      <c r="H474" t="s">
        <v>74</v>
      </c>
      <c r="I474" t="s">
        <v>9233</v>
      </c>
      <c r="J474" t="s">
        <v>1090</v>
      </c>
      <c r="K474" t="s">
        <v>74</v>
      </c>
      <c r="L474" t="s">
        <v>74</v>
      </c>
      <c r="M474" t="s">
        <v>78</v>
      </c>
      <c r="N474" t="s">
        <v>79</v>
      </c>
      <c r="O474" t="s">
        <v>74</v>
      </c>
      <c r="P474" t="s">
        <v>74</v>
      </c>
      <c r="Q474" t="s">
        <v>74</v>
      </c>
      <c r="R474" t="s">
        <v>74</v>
      </c>
      <c r="S474" t="s">
        <v>74</v>
      </c>
      <c r="T474" t="s">
        <v>9234</v>
      </c>
      <c r="U474" t="s">
        <v>9235</v>
      </c>
      <c r="V474" t="s">
        <v>9236</v>
      </c>
      <c r="W474" t="s">
        <v>9237</v>
      </c>
      <c r="X474" t="s">
        <v>9238</v>
      </c>
      <c r="Y474" t="s">
        <v>9239</v>
      </c>
      <c r="Z474" t="s">
        <v>9240</v>
      </c>
      <c r="AA474" t="s">
        <v>74</v>
      </c>
      <c r="AB474" t="s">
        <v>9241</v>
      </c>
      <c r="AC474" t="s">
        <v>9242</v>
      </c>
      <c r="AD474" t="s">
        <v>9243</v>
      </c>
      <c r="AE474" t="s">
        <v>9244</v>
      </c>
      <c r="AF474" t="s">
        <v>74</v>
      </c>
      <c r="AG474">
        <v>45</v>
      </c>
      <c r="AH474">
        <v>0</v>
      </c>
      <c r="AI474">
        <v>0</v>
      </c>
      <c r="AJ474">
        <v>2</v>
      </c>
      <c r="AK474">
        <v>2</v>
      </c>
      <c r="AL474" t="s">
        <v>1101</v>
      </c>
      <c r="AM474" t="s">
        <v>1102</v>
      </c>
      <c r="AN474" t="s">
        <v>1103</v>
      </c>
      <c r="AO474" t="s">
        <v>1104</v>
      </c>
      <c r="AP474" t="s">
        <v>1105</v>
      </c>
      <c r="AQ474" t="s">
        <v>74</v>
      </c>
      <c r="AR474" t="s">
        <v>1106</v>
      </c>
      <c r="AS474" t="s">
        <v>1107</v>
      </c>
      <c r="AT474" t="s">
        <v>1108</v>
      </c>
      <c r="AU474">
        <v>2024</v>
      </c>
      <c r="AV474">
        <v>40</v>
      </c>
      <c r="AW474">
        <v>2</v>
      </c>
      <c r="AX474" t="s">
        <v>74</v>
      </c>
      <c r="AY474" t="s">
        <v>74</v>
      </c>
      <c r="AZ474" t="s">
        <v>74</v>
      </c>
      <c r="BA474" t="s">
        <v>74</v>
      </c>
      <c r="BB474" t="s">
        <v>74</v>
      </c>
      <c r="BC474" t="s">
        <v>74</v>
      </c>
      <c r="BD474" t="s">
        <v>74</v>
      </c>
      <c r="BE474" t="s">
        <v>9245</v>
      </c>
      <c r="BF474" t="str">
        <f>HYPERLINK("http://dx.doi.org/10.1111/mms.13088","http://dx.doi.org/10.1111/mms.13088")</f>
        <v>http://dx.doi.org/10.1111/mms.13088</v>
      </c>
      <c r="BG474" t="s">
        <v>74</v>
      </c>
      <c r="BH474" t="s">
        <v>6982</v>
      </c>
      <c r="BI474">
        <v>17</v>
      </c>
      <c r="BJ474" t="s">
        <v>1110</v>
      </c>
      <c r="BK474" t="s">
        <v>100</v>
      </c>
      <c r="BL474" t="s">
        <v>1110</v>
      </c>
      <c r="BM474" t="s">
        <v>1111</v>
      </c>
      <c r="BN474" t="s">
        <v>74</v>
      </c>
      <c r="BO474" t="s">
        <v>74</v>
      </c>
      <c r="BP474" t="s">
        <v>74</v>
      </c>
      <c r="BQ474" t="s">
        <v>74</v>
      </c>
      <c r="BR474" t="s">
        <v>104</v>
      </c>
      <c r="BS474" t="s">
        <v>9246</v>
      </c>
      <c r="BT474" t="str">
        <f>HYPERLINK("https%3A%2F%2Fwww.webofscience.com%2Fwos%2Fwoscc%2Ffull-record%2FWOS:001103965400001","View Full Record in Web of Science")</f>
        <v>View Full Record in Web of Science</v>
      </c>
    </row>
    <row r="475" spans="1:72" x14ac:dyDescent="0.15">
      <c r="A475" t="s">
        <v>72</v>
      </c>
      <c r="B475" t="s">
        <v>9247</v>
      </c>
      <c r="C475" t="s">
        <v>74</v>
      </c>
      <c r="D475" t="s">
        <v>74</v>
      </c>
      <c r="E475" t="s">
        <v>74</v>
      </c>
      <c r="F475" t="s">
        <v>9248</v>
      </c>
      <c r="G475" t="s">
        <v>74</v>
      </c>
      <c r="H475" t="s">
        <v>74</v>
      </c>
      <c r="I475" t="s">
        <v>9249</v>
      </c>
      <c r="J475" t="s">
        <v>7701</v>
      </c>
      <c r="K475" t="s">
        <v>74</v>
      </c>
      <c r="L475" t="s">
        <v>74</v>
      </c>
      <c r="M475" t="s">
        <v>78</v>
      </c>
      <c r="N475" t="s">
        <v>79</v>
      </c>
      <c r="O475" t="s">
        <v>74</v>
      </c>
      <c r="P475" t="s">
        <v>74</v>
      </c>
      <c r="Q475" t="s">
        <v>74</v>
      </c>
      <c r="R475" t="s">
        <v>74</v>
      </c>
      <c r="S475" t="s">
        <v>74</v>
      </c>
      <c r="T475" t="s">
        <v>74</v>
      </c>
      <c r="U475" t="s">
        <v>9250</v>
      </c>
      <c r="V475" t="s">
        <v>9251</v>
      </c>
      <c r="W475" t="s">
        <v>9252</v>
      </c>
      <c r="X475" t="s">
        <v>9253</v>
      </c>
      <c r="Y475" t="s">
        <v>9254</v>
      </c>
      <c r="Z475" t="s">
        <v>9255</v>
      </c>
      <c r="AA475" t="s">
        <v>74</v>
      </c>
      <c r="AB475" t="s">
        <v>9256</v>
      </c>
      <c r="AC475" t="s">
        <v>9257</v>
      </c>
      <c r="AD475" t="s">
        <v>9258</v>
      </c>
      <c r="AE475" t="s">
        <v>9259</v>
      </c>
      <c r="AF475" t="s">
        <v>74</v>
      </c>
      <c r="AG475">
        <v>115</v>
      </c>
      <c r="AH475">
        <v>2</v>
      </c>
      <c r="AI475">
        <v>2</v>
      </c>
      <c r="AJ475">
        <v>3</v>
      </c>
      <c r="AK475">
        <v>3</v>
      </c>
      <c r="AL475" t="s">
        <v>1101</v>
      </c>
      <c r="AM475" t="s">
        <v>1102</v>
      </c>
      <c r="AN475" t="s">
        <v>1103</v>
      </c>
      <c r="AO475" t="s">
        <v>7713</v>
      </c>
      <c r="AP475" t="s">
        <v>7714</v>
      </c>
      <c r="AQ475" t="s">
        <v>74</v>
      </c>
      <c r="AR475" t="s">
        <v>7715</v>
      </c>
      <c r="AS475" t="s">
        <v>7716</v>
      </c>
      <c r="AT475" t="s">
        <v>1947</v>
      </c>
      <c r="AU475">
        <v>2023</v>
      </c>
      <c r="AV475">
        <v>58</v>
      </c>
      <c r="AW475">
        <v>12</v>
      </c>
      <c r="AX475" t="s">
        <v>74</v>
      </c>
      <c r="AY475" t="s">
        <v>74</v>
      </c>
      <c r="AZ475" t="s">
        <v>74</v>
      </c>
      <c r="BA475" t="s">
        <v>74</v>
      </c>
      <c r="BB475">
        <v>1707</v>
      </c>
      <c r="BC475">
        <v>1746</v>
      </c>
      <c r="BD475" t="s">
        <v>74</v>
      </c>
      <c r="BE475" t="s">
        <v>9260</v>
      </c>
      <c r="BF475" t="str">
        <f>HYPERLINK("http://dx.doi.org/10.1111/maps.14094","http://dx.doi.org/10.1111/maps.14094")</f>
        <v>http://dx.doi.org/10.1111/maps.14094</v>
      </c>
      <c r="BG475" t="s">
        <v>74</v>
      </c>
      <c r="BH475" t="s">
        <v>6982</v>
      </c>
      <c r="BI475">
        <v>40</v>
      </c>
      <c r="BJ475" t="s">
        <v>4252</v>
      </c>
      <c r="BK475" t="s">
        <v>100</v>
      </c>
      <c r="BL475" t="s">
        <v>4252</v>
      </c>
      <c r="BM475" t="s">
        <v>9261</v>
      </c>
      <c r="BN475" t="s">
        <v>74</v>
      </c>
      <c r="BO475" t="s">
        <v>103</v>
      </c>
      <c r="BP475" t="s">
        <v>74</v>
      </c>
      <c r="BQ475" t="s">
        <v>74</v>
      </c>
      <c r="BR475" t="s">
        <v>104</v>
      </c>
      <c r="BS475" t="s">
        <v>9262</v>
      </c>
      <c r="BT475" t="str">
        <f>HYPERLINK("https%3A%2F%2Fwww.webofscience.com%2Fwos%2Fwoscc%2Ffull-record%2FWOS:001101815200001","View Full Record in Web of Science")</f>
        <v>View Full Record in Web of Science</v>
      </c>
    </row>
    <row r="476" spans="1:72" x14ac:dyDescent="0.15">
      <c r="A476" t="s">
        <v>72</v>
      </c>
      <c r="B476" t="s">
        <v>9263</v>
      </c>
      <c r="C476" t="s">
        <v>74</v>
      </c>
      <c r="D476" t="s">
        <v>74</v>
      </c>
      <c r="E476" t="s">
        <v>74</v>
      </c>
      <c r="F476" t="s">
        <v>9264</v>
      </c>
      <c r="G476" t="s">
        <v>74</v>
      </c>
      <c r="H476" t="s">
        <v>74</v>
      </c>
      <c r="I476" t="s">
        <v>9265</v>
      </c>
      <c r="J476" t="s">
        <v>9266</v>
      </c>
      <c r="K476" t="s">
        <v>74</v>
      </c>
      <c r="L476" t="s">
        <v>74</v>
      </c>
      <c r="M476" t="s">
        <v>78</v>
      </c>
      <c r="N476" t="s">
        <v>79</v>
      </c>
      <c r="O476" t="s">
        <v>74</v>
      </c>
      <c r="P476" t="s">
        <v>74</v>
      </c>
      <c r="Q476" t="s">
        <v>74</v>
      </c>
      <c r="R476" t="s">
        <v>74</v>
      </c>
      <c r="S476" t="s">
        <v>74</v>
      </c>
      <c r="T476" t="s">
        <v>74</v>
      </c>
      <c r="U476" t="s">
        <v>9267</v>
      </c>
      <c r="V476" t="s">
        <v>9268</v>
      </c>
      <c r="W476" t="s">
        <v>9269</v>
      </c>
      <c r="X476" t="s">
        <v>9270</v>
      </c>
      <c r="Y476" t="s">
        <v>9271</v>
      </c>
      <c r="Z476" t="s">
        <v>9272</v>
      </c>
      <c r="AA476" t="s">
        <v>9273</v>
      </c>
      <c r="AB476" t="s">
        <v>9274</v>
      </c>
      <c r="AC476" t="s">
        <v>9275</v>
      </c>
      <c r="AD476" t="s">
        <v>9276</v>
      </c>
      <c r="AE476" t="s">
        <v>9277</v>
      </c>
      <c r="AF476" t="s">
        <v>74</v>
      </c>
      <c r="AG476">
        <v>102</v>
      </c>
      <c r="AH476">
        <v>0</v>
      </c>
      <c r="AI476">
        <v>0</v>
      </c>
      <c r="AJ476">
        <v>1</v>
      </c>
      <c r="AK476">
        <v>1</v>
      </c>
      <c r="AL476" t="s">
        <v>1101</v>
      </c>
      <c r="AM476" t="s">
        <v>1102</v>
      </c>
      <c r="AN476" t="s">
        <v>1103</v>
      </c>
      <c r="AO476" t="s">
        <v>9278</v>
      </c>
      <c r="AP476" t="s">
        <v>9279</v>
      </c>
      <c r="AQ476" t="s">
        <v>74</v>
      </c>
      <c r="AR476" t="s">
        <v>9280</v>
      </c>
      <c r="AS476" t="s">
        <v>9281</v>
      </c>
      <c r="AT476" t="s">
        <v>1947</v>
      </c>
      <c r="AU476">
        <v>2023</v>
      </c>
      <c r="AV476">
        <v>25</v>
      </c>
      <c r="AW476">
        <v>12</v>
      </c>
      <c r="AX476" t="s">
        <v>74</v>
      </c>
      <c r="AY476" t="s">
        <v>74</v>
      </c>
      <c r="AZ476" t="s">
        <v>74</v>
      </c>
      <c r="BA476" t="s">
        <v>74</v>
      </c>
      <c r="BB476">
        <v>3671</v>
      </c>
      <c r="BC476">
        <v>3682</v>
      </c>
      <c r="BD476" t="s">
        <v>74</v>
      </c>
      <c r="BE476" t="s">
        <v>9282</v>
      </c>
      <c r="BF476" t="str">
        <f>HYPERLINK("http://dx.doi.org/10.1111/1462-2920.16534","http://dx.doi.org/10.1111/1462-2920.16534")</f>
        <v>http://dx.doi.org/10.1111/1462-2920.16534</v>
      </c>
      <c r="BG476" t="s">
        <v>74</v>
      </c>
      <c r="BH476" t="s">
        <v>6982</v>
      </c>
      <c r="BI476">
        <v>12</v>
      </c>
      <c r="BJ476" t="s">
        <v>1084</v>
      </c>
      <c r="BK476" t="s">
        <v>100</v>
      </c>
      <c r="BL476" t="s">
        <v>1084</v>
      </c>
      <c r="BM476" t="s">
        <v>9283</v>
      </c>
      <c r="BN476">
        <v>37964667</v>
      </c>
      <c r="BO476" t="s">
        <v>103</v>
      </c>
      <c r="BP476" t="s">
        <v>74</v>
      </c>
      <c r="BQ476" t="s">
        <v>74</v>
      </c>
      <c r="BR476" t="s">
        <v>104</v>
      </c>
      <c r="BS476" t="s">
        <v>9284</v>
      </c>
      <c r="BT476" t="str">
        <f>HYPERLINK("https%3A%2F%2Fwww.webofscience.com%2Fwos%2Fwoscc%2Ffull-record%2FWOS:001101089400001","View Full Record in Web of Science")</f>
        <v>View Full Record in Web of Science</v>
      </c>
    </row>
    <row r="477" spans="1:72" x14ac:dyDescent="0.15">
      <c r="A477" t="s">
        <v>72</v>
      </c>
      <c r="B477" t="s">
        <v>9285</v>
      </c>
      <c r="C477" t="s">
        <v>74</v>
      </c>
      <c r="D477" t="s">
        <v>74</v>
      </c>
      <c r="E477" t="s">
        <v>74</v>
      </c>
      <c r="F477" t="s">
        <v>9286</v>
      </c>
      <c r="G477" t="s">
        <v>74</v>
      </c>
      <c r="H477" t="s">
        <v>74</v>
      </c>
      <c r="I477" t="s">
        <v>9287</v>
      </c>
      <c r="J477" t="s">
        <v>3323</v>
      </c>
      <c r="K477" t="s">
        <v>74</v>
      </c>
      <c r="L477" t="s">
        <v>74</v>
      </c>
      <c r="M477" t="s">
        <v>78</v>
      </c>
      <c r="N477" t="s">
        <v>79</v>
      </c>
      <c r="O477" t="s">
        <v>74</v>
      </c>
      <c r="P477" t="s">
        <v>74</v>
      </c>
      <c r="Q477" t="s">
        <v>74</v>
      </c>
      <c r="R477" t="s">
        <v>74</v>
      </c>
      <c r="S477" t="s">
        <v>74</v>
      </c>
      <c r="T477" t="s">
        <v>74</v>
      </c>
      <c r="U477" t="s">
        <v>9288</v>
      </c>
      <c r="V477" t="s">
        <v>9289</v>
      </c>
      <c r="W477" t="s">
        <v>9290</v>
      </c>
      <c r="X477" t="s">
        <v>9291</v>
      </c>
      <c r="Y477" t="s">
        <v>9292</v>
      </c>
      <c r="Z477" t="s">
        <v>9293</v>
      </c>
      <c r="AA477" t="s">
        <v>74</v>
      </c>
      <c r="AB477" t="s">
        <v>9294</v>
      </c>
      <c r="AC477" t="s">
        <v>9295</v>
      </c>
      <c r="AD477" t="s">
        <v>9296</v>
      </c>
      <c r="AE477" t="s">
        <v>9297</v>
      </c>
      <c r="AF477" t="s">
        <v>74</v>
      </c>
      <c r="AG477">
        <v>195</v>
      </c>
      <c r="AH477">
        <v>0</v>
      </c>
      <c r="AI477">
        <v>0</v>
      </c>
      <c r="AJ477">
        <v>1</v>
      </c>
      <c r="AK477">
        <v>1</v>
      </c>
      <c r="AL477" t="s">
        <v>1838</v>
      </c>
      <c r="AM477" t="s">
        <v>1839</v>
      </c>
      <c r="AN477" t="s">
        <v>1840</v>
      </c>
      <c r="AO477" t="s">
        <v>3335</v>
      </c>
      <c r="AP477" t="s">
        <v>3336</v>
      </c>
      <c r="AQ477" t="s">
        <v>74</v>
      </c>
      <c r="AR477" t="s">
        <v>3337</v>
      </c>
      <c r="AS477" t="s">
        <v>3338</v>
      </c>
      <c r="AT477" t="s">
        <v>9298</v>
      </c>
      <c r="AU477">
        <v>2023</v>
      </c>
      <c r="AV477">
        <v>19</v>
      </c>
      <c r="AW477">
        <v>11</v>
      </c>
      <c r="AX477" t="s">
        <v>74</v>
      </c>
      <c r="AY477" t="s">
        <v>74</v>
      </c>
      <c r="AZ477" t="s">
        <v>74</v>
      </c>
      <c r="BA477" t="s">
        <v>74</v>
      </c>
      <c r="BB477">
        <v>2313</v>
      </c>
      <c r="BC477">
        <v>2340</v>
      </c>
      <c r="BD477" t="s">
        <v>74</v>
      </c>
      <c r="BE477" t="s">
        <v>9299</v>
      </c>
      <c r="BF477" t="str">
        <f>HYPERLINK("http://dx.doi.org/10.5194/cp-19-2313-2023","http://dx.doi.org/10.5194/cp-19-2313-2023")</f>
        <v>http://dx.doi.org/10.5194/cp-19-2313-2023</v>
      </c>
      <c r="BG477" t="s">
        <v>74</v>
      </c>
      <c r="BH477" t="s">
        <v>74</v>
      </c>
      <c r="BI477">
        <v>28</v>
      </c>
      <c r="BJ477" t="s">
        <v>2405</v>
      </c>
      <c r="BK477" t="s">
        <v>100</v>
      </c>
      <c r="BL477" t="s">
        <v>2406</v>
      </c>
      <c r="BM477" t="s">
        <v>9300</v>
      </c>
      <c r="BN477" t="s">
        <v>74</v>
      </c>
      <c r="BO477" t="s">
        <v>349</v>
      </c>
      <c r="BP477" t="s">
        <v>74</v>
      </c>
      <c r="BQ477" t="s">
        <v>74</v>
      </c>
      <c r="BR477" t="s">
        <v>104</v>
      </c>
      <c r="BS477" t="s">
        <v>9301</v>
      </c>
      <c r="BT477" t="str">
        <f>HYPERLINK("https%3A%2F%2Fwww.webofscience.com%2Fwos%2Fwoscc%2Ffull-record%2FWOS:001171513800001","View Full Record in Web of Science")</f>
        <v>View Full Record in Web of Science</v>
      </c>
    </row>
    <row r="478" spans="1:72" x14ac:dyDescent="0.15">
      <c r="A478" t="s">
        <v>72</v>
      </c>
      <c r="B478" t="s">
        <v>9302</v>
      </c>
      <c r="C478" t="s">
        <v>74</v>
      </c>
      <c r="D478" t="s">
        <v>74</v>
      </c>
      <c r="E478" t="s">
        <v>74</v>
      </c>
      <c r="F478" t="s">
        <v>9303</v>
      </c>
      <c r="G478" t="s">
        <v>74</v>
      </c>
      <c r="H478" t="s">
        <v>74</v>
      </c>
      <c r="I478" t="s">
        <v>9304</v>
      </c>
      <c r="J478" t="s">
        <v>3384</v>
      </c>
      <c r="K478" t="s">
        <v>74</v>
      </c>
      <c r="L478" t="s">
        <v>74</v>
      </c>
      <c r="M478" t="s">
        <v>78</v>
      </c>
      <c r="N478" t="s">
        <v>79</v>
      </c>
      <c r="O478" t="s">
        <v>74</v>
      </c>
      <c r="P478" t="s">
        <v>74</v>
      </c>
      <c r="Q478" t="s">
        <v>74</v>
      </c>
      <c r="R478" t="s">
        <v>74</v>
      </c>
      <c r="S478" t="s">
        <v>74</v>
      </c>
      <c r="T478" t="s">
        <v>74</v>
      </c>
      <c r="U478" t="s">
        <v>9305</v>
      </c>
      <c r="V478" t="s">
        <v>9306</v>
      </c>
      <c r="W478" t="s">
        <v>9307</v>
      </c>
      <c r="X478" t="s">
        <v>9308</v>
      </c>
      <c r="Y478" t="s">
        <v>9309</v>
      </c>
      <c r="Z478" t="s">
        <v>9310</v>
      </c>
      <c r="AA478" t="s">
        <v>9311</v>
      </c>
      <c r="AB478" t="s">
        <v>9312</v>
      </c>
      <c r="AC478" t="s">
        <v>9313</v>
      </c>
      <c r="AD478" t="s">
        <v>9314</v>
      </c>
      <c r="AE478" t="s">
        <v>9315</v>
      </c>
      <c r="AF478" t="s">
        <v>74</v>
      </c>
      <c r="AG478">
        <v>78</v>
      </c>
      <c r="AH478">
        <v>0</v>
      </c>
      <c r="AI478">
        <v>0</v>
      </c>
      <c r="AJ478">
        <v>14</v>
      </c>
      <c r="AK478">
        <v>14</v>
      </c>
      <c r="AL478" t="s">
        <v>3057</v>
      </c>
      <c r="AM478" t="s">
        <v>3058</v>
      </c>
      <c r="AN478" t="s">
        <v>3059</v>
      </c>
      <c r="AO478" t="s">
        <v>74</v>
      </c>
      <c r="AP478" t="s">
        <v>3396</v>
      </c>
      <c r="AQ478" t="s">
        <v>74</v>
      </c>
      <c r="AR478" t="s">
        <v>3397</v>
      </c>
      <c r="AS478" t="s">
        <v>3398</v>
      </c>
      <c r="AT478" t="s">
        <v>9298</v>
      </c>
      <c r="AU478">
        <v>2023</v>
      </c>
      <c r="AV478">
        <v>14</v>
      </c>
      <c r="AW478">
        <v>1</v>
      </c>
      <c r="AX478" t="s">
        <v>74</v>
      </c>
      <c r="AY478" t="s">
        <v>74</v>
      </c>
      <c r="AZ478" t="s">
        <v>74</v>
      </c>
      <c r="BA478" t="s">
        <v>74</v>
      </c>
      <c r="BB478" t="s">
        <v>74</v>
      </c>
      <c r="BC478" t="s">
        <v>74</v>
      </c>
      <c r="BD478">
        <v>7327</v>
      </c>
      <c r="BE478" t="s">
        <v>9316</v>
      </c>
      <c r="BF478" t="str">
        <f>HYPERLINK("http://dx.doi.org/10.1038/s41467-023-42974-0","http://dx.doi.org/10.1038/s41467-023-42974-0")</f>
        <v>http://dx.doi.org/10.1038/s41467-023-42974-0</v>
      </c>
      <c r="BG478" t="s">
        <v>74</v>
      </c>
      <c r="BH478" t="s">
        <v>74</v>
      </c>
      <c r="BI478">
        <v>10</v>
      </c>
      <c r="BJ478" t="s">
        <v>1035</v>
      </c>
      <c r="BK478" t="s">
        <v>100</v>
      </c>
      <c r="BL478" t="s">
        <v>1036</v>
      </c>
      <c r="BM478" t="s">
        <v>9317</v>
      </c>
      <c r="BN478">
        <v>37957152</v>
      </c>
      <c r="BO478" t="s">
        <v>265</v>
      </c>
      <c r="BP478" t="s">
        <v>74</v>
      </c>
      <c r="BQ478" t="s">
        <v>74</v>
      </c>
      <c r="BR478" t="s">
        <v>104</v>
      </c>
      <c r="BS478" t="s">
        <v>9318</v>
      </c>
      <c r="BT478" t="str">
        <f>HYPERLINK("https%3A%2F%2Fwww.webofscience.com%2Fwos%2Fwoscc%2Ffull-record%2FWOS:001126808200004","View Full Record in Web of Science")</f>
        <v>View Full Record in Web of Science</v>
      </c>
    </row>
    <row r="479" spans="1:72" x14ac:dyDescent="0.15">
      <c r="A479" t="s">
        <v>72</v>
      </c>
      <c r="B479" t="s">
        <v>5022</v>
      </c>
      <c r="C479" t="s">
        <v>74</v>
      </c>
      <c r="D479" t="s">
        <v>74</v>
      </c>
      <c r="E479" t="s">
        <v>74</v>
      </c>
      <c r="F479" t="s">
        <v>5023</v>
      </c>
      <c r="G479" t="s">
        <v>74</v>
      </c>
      <c r="H479" t="s">
        <v>74</v>
      </c>
      <c r="I479" t="s">
        <v>5024</v>
      </c>
      <c r="J479" t="s">
        <v>4870</v>
      </c>
      <c r="K479" t="s">
        <v>74</v>
      </c>
      <c r="L479" t="s">
        <v>74</v>
      </c>
      <c r="M479" t="s">
        <v>78</v>
      </c>
      <c r="N479" t="s">
        <v>79</v>
      </c>
      <c r="O479" t="s">
        <v>74</v>
      </c>
      <c r="P479" t="s">
        <v>74</v>
      </c>
      <c r="Q479" t="s">
        <v>74</v>
      </c>
      <c r="R479" t="s">
        <v>74</v>
      </c>
      <c r="S479" t="s">
        <v>74</v>
      </c>
      <c r="T479" t="s">
        <v>74</v>
      </c>
      <c r="U479" t="s">
        <v>9319</v>
      </c>
      <c r="V479" t="s">
        <v>5025</v>
      </c>
      <c r="W479" t="s">
        <v>5026</v>
      </c>
      <c r="X479" t="s">
        <v>5027</v>
      </c>
      <c r="Y479" t="s">
        <v>5028</v>
      </c>
      <c r="Z479" t="s">
        <v>5029</v>
      </c>
      <c r="AA479" t="s">
        <v>5030</v>
      </c>
      <c r="AB479" t="s">
        <v>5031</v>
      </c>
      <c r="AC479" t="s">
        <v>9320</v>
      </c>
      <c r="AD479" t="s">
        <v>9321</v>
      </c>
      <c r="AE479" t="s">
        <v>5034</v>
      </c>
      <c r="AF479" t="s">
        <v>74</v>
      </c>
      <c r="AG479">
        <v>69</v>
      </c>
      <c r="AH479">
        <v>1</v>
      </c>
      <c r="AI479">
        <v>1</v>
      </c>
      <c r="AJ479">
        <v>5</v>
      </c>
      <c r="AK479">
        <v>5</v>
      </c>
      <c r="AL479" t="s">
        <v>3057</v>
      </c>
      <c r="AM479" t="s">
        <v>3058</v>
      </c>
      <c r="AN479" t="s">
        <v>3059</v>
      </c>
      <c r="AO479" t="s">
        <v>4881</v>
      </c>
      <c r="AP479" t="s">
        <v>4882</v>
      </c>
      <c r="AQ479" t="s">
        <v>74</v>
      </c>
      <c r="AR479" t="s">
        <v>4883</v>
      </c>
      <c r="AS479" t="s">
        <v>4884</v>
      </c>
      <c r="AT479" t="s">
        <v>1947</v>
      </c>
      <c r="AU479">
        <v>2023</v>
      </c>
      <c r="AV479">
        <v>16</v>
      </c>
      <c r="AW479">
        <v>12</v>
      </c>
      <c r="AX479" t="s">
        <v>74</v>
      </c>
      <c r="AY479" t="s">
        <v>74</v>
      </c>
      <c r="AZ479" t="s">
        <v>74</v>
      </c>
      <c r="BA479" t="s">
        <v>74</v>
      </c>
      <c r="BB479" t="s">
        <v>74</v>
      </c>
      <c r="BC479" t="s">
        <v>74</v>
      </c>
      <c r="BD479" t="s">
        <v>74</v>
      </c>
      <c r="BE479" t="s">
        <v>5035</v>
      </c>
      <c r="BF479" t="str">
        <f>HYPERLINK("http://dx.doi.org/10.1038/s41561-023-01317-w","http://dx.doi.org/10.1038/s41561-023-01317-w")</f>
        <v>http://dx.doi.org/10.1038/s41561-023-01317-w</v>
      </c>
      <c r="BG479" t="s">
        <v>74</v>
      </c>
      <c r="BH479" t="s">
        <v>6982</v>
      </c>
      <c r="BI479">
        <v>12</v>
      </c>
      <c r="BJ479" t="s">
        <v>535</v>
      </c>
      <c r="BK479" t="s">
        <v>100</v>
      </c>
      <c r="BL479" t="s">
        <v>536</v>
      </c>
      <c r="BM479" t="s">
        <v>7733</v>
      </c>
      <c r="BN479" t="s">
        <v>74</v>
      </c>
      <c r="BO479" t="s">
        <v>322</v>
      </c>
      <c r="BP479" t="s">
        <v>74</v>
      </c>
      <c r="BQ479" t="s">
        <v>74</v>
      </c>
      <c r="BR479" t="s">
        <v>104</v>
      </c>
      <c r="BS479" t="s">
        <v>9322</v>
      </c>
      <c r="BT479" t="str">
        <f>HYPERLINK("https%3A%2F%2Fwww.webofscience.com%2Fwos%2Fwoscc%2Ffull-record%2FWOS:001104971400002","View Full Record in Web of Science")</f>
        <v>View Full Record in Web of Science</v>
      </c>
    </row>
    <row r="480" spans="1:72" x14ac:dyDescent="0.15">
      <c r="A480" t="s">
        <v>72</v>
      </c>
      <c r="B480" t="s">
        <v>9323</v>
      </c>
      <c r="C480" t="s">
        <v>74</v>
      </c>
      <c r="D480" t="s">
        <v>74</v>
      </c>
      <c r="E480" t="s">
        <v>74</v>
      </c>
      <c r="F480" t="s">
        <v>9324</v>
      </c>
      <c r="G480" t="s">
        <v>74</v>
      </c>
      <c r="H480" t="s">
        <v>74</v>
      </c>
      <c r="I480" t="s">
        <v>9325</v>
      </c>
      <c r="J480" t="s">
        <v>7701</v>
      </c>
      <c r="K480" t="s">
        <v>74</v>
      </c>
      <c r="L480" t="s">
        <v>74</v>
      </c>
      <c r="M480" t="s">
        <v>78</v>
      </c>
      <c r="N480" t="s">
        <v>1547</v>
      </c>
      <c r="O480" t="s">
        <v>74</v>
      </c>
      <c r="P480" t="s">
        <v>74</v>
      </c>
      <c r="Q480" t="s">
        <v>74</v>
      </c>
      <c r="R480" t="s">
        <v>74</v>
      </c>
      <c r="S480" t="s">
        <v>74</v>
      </c>
      <c r="T480" t="s">
        <v>74</v>
      </c>
      <c r="U480" t="s">
        <v>9326</v>
      </c>
      <c r="V480" t="s">
        <v>9327</v>
      </c>
      <c r="W480" t="s">
        <v>9328</v>
      </c>
      <c r="X480" t="s">
        <v>9329</v>
      </c>
      <c r="Y480" t="s">
        <v>9330</v>
      </c>
      <c r="Z480" t="s">
        <v>9331</v>
      </c>
      <c r="AA480" t="s">
        <v>9332</v>
      </c>
      <c r="AB480" t="s">
        <v>9333</v>
      </c>
      <c r="AC480" t="s">
        <v>9334</v>
      </c>
      <c r="AD480" t="s">
        <v>9335</v>
      </c>
      <c r="AE480" t="s">
        <v>9336</v>
      </c>
      <c r="AF480" t="s">
        <v>74</v>
      </c>
      <c r="AG480">
        <v>43</v>
      </c>
      <c r="AH480">
        <v>0</v>
      </c>
      <c r="AI480">
        <v>0</v>
      </c>
      <c r="AJ480">
        <v>2</v>
      </c>
      <c r="AK480">
        <v>2</v>
      </c>
      <c r="AL480" t="s">
        <v>1101</v>
      </c>
      <c r="AM480" t="s">
        <v>1102</v>
      </c>
      <c r="AN480" t="s">
        <v>1103</v>
      </c>
      <c r="AO480" t="s">
        <v>7713</v>
      </c>
      <c r="AP480" t="s">
        <v>7714</v>
      </c>
      <c r="AQ480" t="s">
        <v>74</v>
      </c>
      <c r="AR480" t="s">
        <v>7715</v>
      </c>
      <c r="AS480" t="s">
        <v>7716</v>
      </c>
      <c r="AT480" t="s">
        <v>9337</v>
      </c>
      <c r="AU480">
        <v>2023</v>
      </c>
      <c r="AV480" t="s">
        <v>74</v>
      </c>
      <c r="AW480" t="s">
        <v>74</v>
      </c>
      <c r="AX480" t="s">
        <v>74</v>
      </c>
      <c r="AY480" t="s">
        <v>74</v>
      </c>
      <c r="AZ480" t="s">
        <v>74</v>
      </c>
      <c r="BA480" t="s">
        <v>74</v>
      </c>
      <c r="BB480" t="s">
        <v>74</v>
      </c>
      <c r="BC480" t="s">
        <v>74</v>
      </c>
      <c r="BD480" t="s">
        <v>74</v>
      </c>
      <c r="BE480" t="s">
        <v>9338</v>
      </c>
      <c r="BF480" t="str">
        <f>HYPERLINK("http://dx.doi.org/10.1111/maps.14097","http://dx.doi.org/10.1111/maps.14097")</f>
        <v>http://dx.doi.org/10.1111/maps.14097</v>
      </c>
      <c r="BG480" t="s">
        <v>74</v>
      </c>
      <c r="BH480" t="s">
        <v>6982</v>
      </c>
      <c r="BI480">
        <v>18</v>
      </c>
      <c r="BJ480" t="s">
        <v>4252</v>
      </c>
      <c r="BK480" t="s">
        <v>100</v>
      </c>
      <c r="BL480" t="s">
        <v>4252</v>
      </c>
      <c r="BM480" t="s">
        <v>9339</v>
      </c>
      <c r="BN480" t="s">
        <v>74</v>
      </c>
      <c r="BO480" t="s">
        <v>74</v>
      </c>
      <c r="BP480" t="s">
        <v>74</v>
      </c>
      <c r="BQ480" t="s">
        <v>74</v>
      </c>
      <c r="BR480" t="s">
        <v>104</v>
      </c>
      <c r="BS480" t="s">
        <v>9340</v>
      </c>
      <c r="BT480" t="str">
        <f>HYPERLINK("https%3A%2F%2Fwww.webofscience.com%2Fwos%2Fwoscc%2Ffull-record%2FWOS:001106061000001","View Full Record in Web of Science")</f>
        <v>View Full Record in Web of Science</v>
      </c>
    </row>
    <row r="481" spans="1:72" x14ac:dyDescent="0.15">
      <c r="A481" t="s">
        <v>72</v>
      </c>
      <c r="B481" t="s">
        <v>9341</v>
      </c>
      <c r="C481" t="s">
        <v>74</v>
      </c>
      <c r="D481" t="s">
        <v>74</v>
      </c>
      <c r="E481" t="s">
        <v>74</v>
      </c>
      <c r="F481" t="s">
        <v>9342</v>
      </c>
      <c r="G481" t="s">
        <v>74</v>
      </c>
      <c r="H481" t="s">
        <v>74</v>
      </c>
      <c r="I481" t="s">
        <v>9343</v>
      </c>
      <c r="J481" t="s">
        <v>8747</v>
      </c>
      <c r="K481" t="s">
        <v>74</v>
      </c>
      <c r="L481" t="s">
        <v>74</v>
      </c>
      <c r="M481" t="s">
        <v>78</v>
      </c>
      <c r="N481" t="s">
        <v>79</v>
      </c>
      <c r="O481" t="s">
        <v>74</v>
      </c>
      <c r="P481" t="s">
        <v>74</v>
      </c>
      <c r="Q481" t="s">
        <v>74</v>
      </c>
      <c r="R481" t="s">
        <v>74</v>
      </c>
      <c r="S481" t="s">
        <v>74</v>
      </c>
      <c r="T481" t="s">
        <v>9344</v>
      </c>
      <c r="U481" t="s">
        <v>9345</v>
      </c>
      <c r="V481" t="s">
        <v>9346</v>
      </c>
      <c r="W481" t="s">
        <v>9347</v>
      </c>
      <c r="X481" t="s">
        <v>9348</v>
      </c>
      <c r="Y481" t="s">
        <v>9349</v>
      </c>
      <c r="Z481" t="s">
        <v>9350</v>
      </c>
      <c r="AA481" t="s">
        <v>9351</v>
      </c>
      <c r="AB481" t="s">
        <v>9352</v>
      </c>
      <c r="AC481" t="s">
        <v>9353</v>
      </c>
      <c r="AD481" t="s">
        <v>9353</v>
      </c>
      <c r="AE481" t="s">
        <v>9354</v>
      </c>
      <c r="AF481" t="s">
        <v>74</v>
      </c>
      <c r="AG481">
        <v>88</v>
      </c>
      <c r="AH481">
        <v>0</v>
      </c>
      <c r="AI481">
        <v>0</v>
      </c>
      <c r="AJ481">
        <v>9</v>
      </c>
      <c r="AK481">
        <v>9</v>
      </c>
      <c r="AL481" t="s">
        <v>1101</v>
      </c>
      <c r="AM481" t="s">
        <v>1102</v>
      </c>
      <c r="AN481" t="s">
        <v>1103</v>
      </c>
      <c r="AO481" t="s">
        <v>8758</v>
      </c>
      <c r="AP481" t="s">
        <v>8759</v>
      </c>
      <c r="AQ481" t="s">
        <v>74</v>
      </c>
      <c r="AR481" t="s">
        <v>8760</v>
      </c>
      <c r="AS481" t="s">
        <v>8761</v>
      </c>
      <c r="AT481" t="s">
        <v>1108</v>
      </c>
      <c r="AU481">
        <v>2024</v>
      </c>
      <c r="AV481">
        <v>38</v>
      </c>
      <c r="AW481">
        <v>2</v>
      </c>
      <c r="AX481" t="s">
        <v>74</v>
      </c>
      <c r="AY481" t="s">
        <v>74</v>
      </c>
      <c r="AZ481" t="s">
        <v>74</v>
      </c>
      <c r="BA481" t="s">
        <v>74</v>
      </c>
      <c r="BB481" t="s">
        <v>74</v>
      </c>
      <c r="BC481" t="s">
        <v>74</v>
      </c>
      <c r="BD481" t="s">
        <v>74</v>
      </c>
      <c r="BE481" t="s">
        <v>9355</v>
      </c>
      <c r="BF481" t="str">
        <f>HYPERLINK("http://dx.doi.org/10.1111/cobi.14177","http://dx.doi.org/10.1111/cobi.14177")</f>
        <v>http://dx.doi.org/10.1111/cobi.14177</v>
      </c>
      <c r="BG481" t="s">
        <v>74</v>
      </c>
      <c r="BH481" t="s">
        <v>6982</v>
      </c>
      <c r="BI481">
        <v>13</v>
      </c>
      <c r="BJ481" t="s">
        <v>8763</v>
      </c>
      <c r="BK481" t="s">
        <v>100</v>
      </c>
      <c r="BL481" t="s">
        <v>913</v>
      </c>
      <c r="BM481" t="s">
        <v>8764</v>
      </c>
      <c r="BN481">
        <v>37668099</v>
      </c>
      <c r="BO481" t="s">
        <v>103</v>
      </c>
      <c r="BP481" t="s">
        <v>74</v>
      </c>
      <c r="BQ481" t="s">
        <v>74</v>
      </c>
      <c r="BR481" t="s">
        <v>104</v>
      </c>
      <c r="BS481" t="s">
        <v>9356</v>
      </c>
      <c r="BT481" t="str">
        <f>HYPERLINK("https%3A%2F%2Fwww.webofscience.com%2Fwos%2Fwoscc%2Ffull-record%2FWOS:001101584300001","View Full Record in Web of Science")</f>
        <v>View Full Record in Web of Science</v>
      </c>
    </row>
    <row r="482" spans="1:72" x14ac:dyDescent="0.15">
      <c r="A482" t="s">
        <v>72</v>
      </c>
      <c r="B482" t="s">
        <v>9357</v>
      </c>
      <c r="C482" t="s">
        <v>74</v>
      </c>
      <c r="D482" t="s">
        <v>74</v>
      </c>
      <c r="E482" t="s">
        <v>74</v>
      </c>
      <c r="F482" t="s">
        <v>9358</v>
      </c>
      <c r="G482" t="s">
        <v>74</v>
      </c>
      <c r="H482" t="s">
        <v>74</v>
      </c>
      <c r="I482" t="s">
        <v>9359</v>
      </c>
      <c r="J482" t="s">
        <v>1746</v>
      </c>
      <c r="K482" t="s">
        <v>74</v>
      </c>
      <c r="L482" t="s">
        <v>74</v>
      </c>
      <c r="M482" t="s">
        <v>78</v>
      </c>
      <c r="N482" t="s">
        <v>79</v>
      </c>
      <c r="O482" t="s">
        <v>74</v>
      </c>
      <c r="P482" t="s">
        <v>74</v>
      </c>
      <c r="Q482" t="s">
        <v>74</v>
      </c>
      <c r="R482" t="s">
        <v>74</v>
      </c>
      <c r="S482" t="s">
        <v>74</v>
      </c>
      <c r="T482" t="s">
        <v>9360</v>
      </c>
      <c r="U482" t="s">
        <v>9361</v>
      </c>
      <c r="V482" t="s">
        <v>9362</v>
      </c>
      <c r="W482" t="s">
        <v>9363</v>
      </c>
      <c r="X482" t="s">
        <v>9364</v>
      </c>
      <c r="Y482" t="s">
        <v>9365</v>
      </c>
      <c r="Z482" t="s">
        <v>9366</v>
      </c>
      <c r="AA482" t="s">
        <v>9367</v>
      </c>
      <c r="AB482" t="s">
        <v>9368</v>
      </c>
      <c r="AC482" t="s">
        <v>9369</v>
      </c>
      <c r="AD482" t="s">
        <v>9370</v>
      </c>
      <c r="AE482" t="s">
        <v>9371</v>
      </c>
      <c r="AF482" t="s">
        <v>74</v>
      </c>
      <c r="AG482">
        <v>118</v>
      </c>
      <c r="AH482">
        <v>1</v>
      </c>
      <c r="AI482">
        <v>1</v>
      </c>
      <c r="AJ482">
        <v>10</v>
      </c>
      <c r="AK482">
        <v>10</v>
      </c>
      <c r="AL482" t="s">
        <v>1758</v>
      </c>
      <c r="AM482" t="s">
        <v>1759</v>
      </c>
      <c r="AN482" t="s">
        <v>1760</v>
      </c>
      <c r="AO482" t="s">
        <v>74</v>
      </c>
      <c r="AP482" t="s">
        <v>1761</v>
      </c>
      <c r="AQ482" t="s">
        <v>74</v>
      </c>
      <c r="AR482" t="s">
        <v>1762</v>
      </c>
      <c r="AS482" t="s">
        <v>1763</v>
      </c>
      <c r="AT482" t="s">
        <v>9298</v>
      </c>
      <c r="AU482">
        <v>2023</v>
      </c>
      <c r="AV482">
        <v>10</v>
      </c>
      <c r="AW482" t="s">
        <v>74</v>
      </c>
      <c r="AX482" t="s">
        <v>74</v>
      </c>
      <c r="AY482" t="s">
        <v>74</v>
      </c>
      <c r="AZ482" t="s">
        <v>74</v>
      </c>
      <c r="BA482" t="s">
        <v>74</v>
      </c>
      <c r="BB482" t="s">
        <v>74</v>
      </c>
      <c r="BC482" t="s">
        <v>74</v>
      </c>
      <c r="BD482">
        <v>1139917</v>
      </c>
      <c r="BE482" t="s">
        <v>9372</v>
      </c>
      <c r="BF482" t="str">
        <f>HYPERLINK("http://dx.doi.org/10.3389/fmars.2023.1139917","http://dx.doi.org/10.3389/fmars.2023.1139917")</f>
        <v>http://dx.doi.org/10.3389/fmars.2023.1139917</v>
      </c>
      <c r="BG482" t="s">
        <v>74</v>
      </c>
      <c r="BH482" t="s">
        <v>74</v>
      </c>
      <c r="BI482">
        <v>21</v>
      </c>
      <c r="BJ482" t="s">
        <v>1135</v>
      </c>
      <c r="BK482" t="s">
        <v>100</v>
      </c>
      <c r="BL482" t="s">
        <v>1136</v>
      </c>
      <c r="BM482" t="s">
        <v>9373</v>
      </c>
      <c r="BN482" t="s">
        <v>74</v>
      </c>
      <c r="BO482" t="s">
        <v>131</v>
      </c>
      <c r="BP482" t="s">
        <v>74</v>
      </c>
      <c r="BQ482" t="s">
        <v>74</v>
      </c>
      <c r="BR482" t="s">
        <v>104</v>
      </c>
      <c r="BS482" t="s">
        <v>9374</v>
      </c>
      <c r="BT482" t="str">
        <f>HYPERLINK("https%3A%2F%2Fwww.webofscience.com%2Fwos%2Fwoscc%2Ffull-record%2FWOS:001107294500001","View Full Record in Web of Science")</f>
        <v>View Full Record in Web of Science</v>
      </c>
    </row>
    <row r="483" spans="1:72" x14ac:dyDescent="0.15">
      <c r="A483" t="s">
        <v>72</v>
      </c>
      <c r="B483" t="s">
        <v>9375</v>
      </c>
      <c r="C483" t="s">
        <v>74</v>
      </c>
      <c r="D483" t="s">
        <v>74</v>
      </c>
      <c r="E483" t="s">
        <v>74</v>
      </c>
      <c r="F483" t="s">
        <v>9376</v>
      </c>
      <c r="G483" t="s">
        <v>74</v>
      </c>
      <c r="H483" t="s">
        <v>74</v>
      </c>
      <c r="I483" t="s">
        <v>9377</v>
      </c>
      <c r="J483" t="s">
        <v>1746</v>
      </c>
      <c r="K483" t="s">
        <v>74</v>
      </c>
      <c r="L483" t="s">
        <v>74</v>
      </c>
      <c r="M483" t="s">
        <v>78</v>
      </c>
      <c r="N483" t="s">
        <v>79</v>
      </c>
      <c r="O483" t="s">
        <v>74</v>
      </c>
      <c r="P483" t="s">
        <v>74</v>
      </c>
      <c r="Q483" t="s">
        <v>74</v>
      </c>
      <c r="R483" t="s">
        <v>74</v>
      </c>
      <c r="S483" t="s">
        <v>74</v>
      </c>
      <c r="T483" t="s">
        <v>9378</v>
      </c>
      <c r="U483" t="s">
        <v>9379</v>
      </c>
      <c r="V483" t="s">
        <v>9380</v>
      </c>
      <c r="W483" t="s">
        <v>9381</v>
      </c>
      <c r="X483" t="s">
        <v>9382</v>
      </c>
      <c r="Y483" t="s">
        <v>9383</v>
      </c>
      <c r="Z483" t="s">
        <v>9384</v>
      </c>
      <c r="AA483" t="s">
        <v>74</v>
      </c>
      <c r="AB483" t="s">
        <v>74</v>
      </c>
      <c r="AC483" t="s">
        <v>9385</v>
      </c>
      <c r="AD483" t="s">
        <v>9386</v>
      </c>
      <c r="AE483" t="s">
        <v>9387</v>
      </c>
      <c r="AF483" t="s">
        <v>74</v>
      </c>
      <c r="AG483">
        <v>66</v>
      </c>
      <c r="AH483">
        <v>0</v>
      </c>
      <c r="AI483">
        <v>0</v>
      </c>
      <c r="AJ483">
        <v>1</v>
      </c>
      <c r="AK483">
        <v>1</v>
      </c>
      <c r="AL483" t="s">
        <v>1758</v>
      </c>
      <c r="AM483" t="s">
        <v>1759</v>
      </c>
      <c r="AN483" t="s">
        <v>1760</v>
      </c>
      <c r="AO483" t="s">
        <v>74</v>
      </c>
      <c r="AP483" t="s">
        <v>1761</v>
      </c>
      <c r="AQ483" t="s">
        <v>74</v>
      </c>
      <c r="AR483" t="s">
        <v>1762</v>
      </c>
      <c r="AS483" t="s">
        <v>1763</v>
      </c>
      <c r="AT483" t="s">
        <v>9298</v>
      </c>
      <c r="AU483">
        <v>2023</v>
      </c>
      <c r="AV483">
        <v>10</v>
      </c>
      <c r="AW483" t="s">
        <v>74</v>
      </c>
      <c r="AX483" t="s">
        <v>74</v>
      </c>
      <c r="AY483" t="s">
        <v>74</v>
      </c>
      <c r="AZ483" t="s">
        <v>74</v>
      </c>
      <c r="BA483" t="s">
        <v>74</v>
      </c>
      <c r="BB483" t="s">
        <v>74</v>
      </c>
      <c r="BC483" t="s">
        <v>74</v>
      </c>
      <c r="BD483">
        <v>1254043</v>
      </c>
      <c r="BE483" t="s">
        <v>9388</v>
      </c>
      <c r="BF483" t="str">
        <f>HYPERLINK("http://dx.doi.org/10.3389/fmars.2023.1254043","http://dx.doi.org/10.3389/fmars.2023.1254043")</f>
        <v>http://dx.doi.org/10.3389/fmars.2023.1254043</v>
      </c>
      <c r="BG483" t="s">
        <v>74</v>
      </c>
      <c r="BH483" t="s">
        <v>74</v>
      </c>
      <c r="BI483">
        <v>13</v>
      </c>
      <c r="BJ483" t="s">
        <v>1135</v>
      </c>
      <c r="BK483" t="s">
        <v>100</v>
      </c>
      <c r="BL483" t="s">
        <v>1136</v>
      </c>
      <c r="BM483" t="s">
        <v>9389</v>
      </c>
      <c r="BN483" t="s">
        <v>74</v>
      </c>
      <c r="BO483" t="s">
        <v>131</v>
      </c>
      <c r="BP483" t="s">
        <v>74</v>
      </c>
      <c r="BQ483" t="s">
        <v>74</v>
      </c>
      <c r="BR483" t="s">
        <v>104</v>
      </c>
      <c r="BS483" t="s">
        <v>9390</v>
      </c>
      <c r="BT483" t="str">
        <f>HYPERLINK("https%3A%2F%2Fwww.webofscience.com%2Fwos%2Fwoscc%2Ffull-record%2FWOS:001107223200001","View Full Record in Web of Science")</f>
        <v>View Full Record in Web of Science</v>
      </c>
    </row>
    <row r="484" spans="1:72" x14ac:dyDescent="0.15">
      <c r="A484" t="s">
        <v>72</v>
      </c>
      <c r="B484" t="s">
        <v>9391</v>
      </c>
      <c r="C484" t="s">
        <v>74</v>
      </c>
      <c r="D484" t="s">
        <v>74</v>
      </c>
      <c r="E484" t="s">
        <v>74</v>
      </c>
      <c r="F484" t="s">
        <v>9392</v>
      </c>
      <c r="G484" t="s">
        <v>74</v>
      </c>
      <c r="H484" t="s">
        <v>74</v>
      </c>
      <c r="I484" t="s">
        <v>9393</v>
      </c>
      <c r="J484" t="s">
        <v>9394</v>
      </c>
      <c r="K484" t="s">
        <v>74</v>
      </c>
      <c r="L484" t="s">
        <v>74</v>
      </c>
      <c r="M484" t="s">
        <v>78</v>
      </c>
      <c r="N484" t="s">
        <v>79</v>
      </c>
      <c r="O484" t="s">
        <v>74</v>
      </c>
      <c r="P484" t="s">
        <v>74</v>
      </c>
      <c r="Q484" t="s">
        <v>74</v>
      </c>
      <c r="R484" t="s">
        <v>74</v>
      </c>
      <c r="S484" t="s">
        <v>74</v>
      </c>
      <c r="T484" t="s">
        <v>9395</v>
      </c>
      <c r="U484" t="s">
        <v>9396</v>
      </c>
      <c r="V484" t="s">
        <v>9397</v>
      </c>
      <c r="W484" t="s">
        <v>9398</v>
      </c>
      <c r="X484" t="s">
        <v>2773</v>
      </c>
      <c r="Y484" t="s">
        <v>9399</v>
      </c>
      <c r="Z484" t="s">
        <v>9400</v>
      </c>
      <c r="AA484" t="s">
        <v>74</v>
      </c>
      <c r="AB484" t="s">
        <v>9401</v>
      </c>
      <c r="AC484" t="s">
        <v>9402</v>
      </c>
      <c r="AD484" t="s">
        <v>9402</v>
      </c>
      <c r="AE484" t="s">
        <v>9403</v>
      </c>
      <c r="AF484" t="s">
        <v>74</v>
      </c>
      <c r="AG484">
        <v>93</v>
      </c>
      <c r="AH484">
        <v>0</v>
      </c>
      <c r="AI484">
        <v>0</v>
      </c>
      <c r="AJ484">
        <v>3</v>
      </c>
      <c r="AK484">
        <v>3</v>
      </c>
      <c r="AL484" t="s">
        <v>1101</v>
      </c>
      <c r="AM484" t="s">
        <v>1102</v>
      </c>
      <c r="AN484" t="s">
        <v>1103</v>
      </c>
      <c r="AO484" t="s">
        <v>74</v>
      </c>
      <c r="AP484" t="s">
        <v>9404</v>
      </c>
      <c r="AQ484" t="s">
        <v>74</v>
      </c>
      <c r="AR484" t="s">
        <v>9405</v>
      </c>
      <c r="AS484" t="s">
        <v>9406</v>
      </c>
      <c r="AT484" t="s">
        <v>1133</v>
      </c>
      <c r="AU484">
        <v>2024</v>
      </c>
      <c r="AV484">
        <v>6</v>
      </c>
      <c r="AW484">
        <v>1</v>
      </c>
      <c r="AX484" t="s">
        <v>74</v>
      </c>
      <c r="AY484" t="s">
        <v>74</v>
      </c>
      <c r="AZ484" t="s">
        <v>74</v>
      </c>
      <c r="BA484" t="s">
        <v>74</v>
      </c>
      <c r="BB484">
        <v>147</v>
      </c>
      <c r="BC484">
        <v>164</v>
      </c>
      <c r="BD484" t="s">
        <v>74</v>
      </c>
      <c r="BE484" t="s">
        <v>9407</v>
      </c>
      <c r="BF484" t="str">
        <f>HYPERLINK("http://dx.doi.org/10.1002/pan3.10557","http://dx.doi.org/10.1002/pan3.10557")</f>
        <v>http://dx.doi.org/10.1002/pan3.10557</v>
      </c>
      <c r="BG484" t="s">
        <v>74</v>
      </c>
      <c r="BH484" t="s">
        <v>6982</v>
      </c>
      <c r="BI484">
        <v>18</v>
      </c>
      <c r="BJ484" t="s">
        <v>1261</v>
      </c>
      <c r="BK484" t="s">
        <v>100</v>
      </c>
      <c r="BL484" t="s">
        <v>913</v>
      </c>
      <c r="BM484" t="s">
        <v>9408</v>
      </c>
      <c r="BN484" t="s">
        <v>74</v>
      </c>
      <c r="BO484" t="s">
        <v>200</v>
      </c>
      <c r="BP484" t="s">
        <v>74</v>
      </c>
      <c r="BQ484" t="s">
        <v>74</v>
      </c>
      <c r="BR484" t="s">
        <v>104</v>
      </c>
      <c r="BS484" t="s">
        <v>9409</v>
      </c>
      <c r="BT484" t="str">
        <f>HYPERLINK("https%3A%2F%2Fwww.webofscience.com%2Fwos%2Fwoscc%2Ffull-record%2FWOS:001128086700001","View Full Record in Web of Science")</f>
        <v>View Full Record in Web of Science</v>
      </c>
    </row>
    <row r="485" spans="1:72" x14ac:dyDescent="0.15">
      <c r="A485" t="s">
        <v>72</v>
      </c>
      <c r="B485" t="s">
        <v>9410</v>
      </c>
      <c r="C485" t="s">
        <v>74</v>
      </c>
      <c r="D485" t="s">
        <v>74</v>
      </c>
      <c r="E485" t="s">
        <v>74</v>
      </c>
      <c r="F485" t="s">
        <v>9411</v>
      </c>
      <c r="G485" t="s">
        <v>74</v>
      </c>
      <c r="H485" t="s">
        <v>74</v>
      </c>
      <c r="I485" t="s">
        <v>9412</v>
      </c>
      <c r="J485" t="s">
        <v>7701</v>
      </c>
      <c r="K485" t="s">
        <v>74</v>
      </c>
      <c r="L485" t="s">
        <v>74</v>
      </c>
      <c r="M485" t="s">
        <v>78</v>
      </c>
      <c r="N485" t="s">
        <v>79</v>
      </c>
      <c r="O485" t="s">
        <v>74</v>
      </c>
      <c r="P485" t="s">
        <v>74</v>
      </c>
      <c r="Q485" t="s">
        <v>74</v>
      </c>
      <c r="R485" t="s">
        <v>74</v>
      </c>
      <c r="S485" t="s">
        <v>74</v>
      </c>
      <c r="T485" t="s">
        <v>74</v>
      </c>
      <c r="U485" t="s">
        <v>9413</v>
      </c>
      <c r="V485" t="s">
        <v>9414</v>
      </c>
      <c r="W485" t="s">
        <v>9415</v>
      </c>
      <c r="X485" t="s">
        <v>9416</v>
      </c>
      <c r="Y485" t="s">
        <v>9417</v>
      </c>
      <c r="Z485" t="s">
        <v>9418</v>
      </c>
      <c r="AA485" t="s">
        <v>9419</v>
      </c>
      <c r="AB485" t="s">
        <v>9420</v>
      </c>
      <c r="AC485" t="s">
        <v>9421</v>
      </c>
      <c r="AD485" t="s">
        <v>9422</v>
      </c>
      <c r="AE485" t="s">
        <v>9423</v>
      </c>
      <c r="AF485" t="s">
        <v>74</v>
      </c>
      <c r="AG485">
        <v>53</v>
      </c>
      <c r="AH485">
        <v>1</v>
      </c>
      <c r="AI485">
        <v>1</v>
      </c>
      <c r="AJ485">
        <v>2</v>
      </c>
      <c r="AK485">
        <v>2</v>
      </c>
      <c r="AL485" t="s">
        <v>1101</v>
      </c>
      <c r="AM485" t="s">
        <v>1102</v>
      </c>
      <c r="AN485" t="s">
        <v>1103</v>
      </c>
      <c r="AO485" t="s">
        <v>7713</v>
      </c>
      <c r="AP485" t="s">
        <v>7714</v>
      </c>
      <c r="AQ485" t="s">
        <v>74</v>
      </c>
      <c r="AR485" t="s">
        <v>7715</v>
      </c>
      <c r="AS485" t="s">
        <v>7716</v>
      </c>
      <c r="AT485" t="s">
        <v>1947</v>
      </c>
      <c r="AU485">
        <v>2023</v>
      </c>
      <c r="AV485">
        <v>58</v>
      </c>
      <c r="AW485">
        <v>12</v>
      </c>
      <c r="AX485" t="s">
        <v>74</v>
      </c>
      <c r="AY485" t="s">
        <v>74</v>
      </c>
      <c r="AZ485" t="s">
        <v>74</v>
      </c>
      <c r="BA485" t="s">
        <v>74</v>
      </c>
      <c r="BB485">
        <v>1760</v>
      </c>
      <c r="BC485">
        <v>1772</v>
      </c>
      <c r="BD485" t="s">
        <v>74</v>
      </c>
      <c r="BE485" t="s">
        <v>9424</v>
      </c>
      <c r="BF485" t="str">
        <f>HYPERLINK("http://dx.doi.org/10.1111/maps.14099","http://dx.doi.org/10.1111/maps.14099")</f>
        <v>http://dx.doi.org/10.1111/maps.14099</v>
      </c>
      <c r="BG485" t="s">
        <v>74</v>
      </c>
      <c r="BH485" t="s">
        <v>6982</v>
      </c>
      <c r="BI485">
        <v>13</v>
      </c>
      <c r="BJ485" t="s">
        <v>4252</v>
      </c>
      <c r="BK485" t="s">
        <v>100</v>
      </c>
      <c r="BL485" t="s">
        <v>4252</v>
      </c>
      <c r="BM485" t="s">
        <v>9261</v>
      </c>
      <c r="BN485" t="s">
        <v>74</v>
      </c>
      <c r="BO485" t="s">
        <v>103</v>
      </c>
      <c r="BP485" t="s">
        <v>74</v>
      </c>
      <c r="BQ485" t="s">
        <v>74</v>
      </c>
      <c r="BR485" t="s">
        <v>104</v>
      </c>
      <c r="BS485" t="s">
        <v>9425</v>
      </c>
      <c r="BT485" t="str">
        <f>HYPERLINK("https%3A%2F%2Fwww.webofscience.com%2Fwos%2Fwoscc%2Ffull-record%2FWOS:001103559500001","View Full Record in Web of Science")</f>
        <v>View Full Record in Web of Science</v>
      </c>
    </row>
    <row r="486" spans="1:72" x14ac:dyDescent="0.15">
      <c r="A486" t="s">
        <v>72</v>
      </c>
      <c r="B486" t="s">
        <v>9426</v>
      </c>
      <c r="C486" t="s">
        <v>74</v>
      </c>
      <c r="D486" t="s">
        <v>74</v>
      </c>
      <c r="E486" t="s">
        <v>74</v>
      </c>
      <c r="F486" t="s">
        <v>9427</v>
      </c>
      <c r="G486" t="s">
        <v>74</v>
      </c>
      <c r="H486" t="s">
        <v>74</v>
      </c>
      <c r="I486" t="s">
        <v>9428</v>
      </c>
      <c r="J486" t="s">
        <v>962</v>
      </c>
      <c r="K486" t="s">
        <v>74</v>
      </c>
      <c r="L486" t="s">
        <v>74</v>
      </c>
      <c r="M486" t="s">
        <v>78</v>
      </c>
      <c r="N486" t="s">
        <v>79</v>
      </c>
      <c r="O486" t="s">
        <v>74</v>
      </c>
      <c r="P486" t="s">
        <v>74</v>
      </c>
      <c r="Q486" t="s">
        <v>74</v>
      </c>
      <c r="R486" t="s">
        <v>74</v>
      </c>
      <c r="S486" t="s">
        <v>74</v>
      </c>
      <c r="T486" t="s">
        <v>9429</v>
      </c>
      <c r="U486" t="s">
        <v>9430</v>
      </c>
      <c r="V486" t="s">
        <v>9431</v>
      </c>
      <c r="W486" t="s">
        <v>9432</v>
      </c>
      <c r="X486" t="s">
        <v>9433</v>
      </c>
      <c r="Y486" t="s">
        <v>9434</v>
      </c>
      <c r="Z486" t="s">
        <v>9435</v>
      </c>
      <c r="AA486" t="s">
        <v>74</v>
      </c>
      <c r="AB486" t="s">
        <v>74</v>
      </c>
      <c r="AC486" t="s">
        <v>9436</v>
      </c>
      <c r="AD486" t="s">
        <v>9437</v>
      </c>
      <c r="AE486" t="s">
        <v>9438</v>
      </c>
      <c r="AF486" t="s">
        <v>74</v>
      </c>
      <c r="AG486">
        <v>67</v>
      </c>
      <c r="AH486">
        <v>0</v>
      </c>
      <c r="AI486">
        <v>0</v>
      </c>
      <c r="AJ486">
        <v>11</v>
      </c>
      <c r="AK486">
        <v>11</v>
      </c>
      <c r="AL486" t="s">
        <v>975</v>
      </c>
      <c r="AM486" t="s">
        <v>976</v>
      </c>
      <c r="AN486" t="s">
        <v>977</v>
      </c>
      <c r="AO486" t="s">
        <v>978</v>
      </c>
      <c r="AP486" t="s">
        <v>979</v>
      </c>
      <c r="AQ486" t="s">
        <v>74</v>
      </c>
      <c r="AR486" t="s">
        <v>980</v>
      </c>
      <c r="AS486" t="s">
        <v>981</v>
      </c>
      <c r="AT486" t="s">
        <v>3263</v>
      </c>
      <c r="AU486">
        <v>2023</v>
      </c>
      <c r="AV486">
        <v>322</v>
      </c>
      <c r="AW486" t="s">
        <v>74</v>
      </c>
      <c r="AX486" t="s">
        <v>74</v>
      </c>
      <c r="AY486" t="s">
        <v>74</v>
      </c>
      <c r="AZ486" t="s">
        <v>74</v>
      </c>
      <c r="BA486" t="s">
        <v>74</v>
      </c>
      <c r="BB486" t="s">
        <v>74</v>
      </c>
      <c r="BC486" t="s">
        <v>74</v>
      </c>
      <c r="BD486">
        <v>108400</v>
      </c>
      <c r="BE486" t="s">
        <v>9439</v>
      </c>
      <c r="BF486" t="str">
        <f>HYPERLINK("http://dx.doi.org/10.1016/j.quascirev.2023.108400","http://dx.doi.org/10.1016/j.quascirev.2023.108400")</f>
        <v>http://dx.doi.org/10.1016/j.quascirev.2023.108400</v>
      </c>
      <c r="BG486" t="s">
        <v>74</v>
      </c>
      <c r="BH486" t="s">
        <v>6982</v>
      </c>
      <c r="BI486">
        <v>9</v>
      </c>
      <c r="BJ486" t="s">
        <v>984</v>
      </c>
      <c r="BK486" t="s">
        <v>100</v>
      </c>
      <c r="BL486" t="s">
        <v>985</v>
      </c>
      <c r="BM486" t="s">
        <v>9440</v>
      </c>
      <c r="BN486" t="s">
        <v>74</v>
      </c>
      <c r="BO486" t="s">
        <v>74</v>
      </c>
      <c r="BP486" t="s">
        <v>74</v>
      </c>
      <c r="BQ486" t="s">
        <v>74</v>
      </c>
      <c r="BR486" t="s">
        <v>104</v>
      </c>
      <c r="BS486" t="s">
        <v>9441</v>
      </c>
      <c r="BT486" t="str">
        <f>HYPERLINK("https%3A%2F%2Fwww.webofscience.com%2Fwos%2Fwoscc%2Ffull-record%2FWOS:001112595500001","View Full Record in Web of Science")</f>
        <v>View Full Record in Web of Science</v>
      </c>
    </row>
    <row r="487" spans="1:72" x14ac:dyDescent="0.15">
      <c r="A487" t="s">
        <v>72</v>
      </c>
      <c r="B487" t="s">
        <v>9442</v>
      </c>
      <c r="C487" t="s">
        <v>74</v>
      </c>
      <c r="D487" t="s">
        <v>74</v>
      </c>
      <c r="E487" t="s">
        <v>74</v>
      </c>
      <c r="F487" t="s">
        <v>9443</v>
      </c>
      <c r="G487" t="s">
        <v>74</v>
      </c>
      <c r="H487" t="s">
        <v>74</v>
      </c>
      <c r="I487" t="s">
        <v>9444</v>
      </c>
      <c r="J487" t="s">
        <v>2124</v>
      </c>
      <c r="K487" t="s">
        <v>74</v>
      </c>
      <c r="L487" t="s">
        <v>74</v>
      </c>
      <c r="M487" t="s">
        <v>78</v>
      </c>
      <c r="N487" t="s">
        <v>79</v>
      </c>
      <c r="O487" t="s">
        <v>74</v>
      </c>
      <c r="P487" t="s">
        <v>74</v>
      </c>
      <c r="Q487" t="s">
        <v>74</v>
      </c>
      <c r="R487" t="s">
        <v>74</v>
      </c>
      <c r="S487" t="s">
        <v>74</v>
      </c>
      <c r="T487" t="s">
        <v>9445</v>
      </c>
      <c r="U487" t="s">
        <v>9446</v>
      </c>
      <c r="V487" t="s">
        <v>9447</v>
      </c>
      <c r="W487" t="s">
        <v>9448</v>
      </c>
      <c r="X487" t="s">
        <v>9449</v>
      </c>
      <c r="Y487" t="s">
        <v>9450</v>
      </c>
      <c r="Z487" t="s">
        <v>9451</v>
      </c>
      <c r="AA487" t="s">
        <v>9452</v>
      </c>
      <c r="AB487" t="s">
        <v>74</v>
      </c>
      <c r="AC487" t="s">
        <v>9453</v>
      </c>
      <c r="AD487" t="s">
        <v>9454</v>
      </c>
      <c r="AE487" t="s">
        <v>9455</v>
      </c>
      <c r="AF487" t="s">
        <v>74</v>
      </c>
      <c r="AG487">
        <v>66</v>
      </c>
      <c r="AH487">
        <v>0</v>
      </c>
      <c r="AI487">
        <v>0</v>
      </c>
      <c r="AJ487">
        <v>4</v>
      </c>
      <c r="AK487">
        <v>4</v>
      </c>
      <c r="AL487" t="s">
        <v>947</v>
      </c>
      <c r="AM487" t="s">
        <v>948</v>
      </c>
      <c r="AN487" t="s">
        <v>949</v>
      </c>
      <c r="AO487" t="s">
        <v>2136</v>
      </c>
      <c r="AP487" t="s">
        <v>2137</v>
      </c>
      <c r="AQ487" t="s">
        <v>74</v>
      </c>
      <c r="AR487" t="s">
        <v>2124</v>
      </c>
      <c r="AS487" t="s">
        <v>2138</v>
      </c>
      <c r="AT487" t="s">
        <v>1973</v>
      </c>
      <c r="AU487">
        <v>2024</v>
      </c>
      <c r="AV487">
        <v>580</v>
      </c>
      <c r="AW487" t="s">
        <v>74</v>
      </c>
      <c r="AX487">
        <v>1</v>
      </c>
      <c r="AY487" t="s">
        <v>74</v>
      </c>
      <c r="AZ487" t="s">
        <v>74</v>
      </c>
      <c r="BA487" t="s">
        <v>74</v>
      </c>
      <c r="BB487" t="s">
        <v>74</v>
      </c>
      <c r="BC487" t="s">
        <v>74</v>
      </c>
      <c r="BD487">
        <v>740322</v>
      </c>
      <c r="BE487" t="s">
        <v>9456</v>
      </c>
      <c r="BF487" t="str">
        <f>HYPERLINK("http://dx.doi.org/10.1016/j.aquaculture.2023.740322","http://dx.doi.org/10.1016/j.aquaculture.2023.740322")</f>
        <v>http://dx.doi.org/10.1016/j.aquaculture.2023.740322</v>
      </c>
      <c r="BG487" t="s">
        <v>74</v>
      </c>
      <c r="BH487" t="s">
        <v>6982</v>
      </c>
      <c r="BI487">
        <v>13</v>
      </c>
      <c r="BJ487" t="s">
        <v>2141</v>
      </c>
      <c r="BK487" t="s">
        <v>100</v>
      </c>
      <c r="BL487" t="s">
        <v>2141</v>
      </c>
      <c r="BM487" t="s">
        <v>9457</v>
      </c>
      <c r="BN487" t="s">
        <v>74</v>
      </c>
      <c r="BO487" t="s">
        <v>103</v>
      </c>
      <c r="BP487" t="s">
        <v>74</v>
      </c>
      <c r="BQ487" t="s">
        <v>74</v>
      </c>
      <c r="BR487" t="s">
        <v>104</v>
      </c>
      <c r="BS487" t="s">
        <v>9458</v>
      </c>
      <c r="BT487" t="str">
        <f>HYPERLINK("https%3A%2F%2Fwww.webofscience.com%2Fwos%2Fwoscc%2Ffull-record%2FWOS:001111812900001","View Full Record in Web of Science")</f>
        <v>View Full Record in Web of Science</v>
      </c>
    </row>
    <row r="488" spans="1:72" x14ac:dyDescent="0.15">
      <c r="A488" t="s">
        <v>72</v>
      </c>
      <c r="B488" t="s">
        <v>9459</v>
      </c>
      <c r="C488" t="s">
        <v>74</v>
      </c>
      <c r="D488" t="s">
        <v>74</v>
      </c>
      <c r="E488" t="s">
        <v>74</v>
      </c>
      <c r="F488" t="s">
        <v>9460</v>
      </c>
      <c r="G488" t="s">
        <v>74</v>
      </c>
      <c r="H488" t="s">
        <v>74</v>
      </c>
      <c r="I488" t="s">
        <v>9461</v>
      </c>
      <c r="J488" t="s">
        <v>3323</v>
      </c>
      <c r="K488" t="s">
        <v>74</v>
      </c>
      <c r="L488" t="s">
        <v>74</v>
      </c>
      <c r="M488" t="s">
        <v>78</v>
      </c>
      <c r="N488" t="s">
        <v>79</v>
      </c>
      <c r="O488" t="s">
        <v>74</v>
      </c>
      <c r="P488" t="s">
        <v>74</v>
      </c>
      <c r="Q488" t="s">
        <v>74</v>
      </c>
      <c r="R488" t="s">
        <v>74</v>
      </c>
      <c r="S488" t="s">
        <v>74</v>
      </c>
      <c r="T488" t="s">
        <v>74</v>
      </c>
      <c r="U488" t="s">
        <v>9462</v>
      </c>
      <c r="V488" t="s">
        <v>9463</v>
      </c>
      <c r="W488" t="s">
        <v>9464</v>
      </c>
      <c r="X488" t="s">
        <v>9465</v>
      </c>
      <c r="Y488" t="s">
        <v>9466</v>
      </c>
      <c r="Z488" t="s">
        <v>9467</v>
      </c>
      <c r="AA488" t="s">
        <v>9468</v>
      </c>
      <c r="AB488" t="s">
        <v>9469</v>
      </c>
      <c r="AC488" t="s">
        <v>9470</v>
      </c>
      <c r="AD488" t="s">
        <v>9471</v>
      </c>
      <c r="AE488" t="s">
        <v>9472</v>
      </c>
      <c r="AF488" t="s">
        <v>74</v>
      </c>
      <c r="AG488">
        <v>110</v>
      </c>
      <c r="AH488">
        <v>0</v>
      </c>
      <c r="AI488">
        <v>0</v>
      </c>
      <c r="AJ488">
        <v>4</v>
      </c>
      <c r="AK488">
        <v>4</v>
      </c>
      <c r="AL488" t="s">
        <v>1838</v>
      </c>
      <c r="AM488" t="s">
        <v>1839</v>
      </c>
      <c r="AN488" t="s">
        <v>1840</v>
      </c>
      <c r="AO488" t="s">
        <v>3335</v>
      </c>
      <c r="AP488" t="s">
        <v>3336</v>
      </c>
      <c r="AQ488" t="s">
        <v>74</v>
      </c>
      <c r="AR488" t="s">
        <v>3337</v>
      </c>
      <c r="AS488" t="s">
        <v>3338</v>
      </c>
      <c r="AT488" t="s">
        <v>9473</v>
      </c>
      <c r="AU488">
        <v>2023</v>
      </c>
      <c r="AV488">
        <v>19</v>
      </c>
      <c r="AW488">
        <v>11</v>
      </c>
      <c r="AX488" t="s">
        <v>74</v>
      </c>
      <c r="AY488" t="s">
        <v>74</v>
      </c>
      <c r="AZ488" t="s">
        <v>74</v>
      </c>
      <c r="BA488" t="s">
        <v>74</v>
      </c>
      <c r="BB488">
        <v>2257</v>
      </c>
      <c r="BC488">
        <v>2286</v>
      </c>
      <c r="BD488" t="s">
        <v>74</v>
      </c>
      <c r="BE488" t="s">
        <v>9474</v>
      </c>
      <c r="BF488" t="str">
        <f>HYPERLINK("http://dx.doi.org/10.5194/cp-19-2257-2023","http://dx.doi.org/10.5194/cp-19-2257-2023")</f>
        <v>http://dx.doi.org/10.5194/cp-19-2257-2023</v>
      </c>
      <c r="BG488" t="s">
        <v>74</v>
      </c>
      <c r="BH488" t="s">
        <v>74</v>
      </c>
      <c r="BI488">
        <v>30</v>
      </c>
      <c r="BJ488" t="s">
        <v>2405</v>
      </c>
      <c r="BK488" t="s">
        <v>100</v>
      </c>
      <c r="BL488" t="s">
        <v>2406</v>
      </c>
      <c r="BM488" t="s">
        <v>9475</v>
      </c>
      <c r="BN488" t="s">
        <v>74</v>
      </c>
      <c r="BO488" t="s">
        <v>349</v>
      </c>
      <c r="BP488" t="s">
        <v>74</v>
      </c>
      <c r="BQ488" t="s">
        <v>74</v>
      </c>
      <c r="BR488" t="s">
        <v>104</v>
      </c>
      <c r="BS488" t="s">
        <v>9476</v>
      </c>
      <c r="BT488" t="str">
        <f>HYPERLINK("https%3A%2F%2Fwww.webofscience.com%2Fwos%2Fwoscc%2Ffull-record%2FWOS:001169054500001","View Full Record in Web of Science")</f>
        <v>View Full Record in Web of Science</v>
      </c>
    </row>
    <row r="489" spans="1:72" x14ac:dyDescent="0.15">
      <c r="A489" t="s">
        <v>72</v>
      </c>
      <c r="B489" t="s">
        <v>9477</v>
      </c>
      <c r="C489" t="s">
        <v>74</v>
      </c>
      <c r="D489" t="s">
        <v>74</v>
      </c>
      <c r="E489" t="s">
        <v>74</v>
      </c>
      <c r="F489" t="s">
        <v>9478</v>
      </c>
      <c r="G489" t="s">
        <v>74</v>
      </c>
      <c r="H489" t="s">
        <v>74</v>
      </c>
      <c r="I489" t="s">
        <v>9479</v>
      </c>
      <c r="J489" t="s">
        <v>2809</v>
      </c>
      <c r="K489" t="s">
        <v>74</v>
      </c>
      <c r="L489" t="s">
        <v>74</v>
      </c>
      <c r="M489" t="s">
        <v>78</v>
      </c>
      <c r="N489" t="s">
        <v>79</v>
      </c>
      <c r="O489" t="s">
        <v>74</v>
      </c>
      <c r="P489" t="s">
        <v>74</v>
      </c>
      <c r="Q489" t="s">
        <v>74</v>
      </c>
      <c r="R489" t="s">
        <v>74</v>
      </c>
      <c r="S489" t="s">
        <v>74</v>
      </c>
      <c r="T489" t="s">
        <v>74</v>
      </c>
      <c r="U489" t="s">
        <v>9480</v>
      </c>
      <c r="V489" t="s">
        <v>9481</v>
      </c>
      <c r="W489" t="s">
        <v>9482</v>
      </c>
      <c r="X489" t="s">
        <v>9483</v>
      </c>
      <c r="Y489" t="s">
        <v>9484</v>
      </c>
      <c r="Z489" t="s">
        <v>9485</v>
      </c>
      <c r="AA489" t="s">
        <v>9486</v>
      </c>
      <c r="AB489" t="s">
        <v>9487</v>
      </c>
      <c r="AC489" t="s">
        <v>9488</v>
      </c>
      <c r="AD489" t="s">
        <v>9489</v>
      </c>
      <c r="AE489" t="s">
        <v>9490</v>
      </c>
      <c r="AF489" t="s">
        <v>74</v>
      </c>
      <c r="AG489">
        <v>51</v>
      </c>
      <c r="AH489">
        <v>0</v>
      </c>
      <c r="AI489">
        <v>0</v>
      </c>
      <c r="AJ489">
        <v>5</v>
      </c>
      <c r="AK489">
        <v>5</v>
      </c>
      <c r="AL489" t="s">
        <v>1838</v>
      </c>
      <c r="AM489" t="s">
        <v>1839</v>
      </c>
      <c r="AN489" t="s">
        <v>1840</v>
      </c>
      <c r="AO489" t="s">
        <v>2818</v>
      </c>
      <c r="AP489" t="s">
        <v>2819</v>
      </c>
      <c r="AQ489" t="s">
        <v>74</v>
      </c>
      <c r="AR489" t="s">
        <v>2809</v>
      </c>
      <c r="AS489" t="s">
        <v>2820</v>
      </c>
      <c r="AT489" t="s">
        <v>9473</v>
      </c>
      <c r="AU489">
        <v>2023</v>
      </c>
      <c r="AV489">
        <v>17</v>
      </c>
      <c r="AW489">
        <v>11</v>
      </c>
      <c r="AX489" t="s">
        <v>74</v>
      </c>
      <c r="AY489" t="s">
        <v>74</v>
      </c>
      <c r="AZ489" t="s">
        <v>74</v>
      </c>
      <c r="BA489" t="s">
        <v>74</v>
      </c>
      <c r="BB489">
        <v>4779</v>
      </c>
      <c r="BC489">
        <v>4795</v>
      </c>
      <c r="BD489" t="s">
        <v>74</v>
      </c>
      <c r="BE489" t="s">
        <v>9491</v>
      </c>
      <c r="BF489" t="str">
        <f>HYPERLINK("http://dx.doi.org/10.5194/tc-17-4779-2023","http://dx.doi.org/10.5194/tc-17-4779-2023")</f>
        <v>http://dx.doi.org/10.5194/tc-17-4779-2023</v>
      </c>
      <c r="BG489" t="s">
        <v>74</v>
      </c>
      <c r="BH489" t="s">
        <v>74</v>
      </c>
      <c r="BI489">
        <v>17</v>
      </c>
      <c r="BJ489" t="s">
        <v>984</v>
      </c>
      <c r="BK489" t="s">
        <v>100</v>
      </c>
      <c r="BL489" t="s">
        <v>985</v>
      </c>
      <c r="BM489" t="s">
        <v>9492</v>
      </c>
      <c r="BN489" t="s">
        <v>74</v>
      </c>
      <c r="BO489" t="s">
        <v>131</v>
      </c>
      <c r="BP489" t="s">
        <v>74</v>
      </c>
      <c r="BQ489" t="s">
        <v>74</v>
      </c>
      <c r="BR489" t="s">
        <v>104</v>
      </c>
      <c r="BS489" t="s">
        <v>9493</v>
      </c>
      <c r="BT489" t="str">
        <f>HYPERLINK("https%3A%2F%2Fwww.webofscience.com%2Fwos%2Fwoscc%2Ffull-record%2FWOS:001169076700001","View Full Record in Web of Science")</f>
        <v>View Full Record in Web of Science</v>
      </c>
    </row>
    <row r="490" spans="1:72" x14ac:dyDescent="0.15">
      <c r="A490" t="s">
        <v>72</v>
      </c>
      <c r="B490" t="s">
        <v>9494</v>
      </c>
      <c r="C490" t="s">
        <v>74</v>
      </c>
      <c r="D490" t="s">
        <v>74</v>
      </c>
      <c r="E490" t="s">
        <v>74</v>
      </c>
      <c r="F490" t="s">
        <v>9495</v>
      </c>
      <c r="G490" t="s">
        <v>74</v>
      </c>
      <c r="H490" t="s">
        <v>74</v>
      </c>
      <c r="I490" t="s">
        <v>9496</v>
      </c>
      <c r="J490" t="s">
        <v>9497</v>
      </c>
      <c r="K490" t="s">
        <v>74</v>
      </c>
      <c r="L490" t="s">
        <v>74</v>
      </c>
      <c r="M490" t="s">
        <v>78</v>
      </c>
      <c r="N490" t="s">
        <v>1547</v>
      </c>
      <c r="O490" t="s">
        <v>74</v>
      </c>
      <c r="P490" t="s">
        <v>74</v>
      </c>
      <c r="Q490" t="s">
        <v>74</v>
      </c>
      <c r="R490" t="s">
        <v>74</v>
      </c>
      <c r="S490" t="s">
        <v>74</v>
      </c>
      <c r="T490" t="s">
        <v>9498</v>
      </c>
      <c r="U490" t="s">
        <v>9499</v>
      </c>
      <c r="V490" t="s">
        <v>9500</v>
      </c>
      <c r="W490" t="s">
        <v>9501</v>
      </c>
      <c r="X490" t="s">
        <v>9502</v>
      </c>
      <c r="Y490" t="s">
        <v>9503</v>
      </c>
      <c r="Z490" t="s">
        <v>9504</v>
      </c>
      <c r="AA490" t="s">
        <v>74</v>
      </c>
      <c r="AB490" t="s">
        <v>9505</v>
      </c>
      <c r="AC490" t="s">
        <v>9506</v>
      </c>
      <c r="AD490" t="s">
        <v>9507</v>
      </c>
      <c r="AE490" t="s">
        <v>9508</v>
      </c>
      <c r="AF490" t="s">
        <v>74</v>
      </c>
      <c r="AG490">
        <v>105</v>
      </c>
      <c r="AH490">
        <v>1</v>
      </c>
      <c r="AI490">
        <v>1</v>
      </c>
      <c r="AJ490">
        <v>0</v>
      </c>
      <c r="AK490">
        <v>0</v>
      </c>
      <c r="AL490" t="s">
        <v>9509</v>
      </c>
      <c r="AM490" t="s">
        <v>9510</v>
      </c>
      <c r="AN490" t="s">
        <v>9511</v>
      </c>
      <c r="AO490" t="s">
        <v>9512</v>
      </c>
      <c r="AP490" t="s">
        <v>9513</v>
      </c>
      <c r="AQ490" t="s">
        <v>74</v>
      </c>
      <c r="AR490" t="s">
        <v>9514</v>
      </c>
      <c r="AS490" t="s">
        <v>9515</v>
      </c>
      <c r="AT490" t="s">
        <v>9516</v>
      </c>
      <c r="AU490">
        <v>2023</v>
      </c>
      <c r="AV490" t="s">
        <v>74</v>
      </c>
      <c r="AW490" t="s">
        <v>74</v>
      </c>
      <c r="AX490" t="s">
        <v>74</v>
      </c>
      <c r="AY490" t="s">
        <v>74</v>
      </c>
      <c r="AZ490" t="s">
        <v>74</v>
      </c>
      <c r="BA490" t="s">
        <v>74</v>
      </c>
      <c r="BB490" t="s">
        <v>74</v>
      </c>
      <c r="BC490" t="s">
        <v>74</v>
      </c>
      <c r="BD490" t="s">
        <v>74</v>
      </c>
      <c r="BE490" t="s">
        <v>9517</v>
      </c>
      <c r="BF490" t="str">
        <f>HYPERLINK("http://dx.doi.org/10.26879/1340","http://dx.doi.org/10.26879/1340")</f>
        <v>http://dx.doi.org/10.26879/1340</v>
      </c>
      <c r="BG490" t="s">
        <v>74</v>
      </c>
      <c r="BH490" t="s">
        <v>6982</v>
      </c>
      <c r="BI490">
        <v>31</v>
      </c>
      <c r="BJ490" t="s">
        <v>2844</v>
      </c>
      <c r="BK490" t="s">
        <v>100</v>
      </c>
      <c r="BL490" t="s">
        <v>2844</v>
      </c>
      <c r="BM490" t="s">
        <v>9518</v>
      </c>
      <c r="BN490" t="s">
        <v>74</v>
      </c>
      <c r="BO490" t="s">
        <v>131</v>
      </c>
      <c r="BP490" t="s">
        <v>74</v>
      </c>
      <c r="BQ490" t="s">
        <v>74</v>
      </c>
      <c r="BR490" t="s">
        <v>104</v>
      </c>
      <c r="BS490" t="s">
        <v>9519</v>
      </c>
      <c r="BT490" t="str">
        <f>HYPERLINK("https%3A%2F%2Fwww.webofscience.com%2Fwos%2Fwoscc%2Ffull-record%2FWOS:001160695400001","View Full Record in Web of Science")</f>
        <v>View Full Record in Web of Science</v>
      </c>
    </row>
    <row r="491" spans="1:72" x14ac:dyDescent="0.15">
      <c r="A491" t="s">
        <v>72</v>
      </c>
      <c r="B491" t="s">
        <v>9520</v>
      </c>
      <c r="C491" t="s">
        <v>74</v>
      </c>
      <c r="D491" t="s">
        <v>74</v>
      </c>
      <c r="E491" t="s">
        <v>74</v>
      </c>
      <c r="F491" t="s">
        <v>9521</v>
      </c>
      <c r="G491" t="s">
        <v>74</v>
      </c>
      <c r="H491" t="s">
        <v>74</v>
      </c>
      <c r="I491" t="s">
        <v>9522</v>
      </c>
      <c r="J491" t="s">
        <v>9523</v>
      </c>
      <c r="K491" t="s">
        <v>74</v>
      </c>
      <c r="L491" t="s">
        <v>74</v>
      </c>
      <c r="M491" t="s">
        <v>78</v>
      </c>
      <c r="N491" t="s">
        <v>9524</v>
      </c>
      <c r="O491" t="s">
        <v>9525</v>
      </c>
      <c r="P491" t="s">
        <v>9526</v>
      </c>
      <c r="Q491" t="s">
        <v>9527</v>
      </c>
      <c r="R491" t="s">
        <v>74</v>
      </c>
      <c r="S491" t="s">
        <v>74</v>
      </c>
      <c r="T491" t="s">
        <v>9528</v>
      </c>
      <c r="U491" t="s">
        <v>9529</v>
      </c>
      <c r="V491" t="s">
        <v>9530</v>
      </c>
      <c r="W491" t="s">
        <v>9531</v>
      </c>
      <c r="X491" t="s">
        <v>9532</v>
      </c>
      <c r="Y491" t="s">
        <v>9533</v>
      </c>
      <c r="Z491" t="s">
        <v>9534</v>
      </c>
      <c r="AA491" t="s">
        <v>74</v>
      </c>
      <c r="AB491" t="s">
        <v>74</v>
      </c>
      <c r="AC491" t="s">
        <v>9535</v>
      </c>
      <c r="AD491" t="s">
        <v>9535</v>
      </c>
      <c r="AE491" t="s">
        <v>9536</v>
      </c>
      <c r="AF491" t="s">
        <v>74</v>
      </c>
      <c r="AG491">
        <v>55</v>
      </c>
      <c r="AH491">
        <v>0</v>
      </c>
      <c r="AI491">
        <v>0</v>
      </c>
      <c r="AJ491">
        <v>3</v>
      </c>
      <c r="AK491">
        <v>3</v>
      </c>
      <c r="AL491" t="s">
        <v>9537</v>
      </c>
      <c r="AM491" t="s">
        <v>2294</v>
      </c>
      <c r="AN491" t="s">
        <v>9538</v>
      </c>
      <c r="AO491" t="s">
        <v>74</v>
      </c>
      <c r="AP491" t="s">
        <v>9539</v>
      </c>
      <c r="AQ491" t="s">
        <v>74</v>
      </c>
      <c r="AR491" t="s">
        <v>9540</v>
      </c>
      <c r="AS491" t="s">
        <v>9541</v>
      </c>
      <c r="AT491" t="s">
        <v>9473</v>
      </c>
      <c r="AU491">
        <v>2023</v>
      </c>
      <c r="AV491">
        <v>19</v>
      </c>
      <c r="AW491">
        <v>1</v>
      </c>
      <c r="AX491" t="s">
        <v>74</v>
      </c>
      <c r="AY491" t="s">
        <v>74</v>
      </c>
      <c r="AZ491" t="s">
        <v>74</v>
      </c>
      <c r="BA491" t="s">
        <v>74</v>
      </c>
      <c r="BB491" t="s">
        <v>74</v>
      </c>
      <c r="BC491" t="s">
        <v>74</v>
      </c>
      <c r="BD491">
        <v>235</v>
      </c>
      <c r="BE491" t="s">
        <v>9542</v>
      </c>
      <c r="BF491" t="str">
        <f>HYPERLINK("http://dx.doi.org/10.1186/s12917-023-03794-y","http://dx.doi.org/10.1186/s12917-023-03794-y")</f>
        <v>http://dx.doi.org/10.1186/s12917-023-03794-y</v>
      </c>
      <c r="BG491" t="s">
        <v>74</v>
      </c>
      <c r="BH491" t="s">
        <v>74</v>
      </c>
      <c r="BI491">
        <v>14</v>
      </c>
      <c r="BJ491" t="s">
        <v>9543</v>
      </c>
      <c r="BK491" t="s">
        <v>9544</v>
      </c>
      <c r="BL491" t="s">
        <v>9543</v>
      </c>
      <c r="BM491" t="s">
        <v>9545</v>
      </c>
      <c r="BN491">
        <v>37946185</v>
      </c>
      <c r="BO491" t="s">
        <v>9546</v>
      </c>
      <c r="BP491" t="s">
        <v>74</v>
      </c>
      <c r="BQ491" t="s">
        <v>74</v>
      </c>
      <c r="BR491" t="s">
        <v>104</v>
      </c>
      <c r="BS491" t="s">
        <v>9547</v>
      </c>
      <c r="BT491" t="str">
        <f>HYPERLINK("https%3A%2F%2Fwww.webofscience.com%2Fwos%2Fwoscc%2Ffull-record%2FWOS:001103053600001","View Full Record in Web of Science")</f>
        <v>View Full Record in Web of Science</v>
      </c>
    </row>
    <row r="492" spans="1:72" x14ac:dyDescent="0.15">
      <c r="A492" t="s">
        <v>72</v>
      </c>
      <c r="B492" t="s">
        <v>9548</v>
      </c>
      <c r="C492" t="s">
        <v>74</v>
      </c>
      <c r="D492" t="s">
        <v>74</v>
      </c>
      <c r="E492" t="s">
        <v>74</v>
      </c>
      <c r="F492" t="s">
        <v>9549</v>
      </c>
      <c r="G492" t="s">
        <v>74</v>
      </c>
      <c r="H492" t="s">
        <v>74</v>
      </c>
      <c r="I492" t="s">
        <v>9550</v>
      </c>
      <c r="J492" t="s">
        <v>9551</v>
      </c>
      <c r="K492" t="s">
        <v>74</v>
      </c>
      <c r="L492" t="s">
        <v>74</v>
      </c>
      <c r="M492" t="s">
        <v>78</v>
      </c>
      <c r="N492" t="s">
        <v>79</v>
      </c>
      <c r="O492" t="s">
        <v>74</v>
      </c>
      <c r="P492" t="s">
        <v>74</v>
      </c>
      <c r="Q492" t="s">
        <v>74</v>
      </c>
      <c r="R492" t="s">
        <v>74</v>
      </c>
      <c r="S492" t="s">
        <v>74</v>
      </c>
      <c r="T492" t="s">
        <v>9552</v>
      </c>
      <c r="U492" t="s">
        <v>9553</v>
      </c>
      <c r="V492" t="s">
        <v>9554</v>
      </c>
      <c r="W492" t="s">
        <v>9555</v>
      </c>
      <c r="X492" t="s">
        <v>9556</v>
      </c>
      <c r="Y492" t="s">
        <v>9557</v>
      </c>
      <c r="Z492" t="s">
        <v>9558</v>
      </c>
      <c r="AA492" t="s">
        <v>9559</v>
      </c>
      <c r="AB492" t="s">
        <v>9560</v>
      </c>
      <c r="AC492" t="s">
        <v>9561</v>
      </c>
      <c r="AD492" t="s">
        <v>9562</v>
      </c>
      <c r="AE492" t="s">
        <v>9563</v>
      </c>
      <c r="AF492" t="s">
        <v>74</v>
      </c>
      <c r="AG492">
        <v>71</v>
      </c>
      <c r="AH492">
        <v>0</v>
      </c>
      <c r="AI492">
        <v>0</v>
      </c>
      <c r="AJ492">
        <v>8</v>
      </c>
      <c r="AK492">
        <v>8</v>
      </c>
      <c r="AL492" t="s">
        <v>1101</v>
      </c>
      <c r="AM492" t="s">
        <v>1102</v>
      </c>
      <c r="AN492" t="s">
        <v>1103</v>
      </c>
      <c r="AO492" t="s">
        <v>9564</v>
      </c>
      <c r="AP492" t="s">
        <v>9565</v>
      </c>
      <c r="AQ492" t="s">
        <v>74</v>
      </c>
      <c r="AR492" t="s">
        <v>9566</v>
      </c>
      <c r="AS492" t="s">
        <v>9567</v>
      </c>
      <c r="AT492" t="s">
        <v>954</v>
      </c>
      <c r="AU492">
        <v>2024</v>
      </c>
      <c r="AV492">
        <v>30</v>
      </c>
      <c r="AW492">
        <v>1</v>
      </c>
      <c r="AX492" t="s">
        <v>74</v>
      </c>
      <c r="AY492" t="s">
        <v>74</v>
      </c>
      <c r="AZ492" t="s">
        <v>74</v>
      </c>
      <c r="BA492" t="s">
        <v>74</v>
      </c>
      <c r="BB492" t="s">
        <v>74</v>
      </c>
      <c r="BC492" t="s">
        <v>74</v>
      </c>
      <c r="BD492" t="s">
        <v>9568</v>
      </c>
      <c r="BE492" t="s">
        <v>9569</v>
      </c>
      <c r="BF492" t="str">
        <f>HYPERLINK("http://dx.doi.org/10.1111/gcb.17020","http://dx.doi.org/10.1111/gcb.17020")</f>
        <v>http://dx.doi.org/10.1111/gcb.17020</v>
      </c>
      <c r="BG492" t="s">
        <v>74</v>
      </c>
      <c r="BH492" t="s">
        <v>6982</v>
      </c>
      <c r="BI492">
        <v>14</v>
      </c>
      <c r="BJ492" t="s">
        <v>8763</v>
      </c>
      <c r="BK492" t="s">
        <v>100</v>
      </c>
      <c r="BL492" t="s">
        <v>913</v>
      </c>
      <c r="BM492" t="s">
        <v>9570</v>
      </c>
      <c r="BN492">
        <v>37947122</v>
      </c>
      <c r="BO492" t="s">
        <v>103</v>
      </c>
      <c r="BP492" t="s">
        <v>74</v>
      </c>
      <c r="BQ492" t="s">
        <v>74</v>
      </c>
      <c r="BR492" t="s">
        <v>104</v>
      </c>
      <c r="BS492" t="s">
        <v>9571</v>
      </c>
      <c r="BT492" t="str">
        <f>HYPERLINK("https%3A%2F%2Fwww.webofscience.com%2Fwos%2Fwoscc%2Ffull-record%2FWOS:001103149500001","View Full Record in Web of Science")</f>
        <v>View Full Record in Web of Science</v>
      </c>
    </row>
    <row r="493" spans="1:72" x14ac:dyDescent="0.15">
      <c r="A493" t="s">
        <v>72</v>
      </c>
      <c r="B493" t="s">
        <v>9572</v>
      </c>
      <c r="C493" t="s">
        <v>74</v>
      </c>
      <c r="D493" t="s">
        <v>74</v>
      </c>
      <c r="E493" t="s">
        <v>74</v>
      </c>
      <c r="F493" t="s">
        <v>9573</v>
      </c>
      <c r="G493" t="s">
        <v>74</v>
      </c>
      <c r="H493" t="s">
        <v>74</v>
      </c>
      <c r="I493" t="s">
        <v>9574</v>
      </c>
      <c r="J493" t="s">
        <v>9575</v>
      </c>
      <c r="K493" t="s">
        <v>74</v>
      </c>
      <c r="L493" t="s">
        <v>74</v>
      </c>
      <c r="M493" t="s">
        <v>78</v>
      </c>
      <c r="N493" t="s">
        <v>79</v>
      </c>
      <c r="O493" t="s">
        <v>74</v>
      </c>
      <c r="P493" t="s">
        <v>74</v>
      </c>
      <c r="Q493" t="s">
        <v>74</v>
      </c>
      <c r="R493" t="s">
        <v>74</v>
      </c>
      <c r="S493" t="s">
        <v>74</v>
      </c>
      <c r="T493" t="s">
        <v>9576</v>
      </c>
      <c r="U493" t="s">
        <v>9577</v>
      </c>
      <c r="V493" t="s">
        <v>9578</v>
      </c>
      <c r="W493" t="s">
        <v>9579</v>
      </c>
      <c r="X493" t="s">
        <v>9580</v>
      </c>
      <c r="Y493" t="s">
        <v>9581</v>
      </c>
      <c r="Z493" t="s">
        <v>9582</v>
      </c>
      <c r="AA493" t="s">
        <v>74</v>
      </c>
      <c r="AB493" t="s">
        <v>9583</v>
      </c>
      <c r="AC493" t="s">
        <v>9584</v>
      </c>
      <c r="AD493" t="s">
        <v>9585</v>
      </c>
      <c r="AE493" t="s">
        <v>9586</v>
      </c>
      <c r="AF493" t="s">
        <v>74</v>
      </c>
      <c r="AG493">
        <v>28</v>
      </c>
      <c r="AH493">
        <v>0</v>
      </c>
      <c r="AI493">
        <v>0</v>
      </c>
      <c r="AJ493">
        <v>0</v>
      </c>
      <c r="AK493">
        <v>0</v>
      </c>
      <c r="AL493" t="s">
        <v>1810</v>
      </c>
      <c r="AM493" t="s">
        <v>1811</v>
      </c>
      <c r="AN493" t="s">
        <v>1812</v>
      </c>
      <c r="AO493" t="s">
        <v>9587</v>
      </c>
      <c r="AP493" t="s">
        <v>9588</v>
      </c>
      <c r="AQ493" t="s">
        <v>74</v>
      </c>
      <c r="AR493" t="s">
        <v>9589</v>
      </c>
      <c r="AS493" t="s">
        <v>9590</v>
      </c>
      <c r="AT493" t="s">
        <v>9591</v>
      </c>
      <c r="AU493">
        <v>2023</v>
      </c>
      <c r="AV493">
        <v>52</v>
      </c>
      <c r="AW493" t="s">
        <v>74</v>
      </c>
      <c r="AX493" t="s">
        <v>74</v>
      </c>
      <c r="AY493" t="s">
        <v>74</v>
      </c>
      <c r="AZ493" t="s">
        <v>74</v>
      </c>
      <c r="BA493" t="s">
        <v>74</v>
      </c>
      <c r="BB493">
        <v>203</v>
      </c>
      <c r="BC493">
        <v>208</v>
      </c>
      <c r="BD493" t="s">
        <v>74</v>
      </c>
      <c r="BE493" t="s">
        <v>9592</v>
      </c>
      <c r="BF493" t="str">
        <f>HYPERLINK("http://dx.doi.org/10.3354/esr01277","http://dx.doi.org/10.3354/esr01277")</f>
        <v>http://dx.doi.org/10.3354/esr01277</v>
      </c>
      <c r="BG493" t="s">
        <v>74</v>
      </c>
      <c r="BH493" t="s">
        <v>74</v>
      </c>
      <c r="BI493">
        <v>6</v>
      </c>
      <c r="BJ493" t="s">
        <v>1615</v>
      </c>
      <c r="BK493" t="s">
        <v>100</v>
      </c>
      <c r="BL493" t="s">
        <v>1616</v>
      </c>
      <c r="BM493" t="s">
        <v>9593</v>
      </c>
      <c r="BN493" t="s">
        <v>74</v>
      </c>
      <c r="BO493" t="s">
        <v>131</v>
      </c>
      <c r="BP493" t="s">
        <v>74</v>
      </c>
      <c r="BQ493" t="s">
        <v>74</v>
      </c>
      <c r="BR493" t="s">
        <v>104</v>
      </c>
      <c r="BS493" t="s">
        <v>9594</v>
      </c>
      <c r="BT493" t="str">
        <f>HYPERLINK("https%3A%2F%2Fwww.webofscience.com%2Fwos%2Fwoscc%2Ffull-record%2FWOS:001190237900004","View Full Record in Web of Science")</f>
        <v>View Full Record in Web of Science</v>
      </c>
    </row>
    <row r="494" spans="1:72" x14ac:dyDescent="0.15">
      <c r="A494" t="s">
        <v>72</v>
      </c>
      <c r="B494" t="s">
        <v>9595</v>
      </c>
      <c r="C494" t="s">
        <v>74</v>
      </c>
      <c r="D494" t="s">
        <v>74</v>
      </c>
      <c r="E494" t="s">
        <v>74</v>
      </c>
      <c r="F494" t="s">
        <v>9596</v>
      </c>
      <c r="G494" t="s">
        <v>74</v>
      </c>
      <c r="H494" t="s">
        <v>74</v>
      </c>
      <c r="I494" t="s">
        <v>9597</v>
      </c>
      <c r="J494" t="s">
        <v>2809</v>
      </c>
      <c r="K494" t="s">
        <v>74</v>
      </c>
      <c r="L494" t="s">
        <v>74</v>
      </c>
      <c r="M494" t="s">
        <v>78</v>
      </c>
      <c r="N494" t="s">
        <v>79</v>
      </c>
      <c r="O494" t="s">
        <v>74</v>
      </c>
      <c r="P494" t="s">
        <v>74</v>
      </c>
      <c r="Q494" t="s">
        <v>74</v>
      </c>
      <c r="R494" t="s">
        <v>74</v>
      </c>
      <c r="S494" t="s">
        <v>74</v>
      </c>
      <c r="T494" t="s">
        <v>74</v>
      </c>
      <c r="U494" t="s">
        <v>9598</v>
      </c>
      <c r="V494" t="s">
        <v>9599</v>
      </c>
      <c r="W494" t="s">
        <v>9600</v>
      </c>
      <c r="X494" t="s">
        <v>9601</v>
      </c>
      <c r="Y494" t="s">
        <v>9602</v>
      </c>
      <c r="Z494" t="s">
        <v>9603</v>
      </c>
      <c r="AA494" t="s">
        <v>9604</v>
      </c>
      <c r="AB494" t="s">
        <v>9605</v>
      </c>
      <c r="AC494" t="s">
        <v>2615</v>
      </c>
      <c r="AD494" t="s">
        <v>2616</v>
      </c>
      <c r="AE494" t="s">
        <v>9606</v>
      </c>
      <c r="AF494" t="s">
        <v>74</v>
      </c>
      <c r="AG494">
        <v>68</v>
      </c>
      <c r="AH494">
        <v>0</v>
      </c>
      <c r="AI494">
        <v>0</v>
      </c>
      <c r="AJ494">
        <v>2</v>
      </c>
      <c r="AK494">
        <v>2</v>
      </c>
      <c r="AL494" t="s">
        <v>1838</v>
      </c>
      <c r="AM494" t="s">
        <v>1839</v>
      </c>
      <c r="AN494" t="s">
        <v>1840</v>
      </c>
      <c r="AO494" t="s">
        <v>2818</v>
      </c>
      <c r="AP494" t="s">
        <v>2819</v>
      </c>
      <c r="AQ494" t="s">
        <v>74</v>
      </c>
      <c r="AR494" t="s">
        <v>2809</v>
      </c>
      <c r="AS494" t="s">
        <v>2820</v>
      </c>
      <c r="AT494" t="s">
        <v>9591</v>
      </c>
      <c r="AU494">
        <v>2023</v>
      </c>
      <c r="AV494">
        <v>17</v>
      </c>
      <c r="AW494">
        <v>11</v>
      </c>
      <c r="AX494" t="s">
        <v>74</v>
      </c>
      <c r="AY494" t="s">
        <v>74</v>
      </c>
      <c r="AZ494" t="s">
        <v>74</v>
      </c>
      <c r="BA494" t="s">
        <v>74</v>
      </c>
      <c r="BB494">
        <v>4705</v>
      </c>
      <c r="BC494">
        <v>4727</v>
      </c>
      <c r="BD494" t="s">
        <v>74</v>
      </c>
      <c r="BE494" t="s">
        <v>9607</v>
      </c>
      <c r="BF494" t="str">
        <f>HYPERLINK("http://dx.doi.org/10.5194/tc-17-4705-2023","http://dx.doi.org/10.5194/tc-17-4705-2023")</f>
        <v>http://dx.doi.org/10.5194/tc-17-4705-2023</v>
      </c>
      <c r="BG494" t="s">
        <v>74</v>
      </c>
      <c r="BH494" t="s">
        <v>74</v>
      </c>
      <c r="BI494">
        <v>23</v>
      </c>
      <c r="BJ494" t="s">
        <v>984</v>
      </c>
      <c r="BK494" t="s">
        <v>100</v>
      </c>
      <c r="BL494" t="s">
        <v>985</v>
      </c>
      <c r="BM494" t="s">
        <v>9608</v>
      </c>
      <c r="BN494" t="s">
        <v>74</v>
      </c>
      <c r="BO494" t="s">
        <v>131</v>
      </c>
      <c r="BP494" t="s">
        <v>74</v>
      </c>
      <c r="BQ494" t="s">
        <v>74</v>
      </c>
      <c r="BR494" t="s">
        <v>104</v>
      </c>
      <c r="BS494" t="s">
        <v>9609</v>
      </c>
      <c r="BT494" t="str">
        <f>HYPERLINK("https%3A%2F%2Fwww.webofscience.com%2Fwos%2Fwoscc%2Ffull-record%2FWOS:001169069400001","View Full Record in Web of Science")</f>
        <v>View Full Record in Web of Science</v>
      </c>
    </row>
    <row r="495" spans="1:72" x14ac:dyDescent="0.15">
      <c r="A495" t="s">
        <v>72</v>
      </c>
      <c r="B495" t="s">
        <v>9610</v>
      </c>
      <c r="C495" t="s">
        <v>74</v>
      </c>
      <c r="D495" t="s">
        <v>74</v>
      </c>
      <c r="E495" t="s">
        <v>74</v>
      </c>
      <c r="F495" t="s">
        <v>9611</v>
      </c>
      <c r="G495" t="s">
        <v>74</v>
      </c>
      <c r="H495" t="s">
        <v>74</v>
      </c>
      <c r="I495" t="s">
        <v>9612</v>
      </c>
      <c r="J495" t="s">
        <v>2809</v>
      </c>
      <c r="K495" t="s">
        <v>74</v>
      </c>
      <c r="L495" t="s">
        <v>74</v>
      </c>
      <c r="M495" t="s">
        <v>78</v>
      </c>
      <c r="N495" t="s">
        <v>79</v>
      </c>
      <c r="O495" t="s">
        <v>74</v>
      </c>
      <c r="P495" t="s">
        <v>74</v>
      </c>
      <c r="Q495" t="s">
        <v>74</v>
      </c>
      <c r="R495" t="s">
        <v>74</v>
      </c>
      <c r="S495" t="s">
        <v>74</v>
      </c>
      <c r="T495" t="s">
        <v>74</v>
      </c>
      <c r="U495" t="s">
        <v>9613</v>
      </c>
      <c r="V495" t="s">
        <v>9614</v>
      </c>
      <c r="W495" t="s">
        <v>9615</v>
      </c>
      <c r="X495" t="s">
        <v>9616</v>
      </c>
      <c r="Y495" t="s">
        <v>9617</v>
      </c>
      <c r="Z495" t="s">
        <v>9618</v>
      </c>
      <c r="AA495" t="s">
        <v>74</v>
      </c>
      <c r="AB495" t="s">
        <v>9619</v>
      </c>
      <c r="AC495" t="s">
        <v>3098</v>
      </c>
      <c r="AD495" t="s">
        <v>3099</v>
      </c>
      <c r="AE495" t="s">
        <v>9620</v>
      </c>
      <c r="AF495" t="s">
        <v>74</v>
      </c>
      <c r="AG495">
        <v>62</v>
      </c>
      <c r="AH495">
        <v>1</v>
      </c>
      <c r="AI495">
        <v>1</v>
      </c>
      <c r="AJ495">
        <v>2</v>
      </c>
      <c r="AK495">
        <v>2</v>
      </c>
      <c r="AL495" t="s">
        <v>1838</v>
      </c>
      <c r="AM495" t="s">
        <v>1839</v>
      </c>
      <c r="AN495" t="s">
        <v>1840</v>
      </c>
      <c r="AO495" t="s">
        <v>2818</v>
      </c>
      <c r="AP495" t="s">
        <v>2819</v>
      </c>
      <c r="AQ495" t="s">
        <v>74</v>
      </c>
      <c r="AR495" t="s">
        <v>2809</v>
      </c>
      <c r="AS495" t="s">
        <v>2820</v>
      </c>
      <c r="AT495" t="s">
        <v>9591</v>
      </c>
      <c r="AU495">
        <v>2023</v>
      </c>
      <c r="AV495">
        <v>17</v>
      </c>
      <c r="AW495">
        <v>11</v>
      </c>
      <c r="AX495" t="s">
        <v>74</v>
      </c>
      <c r="AY495" t="s">
        <v>74</v>
      </c>
      <c r="AZ495" t="s">
        <v>74</v>
      </c>
      <c r="BA495" t="s">
        <v>74</v>
      </c>
      <c r="BB495">
        <v>4675</v>
      </c>
      <c r="BC495">
        <v>4690</v>
      </c>
      <c r="BD495" t="s">
        <v>74</v>
      </c>
      <c r="BE495" t="s">
        <v>9621</v>
      </c>
      <c r="BF495" t="str">
        <f>HYPERLINK("http://dx.doi.org/10.5194/tc-17-4675-2023","http://dx.doi.org/10.5194/tc-17-4675-2023")</f>
        <v>http://dx.doi.org/10.5194/tc-17-4675-2023</v>
      </c>
      <c r="BG495" t="s">
        <v>74</v>
      </c>
      <c r="BH495" t="s">
        <v>74</v>
      </c>
      <c r="BI495">
        <v>16</v>
      </c>
      <c r="BJ495" t="s">
        <v>984</v>
      </c>
      <c r="BK495" t="s">
        <v>100</v>
      </c>
      <c r="BL495" t="s">
        <v>985</v>
      </c>
      <c r="BM495" t="s">
        <v>9622</v>
      </c>
      <c r="BN495" t="s">
        <v>74</v>
      </c>
      <c r="BO495" t="s">
        <v>183</v>
      </c>
      <c r="BP495" t="s">
        <v>74</v>
      </c>
      <c r="BQ495" t="s">
        <v>74</v>
      </c>
      <c r="BR495" t="s">
        <v>104</v>
      </c>
      <c r="BS495" t="s">
        <v>9623</v>
      </c>
      <c r="BT495" t="str">
        <f>HYPERLINK("https%3A%2F%2Fwww.webofscience.com%2Fwos%2Fwoscc%2Ffull-record%2FWOS:001169069100001","View Full Record in Web of Science")</f>
        <v>View Full Record in Web of Science</v>
      </c>
    </row>
    <row r="496" spans="1:72" x14ac:dyDescent="0.15">
      <c r="A496" t="s">
        <v>72</v>
      </c>
      <c r="B496" t="s">
        <v>9624</v>
      </c>
      <c r="C496" t="s">
        <v>74</v>
      </c>
      <c r="D496" t="s">
        <v>74</v>
      </c>
      <c r="E496" t="s">
        <v>74</v>
      </c>
      <c r="F496" t="s">
        <v>9625</v>
      </c>
      <c r="G496" t="s">
        <v>74</v>
      </c>
      <c r="H496" t="s">
        <v>74</v>
      </c>
      <c r="I496" t="s">
        <v>9626</v>
      </c>
      <c r="J496" t="s">
        <v>1799</v>
      </c>
      <c r="K496" t="s">
        <v>74</v>
      </c>
      <c r="L496" t="s">
        <v>74</v>
      </c>
      <c r="M496" t="s">
        <v>78</v>
      </c>
      <c r="N496" t="s">
        <v>79</v>
      </c>
      <c r="O496" t="s">
        <v>74</v>
      </c>
      <c r="P496" t="s">
        <v>74</v>
      </c>
      <c r="Q496" t="s">
        <v>74</v>
      </c>
      <c r="R496" t="s">
        <v>74</v>
      </c>
      <c r="S496" t="s">
        <v>74</v>
      </c>
      <c r="T496" t="s">
        <v>9627</v>
      </c>
      <c r="U496" t="s">
        <v>9628</v>
      </c>
      <c r="V496" t="s">
        <v>9629</v>
      </c>
      <c r="W496" t="s">
        <v>9630</v>
      </c>
      <c r="X496" t="s">
        <v>9631</v>
      </c>
      <c r="Y496" t="s">
        <v>9632</v>
      </c>
      <c r="Z496" t="s">
        <v>74</v>
      </c>
      <c r="AA496" t="s">
        <v>74</v>
      </c>
      <c r="AB496" t="s">
        <v>74</v>
      </c>
      <c r="AC496" t="s">
        <v>9633</v>
      </c>
      <c r="AD496" t="s">
        <v>9634</v>
      </c>
      <c r="AE496" t="s">
        <v>9635</v>
      </c>
      <c r="AF496" t="s">
        <v>74</v>
      </c>
      <c r="AG496">
        <v>109</v>
      </c>
      <c r="AH496">
        <v>0</v>
      </c>
      <c r="AI496">
        <v>0</v>
      </c>
      <c r="AJ496">
        <v>2</v>
      </c>
      <c r="AK496">
        <v>2</v>
      </c>
      <c r="AL496" t="s">
        <v>1810</v>
      </c>
      <c r="AM496" t="s">
        <v>1811</v>
      </c>
      <c r="AN496" t="s">
        <v>1812</v>
      </c>
      <c r="AO496" t="s">
        <v>1813</v>
      </c>
      <c r="AP496" t="s">
        <v>1814</v>
      </c>
      <c r="AQ496" t="s">
        <v>74</v>
      </c>
      <c r="AR496" t="s">
        <v>1815</v>
      </c>
      <c r="AS496" t="s">
        <v>1816</v>
      </c>
      <c r="AT496" t="s">
        <v>9591</v>
      </c>
      <c r="AU496">
        <v>2023</v>
      </c>
      <c r="AV496">
        <v>722</v>
      </c>
      <c r="AW496" t="s">
        <v>74</v>
      </c>
      <c r="AX496" t="s">
        <v>74</v>
      </c>
      <c r="AY496" t="s">
        <v>74</v>
      </c>
      <c r="AZ496" t="s">
        <v>74</v>
      </c>
      <c r="BA496" t="s">
        <v>74</v>
      </c>
      <c r="BB496">
        <v>1</v>
      </c>
      <c r="BC496">
        <v>17</v>
      </c>
      <c r="BD496" t="s">
        <v>74</v>
      </c>
      <c r="BE496" t="s">
        <v>9636</v>
      </c>
      <c r="BF496" t="str">
        <f>HYPERLINK("http://dx.doi.org/10.3354/meps14441","http://dx.doi.org/10.3354/meps14441")</f>
        <v>http://dx.doi.org/10.3354/meps14441</v>
      </c>
      <c r="BG496" t="s">
        <v>74</v>
      </c>
      <c r="BH496" t="s">
        <v>74</v>
      </c>
      <c r="BI496">
        <v>17</v>
      </c>
      <c r="BJ496" t="s">
        <v>1819</v>
      </c>
      <c r="BK496" t="s">
        <v>100</v>
      </c>
      <c r="BL496" t="s">
        <v>1820</v>
      </c>
      <c r="BM496" t="s">
        <v>9637</v>
      </c>
      <c r="BN496" t="s">
        <v>74</v>
      </c>
      <c r="BO496" t="s">
        <v>2452</v>
      </c>
      <c r="BP496" t="s">
        <v>74</v>
      </c>
      <c r="BQ496" t="s">
        <v>74</v>
      </c>
      <c r="BR496" t="s">
        <v>104</v>
      </c>
      <c r="BS496" t="s">
        <v>9638</v>
      </c>
      <c r="BT496" t="str">
        <f>HYPERLINK("https%3A%2F%2Fwww.webofscience.com%2Fwos%2Fwoscc%2Ffull-record%2FWOS:001116007900001","View Full Record in Web of Science")</f>
        <v>View Full Record in Web of Science</v>
      </c>
    </row>
    <row r="497" spans="1:72" x14ac:dyDescent="0.15">
      <c r="A497" t="s">
        <v>72</v>
      </c>
      <c r="B497" t="s">
        <v>9639</v>
      </c>
      <c r="C497" t="s">
        <v>74</v>
      </c>
      <c r="D497" t="s">
        <v>74</v>
      </c>
      <c r="E497" t="s">
        <v>74</v>
      </c>
      <c r="F497" t="s">
        <v>9640</v>
      </c>
      <c r="G497" t="s">
        <v>74</v>
      </c>
      <c r="H497" t="s">
        <v>74</v>
      </c>
      <c r="I497" t="s">
        <v>9641</v>
      </c>
      <c r="J497" t="s">
        <v>7079</v>
      </c>
      <c r="K497" t="s">
        <v>74</v>
      </c>
      <c r="L497" t="s">
        <v>74</v>
      </c>
      <c r="M497" t="s">
        <v>78</v>
      </c>
      <c r="N497" t="s">
        <v>79</v>
      </c>
      <c r="O497" t="s">
        <v>74</v>
      </c>
      <c r="P497" t="s">
        <v>74</v>
      </c>
      <c r="Q497" t="s">
        <v>74</v>
      </c>
      <c r="R497" t="s">
        <v>74</v>
      </c>
      <c r="S497" t="s">
        <v>74</v>
      </c>
      <c r="T497" t="s">
        <v>74</v>
      </c>
      <c r="U497" t="s">
        <v>74</v>
      </c>
      <c r="V497" t="s">
        <v>9642</v>
      </c>
      <c r="W497" t="s">
        <v>9643</v>
      </c>
      <c r="X497" t="s">
        <v>9644</v>
      </c>
      <c r="Y497" t="s">
        <v>9645</v>
      </c>
      <c r="Z497" t="s">
        <v>9646</v>
      </c>
      <c r="AA497" t="s">
        <v>9647</v>
      </c>
      <c r="AB497" t="s">
        <v>9648</v>
      </c>
      <c r="AC497" t="s">
        <v>9649</v>
      </c>
      <c r="AD497" t="s">
        <v>9650</v>
      </c>
      <c r="AE497" t="s">
        <v>9651</v>
      </c>
      <c r="AF497" t="s">
        <v>74</v>
      </c>
      <c r="AG497">
        <v>43</v>
      </c>
      <c r="AH497">
        <v>0</v>
      </c>
      <c r="AI497">
        <v>0</v>
      </c>
      <c r="AJ497">
        <v>10</v>
      </c>
      <c r="AK497">
        <v>10</v>
      </c>
      <c r="AL497" t="s">
        <v>3057</v>
      </c>
      <c r="AM497" t="s">
        <v>3058</v>
      </c>
      <c r="AN497" t="s">
        <v>3059</v>
      </c>
      <c r="AO497" t="s">
        <v>7091</v>
      </c>
      <c r="AP497" t="s">
        <v>74</v>
      </c>
      <c r="AQ497" t="s">
        <v>74</v>
      </c>
      <c r="AR497" t="s">
        <v>7092</v>
      </c>
      <c r="AS497" t="s">
        <v>7093</v>
      </c>
      <c r="AT497" t="s">
        <v>954</v>
      </c>
      <c r="AU497">
        <v>2024</v>
      </c>
      <c r="AV497">
        <v>7</v>
      </c>
      <c r="AW497">
        <v>1</v>
      </c>
      <c r="AX497" t="s">
        <v>74</v>
      </c>
      <c r="AY497" t="s">
        <v>74</v>
      </c>
      <c r="AZ497" t="s">
        <v>74</v>
      </c>
      <c r="BA497" t="s">
        <v>74</v>
      </c>
      <c r="BB497" t="s">
        <v>74</v>
      </c>
      <c r="BC497" t="s">
        <v>74</v>
      </c>
      <c r="BD497" t="s">
        <v>74</v>
      </c>
      <c r="BE497" t="s">
        <v>9652</v>
      </c>
      <c r="BF497" t="str">
        <f>HYPERLINK("http://dx.doi.org/10.1038/s41893-023-01245-y","http://dx.doi.org/10.1038/s41893-023-01245-y")</f>
        <v>http://dx.doi.org/10.1038/s41893-023-01245-y</v>
      </c>
      <c r="BG497" t="s">
        <v>74</v>
      </c>
      <c r="BH497" t="s">
        <v>6982</v>
      </c>
      <c r="BI497">
        <v>12</v>
      </c>
      <c r="BJ497" t="s">
        <v>7095</v>
      </c>
      <c r="BK497" t="s">
        <v>456</v>
      </c>
      <c r="BL497" t="s">
        <v>7096</v>
      </c>
      <c r="BM497" t="s">
        <v>7097</v>
      </c>
      <c r="BN497" t="s">
        <v>74</v>
      </c>
      <c r="BO497" t="s">
        <v>322</v>
      </c>
      <c r="BP497" t="s">
        <v>74</v>
      </c>
      <c r="BQ497" t="s">
        <v>74</v>
      </c>
      <c r="BR497" t="s">
        <v>104</v>
      </c>
      <c r="BS497" t="s">
        <v>9653</v>
      </c>
      <c r="BT497" t="str">
        <f>HYPERLINK("https%3A%2F%2Fwww.webofscience.com%2Fwos%2Fwoscc%2Ffull-record%2FWOS:001103001200001","View Full Record in Web of Science")</f>
        <v>View Full Record in Web of Science</v>
      </c>
    </row>
    <row r="498" spans="1:72" x14ac:dyDescent="0.15">
      <c r="A498" t="s">
        <v>72</v>
      </c>
      <c r="B498" t="s">
        <v>9654</v>
      </c>
      <c r="C498" t="s">
        <v>74</v>
      </c>
      <c r="D498" t="s">
        <v>74</v>
      </c>
      <c r="E498" t="s">
        <v>74</v>
      </c>
      <c r="F498" t="s">
        <v>9655</v>
      </c>
      <c r="G498" t="s">
        <v>74</v>
      </c>
      <c r="H498" t="s">
        <v>74</v>
      </c>
      <c r="I498" t="s">
        <v>9656</v>
      </c>
      <c r="J498" t="s">
        <v>3384</v>
      </c>
      <c r="K498" t="s">
        <v>74</v>
      </c>
      <c r="L498" t="s">
        <v>74</v>
      </c>
      <c r="M498" t="s">
        <v>78</v>
      </c>
      <c r="N498" t="s">
        <v>79</v>
      </c>
      <c r="O498" t="s">
        <v>74</v>
      </c>
      <c r="P498" t="s">
        <v>74</v>
      </c>
      <c r="Q498" t="s">
        <v>74</v>
      </c>
      <c r="R498" t="s">
        <v>74</v>
      </c>
      <c r="S498" t="s">
        <v>74</v>
      </c>
      <c r="T498" t="s">
        <v>74</v>
      </c>
      <c r="U498" t="s">
        <v>9657</v>
      </c>
      <c r="V498" t="s">
        <v>9658</v>
      </c>
      <c r="W498" t="s">
        <v>9659</v>
      </c>
      <c r="X498" t="s">
        <v>9660</v>
      </c>
      <c r="Y498" t="s">
        <v>9661</v>
      </c>
      <c r="Z498" t="s">
        <v>9662</v>
      </c>
      <c r="AA498" t="s">
        <v>9663</v>
      </c>
      <c r="AB498" t="s">
        <v>9664</v>
      </c>
      <c r="AC498" t="s">
        <v>9665</v>
      </c>
      <c r="AD498" t="s">
        <v>9666</v>
      </c>
      <c r="AE498" t="s">
        <v>9667</v>
      </c>
      <c r="AF498" t="s">
        <v>74</v>
      </c>
      <c r="AG498">
        <v>127</v>
      </c>
      <c r="AH498">
        <v>0</v>
      </c>
      <c r="AI498">
        <v>0</v>
      </c>
      <c r="AJ498">
        <v>16</v>
      </c>
      <c r="AK498">
        <v>16</v>
      </c>
      <c r="AL498" t="s">
        <v>3057</v>
      </c>
      <c r="AM498" t="s">
        <v>3058</v>
      </c>
      <c r="AN498" t="s">
        <v>3059</v>
      </c>
      <c r="AO498" t="s">
        <v>74</v>
      </c>
      <c r="AP498" t="s">
        <v>3396</v>
      </c>
      <c r="AQ498" t="s">
        <v>74</v>
      </c>
      <c r="AR498" t="s">
        <v>3397</v>
      </c>
      <c r="AS498" t="s">
        <v>3398</v>
      </c>
      <c r="AT498" t="s">
        <v>9591</v>
      </c>
      <c r="AU498">
        <v>2023</v>
      </c>
      <c r="AV498">
        <v>14</v>
      </c>
      <c r="AW498">
        <v>1</v>
      </c>
      <c r="AX498" t="s">
        <v>74</v>
      </c>
      <c r="AY498" t="s">
        <v>74</v>
      </c>
      <c r="AZ498" t="s">
        <v>74</v>
      </c>
      <c r="BA498" t="s">
        <v>74</v>
      </c>
      <c r="BB498" t="s">
        <v>74</v>
      </c>
      <c r="BC498" t="s">
        <v>74</v>
      </c>
      <c r="BD498">
        <v>7230</v>
      </c>
      <c r="BE498" t="s">
        <v>9668</v>
      </c>
      <c r="BF498" t="str">
        <f>HYPERLINK("http://dx.doi.org/10.1038/s41467-023-43106-4","http://dx.doi.org/10.1038/s41467-023-43106-4")</f>
        <v>http://dx.doi.org/10.1038/s41467-023-43106-4</v>
      </c>
      <c r="BG498" t="s">
        <v>74</v>
      </c>
      <c r="BH498" t="s">
        <v>74</v>
      </c>
      <c r="BI498">
        <v>12</v>
      </c>
      <c r="BJ498" t="s">
        <v>1035</v>
      </c>
      <c r="BK498" t="s">
        <v>100</v>
      </c>
      <c r="BL498" t="s">
        <v>1036</v>
      </c>
      <c r="BM498" t="s">
        <v>9669</v>
      </c>
      <c r="BN498">
        <v>37945579</v>
      </c>
      <c r="BO498" t="s">
        <v>200</v>
      </c>
      <c r="BP498" t="s">
        <v>74</v>
      </c>
      <c r="BQ498" t="s">
        <v>74</v>
      </c>
      <c r="BR498" t="s">
        <v>104</v>
      </c>
      <c r="BS498" t="s">
        <v>9670</v>
      </c>
      <c r="BT498" t="str">
        <f>HYPERLINK("https%3A%2F%2Fwww.webofscience.com%2Fwos%2Fwoscc%2Ffull-record%2FWOS:001103080000029","View Full Record in Web of Science")</f>
        <v>View Full Record in Web of Science</v>
      </c>
    </row>
    <row r="499" spans="1:72" x14ac:dyDescent="0.15">
      <c r="A499" t="s">
        <v>72</v>
      </c>
      <c r="B499" t="s">
        <v>9671</v>
      </c>
      <c r="C499" t="s">
        <v>74</v>
      </c>
      <c r="D499" t="s">
        <v>74</v>
      </c>
      <c r="E499" t="s">
        <v>74</v>
      </c>
      <c r="F499" t="s">
        <v>9672</v>
      </c>
      <c r="G499" t="s">
        <v>74</v>
      </c>
      <c r="H499" t="s">
        <v>74</v>
      </c>
      <c r="I499" t="s">
        <v>9673</v>
      </c>
      <c r="J499" t="s">
        <v>9674</v>
      </c>
      <c r="K499" t="s">
        <v>74</v>
      </c>
      <c r="L499" t="s">
        <v>74</v>
      </c>
      <c r="M499" t="s">
        <v>78</v>
      </c>
      <c r="N499" t="s">
        <v>79</v>
      </c>
      <c r="O499" t="s">
        <v>74</v>
      </c>
      <c r="P499" t="s">
        <v>74</v>
      </c>
      <c r="Q499" t="s">
        <v>74</v>
      </c>
      <c r="R499" t="s">
        <v>74</v>
      </c>
      <c r="S499" t="s">
        <v>74</v>
      </c>
      <c r="T499" t="s">
        <v>9675</v>
      </c>
      <c r="U499" t="s">
        <v>9676</v>
      </c>
      <c r="V499" t="s">
        <v>9677</v>
      </c>
      <c r="W499" t="s">
        <v>9678</v>
      </c>
      <c r="X499" t="s">
        <v>9679</v>
      </c>
      <c r="Y499" t="s">
        <v>9680</v>
      </c>
      <c r="Z499" t="s">
        <v>9681</v>
      </c>
      <c r="AA499" t="s">
        <v>9682</v>
      </c>
      <c r="AB499" t="s">
        <v>9683</v>
      </c>
      <c r="AC499" t="s">
        <v>9684</v>
      </c>
      <c r="AD499" t="s">
        <v>9685</v>
      </c>
      <c r="AE499" t="s">
        <v>9686</v>
      </c>
      <c r="AF499" t="s">
        <v>74</v>
      </c>
      <c r="AG499">
        <v>49</v>
      </c>
      <c r="AH499">
        <v>0</v>
      </c>
      <c r="AI499">
        <v>0</v>
      </c>
      <c r="AJ499">
        <v>4</v>
      </c>
      <c r="AK499">
        <v>4</v>
      </c>
      <c r="AL499" t="s">
        <v>1101</v>
      </c>
      <c r="AM499" t="s">
        <v>1102</v>
      </c>
      <c r="AN499" t="s">
        <v>1103</v>
      </c>
      <c r="AO499" t="s">
        <v>9687</v>
      </c>
      <c r="AP499" t="s">
        <v>9688</v>
      </c>
      <c r="AQ499" t="s">
        <v>74</v>
      </c>
      <c r="AR499" t="s">
        <v>9689</v>
      </c>
      <c r="AS499" t="s">
        <v>9690</v>
      </c>
      <c r="AT499" t="s">
        <v>1649</v>
      </c>
      <c r="AU499">
        <v>2023</v>
      </c>
      <c r="AV499">
        <v>43</v>
      </c>
      <c r="AW499">
        <v>16</v>
      </c>
      <c r="AX499" t="s">
        <v>74</v>
      </c>
      <c r="AY499" t="s">
        <v>74</v>
      </c>
      <c r="AZ499" t="s">
        <v>74</v>
      </c>
      <c r="BA499" t="s">
        <v>74</v>
      </c>
      <c r="BB499">
        <v>7987</v>
      </c>
      <c r="BC499">
        <v>8004</v>
      </c>
      <c r="BD499" t="s">
        <v>74</v>
      </c>
      <c r="BE499" t="s">
        <v>9691</v>
      </c>
      <c r="BF499" t="str">
        <f>HYPERLINK("http://dx.doi.org/10.1002/joc.8302","http://dx.doi.org/10.1002/joc.8302")</f>
        <v>http://dx.doi.org/10.1002/joc.8302</v>
      </c>
      <c r="BG499" t="s">
        <v>74</v>
      </c>
      <c r="BH499" t="s">
        <v>6982</v>
      </c>
      <c r="BI499">
        <v>18</v>
      </c>
      <c r="BJ499" t="s">
        <v>1522</v>
      </c>
      <c r="BK499" t="s">
        <v>100</v>
      </c>
      <c r="BL499" t="s">
        <v>1522</v>
      </c>
      <c r="BM499" t="s">
        <v>9692</v>
      </c>
      <c r="BN499" t="s">
        <v>74</v>
      </c>
      <c r="BO499" t="s">
        <v>103</v>
      </c>
      <c r="BP499" t="s">
        <v>74</v>
      </c>
      <c r="BQ499" t="s">
        <v>74</v>
      </c>
      <c r="BR499" t="s">
        <v>104</v>
      </c>
      <c r="BS499" t="s">
        <v>9693</v>
      </c>
      <c r="BT499" t="str">
        <f>HYPERLINK("https%3A%2F%2Fwww.webofscience.com%2Fwos%2Fwoscc%2Ffull-record%2FWOS:001102392000001","View Full Record in Web of Science")</f>
        <v>View Full Record in Web of Science</v>
      </c>
    </row>
    <row r="500" spans="1:72" x14ac:dyDescent="0.15">
      <c r="A500" t="s">
        <v>72</v>
      </c>
      <c r="B500" t="s">
        <v>9694</v>
      </c>
      <c r="C500" t="s">
        <v>74</v>
      </c>
      <c r="D500" t="s">
        <v>74</v>
      </c>
      <c r="E500" t="s">
        <v>74</v>
      </c>
      <c r="F500" t="s">
        <v>9695</v>
      </c>
      <c r="G500" t="s">
        <v>74</v>
      </c>
      <c r="H500" t="s">
        <v>74</v>
      </c>
      <c r="I500" t="s">
        <v>9696</v>
      </c>
      <c r="J500" t="s">
        <v>9113</v>
      </c>
      <c r="K500" t="s">
        <v>74</v>
      </c>
      <c r="L500" t="s">
        <v>74</v>
      </c>
      <c r="M500" t="s">
        <v>78</v>
      </c>
      <c r="N500" t="s">
        <v>79</v>
      </c>
      <c r="O500" t="s">
        <v>74</v>
      </c>
      <c r="P500" t="s">
        <v>74</v>
      </c>
      <c r="Q500" t="s">
        <v>74</v>
      </c>
      <c r="R500" t="s">
        <v>74</v>
      </c>
      <c r="S500" t="s">
        <v>74</v>
      </c>
      <c r="T500" t="s">
        <v>9697</v>
      </c>
      <c r="U500" t="s">
        <v>9698</v>
      </c>
      <c r="V500" t="s">
        <v>9699</v>
      </c>
      <c r="W500" t="s">
        <v>9700</v>
      </c>
      <c r="X500" t="s">
        <v>9701</v>
      </c>
      <c r="Y500" t="s">
        <v>9702</v>
      </c>
      <c r="Z500" t="s">
        <v>9703</v>
      </c>
      <c r="AA500" t="s">
        <v>9704</v>
      </c>
      <c r="AB500" t="s">
        <v>74</v>
      </c>
      <c r="AC500" t="s">
        <v>9705</v>
      </c>
      <c r="AD500" t="s">
        <v>9706</v>
      </c>
      <c r="AE500" t="s">
        <v>9707</v>
      </c>
      <c r="AF500" t="s">
        <v>74</v>
      </c>
      <c r="AG500">
        <v>71</v>
      </c>
      <c r="AH500">
        <v>3</v>
      </c>
      <c r="AI500">
        <v>3</v>
      </c>
      <c r="AJ500">
        <v>11</v>
      </c>
      <c r="AK500">
        <v>11</v>
      </c>
      <c r="AL500" t="s">
        <v>1101</v>
      </c>
      <c r="AM500" t="s">
        <v>1102</v>
      </c>
      <c r="AN500" t="s">
        <v>1103</v>
      </c>
      <c r="AO500" t="s">
        <v>9125</v>
      </c>
      <c r="AP500" t="s">
        <v>9126</v>
      </c>
      <c r="AQ500" t="s">
        <v>74</v>
      </c>
      <c r="AR500" t="s">
        <v>9127</v>
      </c>
      <c r="AS500" t="s">
        <v>9128</v>
      </c>
      <c r="AT500" t="s">
        <v>1133</v>
      </c>
      <c r="AU500">
        <v>2024</v>
      </c>
      <c r="AV500">
        <v>60</v>
      </c>
      <c r="AW500">
        <v>1</v>
      </c>
      <c r="AX500" t="s">
        <v>74</v>
      </c>
      <c r="AY500" t="s">
        <v>74</v>
      </c>
      <c r="AZ500" t="s">
        <v>74</v>
      </c>
      <c r="BA500" t="s">
        <v>74</v>
      </c>
      <c r="BB500">
        <v>4</v>
      </c>
      <c r="BC500">
        <v>14</v>
      </c>
      <c r="BD500" t="s">
        <v>74</v>
      </c>
      <c r="BE500" t="s">
        <v>9708</v>
      </c>
      <c r="BF500" t="str">
        <f>HYPERLINK("http://dx.doi.org/10.1111/jpy.13405","http://dx.doi.org/10.1111/jpy.13405")</f>
        <v>http://dx.doi.org/10.1111/jpy.13405</v>
      </c>
      <c r="BG500" t="s">
        <v>74</v>
      </c>
      <c r="BH500" t="s">
        <v>6982</v>
      </c>
      <c r="BI500">
        <v>11</v>
      </c>
      <c r="BJ500" t="s">
        <v>1058</v>
      </c>
      <c r="BK500" t="s">
        <v>100</v>
      </c>
      <c r="BL500" t="s">
        <v>1058</v>
      </c>
      <c r="BM500" t="s">
        <v>9130</v>
      </c>
      <c r="BN500">
        <v>37943584</v>
      </c>
      <c r="BO500" t="s">
        <v>103</v>
      </c>
      <c r="BP500" t="s">
        <v>74</v>
      </c>
      <c r="BQ500" t="s">
        <v>74</v>
      </c>
      <c r="BR500" t="s">
        <v>104</v>
      </c>
      <c r="BS500" t="s">
        <v>9709</v>
      </c>
      <c r="BT500" t="str">
        <f>HYPERLINK("https%3A%2F%2Fwww.webofscience.com%2Fwos%2Fwoscc%2Ffull-record%2FWOS:001102258600001","View Full Record in Web of Science")</f>
        <v>View Full Record in Web of Science</v>
      </c>
    </row>
    <row r="501" spans="1:72" x14ac:dyDescent="0.15">
      <c r="A501" t="s">
        <v>72</v>
      </c>
      <c r="B501" t="s">
        <v>9710</v>
      </c>
      <c r="C501" t="s">
        <v>74</v>
      </c>
      <c r="D501" t="s">
        <v>74</v>
      </c>
      <c r="E501" t="s">
        <v>74</v>
      </c>
      <c r="F501" t="s">
        <v>9711</v>
      </c>
      <c r="G501" t="s">
        <v>74</v>
      </c>
      <c r="H501" t="s">
        <v>74</v>
      </c>
      <c r="I501" t="s">
        <v>9712</v>
      </c>
      <c r="J501" t="s">
        <v>9713</v>
      </c>
      <c r="K501" t="s">
        <v>74</v>
      </c>
      <c r="L501" t="s">
        <v>74</v>
      </c>
      <c r="M501" t="s">
        <v>78</v>
      </c>
      <c r="N501" t="s">
        <v>79</v>
      </c>
      <c r="O501" t="s">
        <v>74</v>
      </c>
      <c r="P501" t="s">
        <v>74</v>
      </c>
      <c r="Q501" t="s">
        <v>74</v>
      </c>
      <c r="R501" t="s">
        <v>74</v>
      </c>
      <c r="S501" t="s">
        <v>74</v>
      </c>
      <c r="T501" t="s">
        <v>9714</v>
      </c>
      <c r="U501" t="s">
        <v>9715</v>
      </c>
      <c r="V501" t="s">
        <v>9716</v>
      </c>
      <c r="W501" t="s">
        <v>9717</v>
      </c>
      <c r="X501" t="s">
        <v>9718</v>
      </c>
      <c r="Y501" t="s">
        <v>9719</v>
      </c>
      <c r="Z501" t="s">
        <v>9720</v>
      </c>
      <c r="AA501" t="s">
        <v>9721</v>
      </c>
      <c r="AB501" t="s">
        <v>9722</v>
      </c>
      <c r="AC501" t="s">
        <v>9723</v>
      </c>
      <c r="AD501" t="s">
        <v>9724</v>
      </c>
      <c r="AE501" t="s">
        <v>9725</v>
      </c>
      <c r="AF501" t="s">
        <v>74</v>
      </c>
      <c r="AG501">
        <v>143</v>
      </c>
      <c r="AH501">
        <v>2</v>
      </c>
      <c r="AI501">
        <v>2</v>
      </c>
      <c r="AJ501">
        <v>9</v>
      </c>
      <c r="AK501">
        <v>9</v>
      </c>
      <c r="AL501" t="s">
        <v>947</v>
      </c>
      <c r="AM501" t="s">
        <v>948</v>
      </c>
      <c r="AN501" t="s">
        <v>949</v>
      </c>
      <c r="AO501" t="s">
        <v>9726</v>
      </c>
      <c r="AP501" t="s">
        <v>9727</v>
      </c>
      <c r="AQ501" t="s">
        <v>74</v>
      </c>
      <c r="AR501" t="s">
        <v>9713</v>
      </c>
      <c r="AS501" t="s">
        <v>9728</v>
      </c>
      <c r="AT501" t="s">
        <v>1133</v>
      </c>
      <c r="AU501">
        <v>2024</v>
      </c>
      <c r="AV501">
        <v>235</v>
      </c>
      <c r="AW501" t="s">
        <v>74</v>
      </c>
      <c r="AX501" t="s">
        <v>74</v>
      </c>
      <c r="AY501" t="s">
        <v>74</v>
      </c>
      <c r="AZ501" t="s">
        <v>74</v>
      </c>
      <c r="BA501" t="s">
        <v>74</v>
      </c>
      <c r="BB501" t="s">
        <v>74</v>
      </c>
      <c r="BC501" t="s">
        <v>74</v>
      </c>
      <c r="BD501">
        <v>107677</v>
      </c>
      <c r="BE501" t="s">
        <v>9729</v>
      </c>
      <c r="BF501" t="str">
        <f>HYPERLINK("http://dx.doi.org/10.1016/j.catena.2023.107677","http://dx.doi.org/10.1016/j.catena.2023.107677")</f>
        <v>http://dx.doi.org/10.1016/j.catena.2023.107677</v>
      </c>
      <c r="BG501" t="s">
        <v>74</v>
      </c>
      <c r="BH501" t="s">
        <v>6982</v>
      </c>
      <c r="BI501">
        <v>22</v>
      </c>
      <c r="BJ501" t="s">
        <v>9730</v>
      </c>
      <c r="BK501" t="s">
        <v>100</v>
      </c>
      <c r="BL501" t="s">
        <v>9731</v>
      </c>
      <c r="BM501" t="s">
        <v>9732</v>
      </c>
      <c r="BN501" t="s">
        <v>74</v>
      </c>
      <c r="BO501" t="s">
        <v>74</v>
      </c>
      <c r="BP501" t="s">
        <v>74</v>
      </c>
      <c r="BQ501" t="s">
        <v>74</v>
      </c>
      <c r="BR501" t="s">
        <v>104</v>
      </c>
      <c r="BS501" t="s">
        <v>9733</v>
      </c>
      <c r="BT501" t="str">
        <f>HYPERLINK("https%3A%2F%2Fwww.webofscience.com%2Fwos%2Fwoscc%2Ffull-record%2FWOS:001110403500001","View Full Record in Web of Science")</f>
        <v>View Full Record in Web of Science</v>
      </c>
    </row>
    <row r="502" spans="1:72" x14ac:dyDescent="0.15">
      <c r="A502" t="s">
        <v>72</v>
      </c>
      <c r="B502" t="s">
        <v>9734</v>
      </c>
      <c r="C502" t="s">
        <v>74</v>
      </c>
      <c r="D502" t="s">
        <v>74</v>
      </c>
      <c r="E502" t="s">
        <v>74</v>
      </c>
      <c r="F502" t="s">
        <v>9735</v>
      </c>
      <c r="G502" t="s">
        <v>74</v>
      </c>
      <c r="H502" t="s">
        <v>74</v>
      </c>
      <c r="I502" t="s">
        <v>9736</v>
      </c>
      <c r="J502" t="s">
        <v>9737</v>
      </c>
      <c r="K502" t="s">
        <v>74</v>
      </c>
      <c r="L502" t="s">
        <v>74</v>
      </c>
      <c r="M502" t="s">
        <v>78</v>
      </c>
      <c r="N502" t="s">
        <v>79</v>
      </c>
      <c r="O502" t="s">
        <v>74</v>
      </c>
      <c r="P502" t="s">
        <v>74</v>
      </c>
      <c r="Q502" t="s">
        <v>74</v>
      </c>
      <c r="R502" t="s">
        <v>74</v>
      </c>
      <c r="S502" t="s">
        <v>74</v>
      </c>
      <c r="T502" t="s">
        <v>9738</v>
      </c>
      <c r="U502" t="s">
        <v>9739</v>
      </c>
      <c r="V502" t="s">
        <v>9740</v>
      </c>
      <c r="W502" t="s">
        <v>9741</v>
      </c>
      <c r="X502" t="s">
        <v>9742</v>
      </c>
      <c r="Y502" t="s">
        <v>9743</v>
      </c>
      <c r="Z502" t="s">
        <v>9744</v>
      </c>
      <c r="AA502" t="s">
        <v>9745</v>
      </c>
      <c r="AB502" t="s">
        <v>9746</v>
      </c>
      <c r="AC502" t="s">
        <v>9747</v>
      </c>
      <c r="AD502" t="s">
        <v>9747</v>
      </c>
      <c r="AE502" t="s">
        <v>9748</v>
      </c>
      <c r="AF502" t="s">
        <v>74</v>
      </c>
      <c r="AG502">
        <v>33</v>
      </c>
      <c r="AH502">
        <v>0</v>
      </c>
      <c r="AI502">
        <v>0</v>
      </c>
      <c r="AJ502">
        <v>0</v>
      </c>
      <c r="AK502">
        <v>0</v>
      </c>
      <c r="AL502" t="s">
        <v>1782</v>
      </c>
      <c r="AM502" t="s">
        <v>1783</v>
      </c>
      <c r="AN502" t="s">
        <v>1784</v>
      </c>
      <c r="AO502" t="s">
        <v>9749</v>
      </c>
      <c r="AP502" t="s">
        <v>9750</v>
      </c>
      <c r="AQ502" t="s">
        <v>74</v>
      </c>
      <c r="AR502" t="s">
        <v>9751</v>
      </c>
      <c r="AS502" t="s">
        <v>9752</v>
      </c>
      <c r="AT502" t="s">
        <v>9753</v>
      </c>
      <c r="AU502">
        <v>2023</v>
      </c>
      <c r="AV502">
        <v>17</v>
      </c>
      <c r="AW502" t="s">
        <v>74</v>
      </c>
      <c r="AX502" t="s">
        <v>74</v>
      </c>
      <c r="AY502" t="s">
        <v>74</v>
      </c>
      <c r="AZ502" t="s">
        <v>74</v>
      </c>
      <c r="BA502" t="s">
        <v>74</v>
      </c>
      <c r="BB502" t="s">
        <v>74</v>
      </c>
      <c r="BC502" t="s">
        <v>74</v>
      </c>
      <c r="BD502" t="s">
        <v>9754</v>
      </c>
      <c r="BE502" t="s">
        <v>9755</v>
      </c>
      <c r="BF502" t="str">
        <f>HYPERLINK("http://dx.doi.org/10.1017/dmp.2023.179","http://dx.doi.org/10.1017/dmp.2023.179")</f>
        <v>http://dx.doi.org/10.1017/dmp.2023.179</v>
      </c>
      <c r="BG502" t="s">
        <v>74</v>
      </c>
      <c r="BH502" t="s">
        <v>74</v>
      </c>
      <c r="BI502">
        <v>8</v>
      </c>
      <c r="BJ502" t="s">
        <v>455</v>
      </c>
      <c r="BK502" t="s">
        <v>456</v>
      </c>
      <c r="BL502" t="s">
        <v>455</v>
      </c>
      <c r="BM502" t="s">
        <v>9756</v>
      </c>
      <c r="BN502">
        <v>37937358</v>
      </c>
      <c r="BO502" t="s">
        <v>74</v>
      </c>
      <c r="BP502" t="s">
        <v>74</v>
      </c>
      <c r="BQ502" t="s">
        <v>74</v>
      </c>
      <c r="BR502" t="s">
        <v>104</v>
      </c>
      <c r="BS502" t="s">
        <v>9757</v>
      </c>
      <c r="BT502" t="str">
        <f>HYPERLINK("https%3A%2F%2Fwww.webofscience.com%2Fwos%2Fwoscc%2Ffull-record%2FWOS:001124572500001","View Full Record in Web of Science")</f>
        <v>View Full Record in Web of Science</v>
      </c>
    </row>
    <row r="503" spans="1:72" x14ac:dyDescent="0.15">
      <c r="A503" t="s">
        <v>72</v>
      </c>
      <c r="B503" t="s">
        <v>9758</v>
      </c>
      <c r="C503" t="s">
        <v>74</v>
      </c>
      <c r="D503" t="s">
        <v>74</v>
      </c>
      <c r="E503" t="s">
        <v>74</v>
      </c>
      <c r="F503" t="s">
        <v>9759</v>
      </c>
      <c r="G503" t="s">
        <v>74</v>
      </c>
      <c r="H503" t="s">
        <v>74</v>
      </c>
      <c r="I503" t="s">
        <v>9760</v>
      </c>
      <c r="J503" t="s">
        <v>9761</v>
      </c>
      <c r="K503" t="s">
        <v>74</v>
      </c>
      <c r="L503" t="s">
        <v>74</v>
      </c>
      <c r="M503" t="s">
        <v>78</v>
      </c>
      <c r="N503" t="s">
        <v>79</v>
      </c>
      <c r="O503" t="s">
        <v>74</v>
      </c>
      <c r="P503" t="s">
        <v>74</v>
      </c>
      <c r="Q503" t="s">
        <v>74</v>
      </c>
      <c r="R503" t="s">
        <v>74</v>
      </c>
      <c r="S503" t="s">
        <v>74</v>
      </c>
      <c r="T503" t="s">
        <v>9762</v>
      </c>
      <c r="U503" t="s">
        <v>9763</v>
      </c>
      <c r="V503" t="s">
        <v>9764</v>
      </c>
      <c r="W503" t="s">
        <v>9765</v>
      </c>
      <c r="X503" t="s">
        <v>9766</v>
      </c>
      <c r="Y503" t="s">
        <v>9767</v>
      </c>
      <c r="Z503" t="s">
        <v>9768</v>
      </c>
      <c r="AA503" t="s">
        <v>74</v>
      </c>
      <c r="AB503" t="s">
        <v>74</v>
      </c>
      <c r="AC503" t="s">
        <v>9769</v>
      </c>
      <c r="AD503" t="s">
        <v>9770</v>
      </c>
      <c r="AE503" t="s">
        <v>9771</v>
      </c>
      <c r="AF503" t="s">
        <v>74</v>
      </c>
      <c r="AG503">
        <v>44</v>
      </c>
      <c r="AH503">
        <v>0</v>
      </c>
      <c r="AI503">
        <v>0</v>
      </c>
      <c r="AJ503">
        <v>1</v>
      </c>
      <c r="AK503">
        <v>1</v>
      </c>
      <c r="AL503" t="s">
        <v>2884</v>
      </c>
      <c r="AM503" t="s">
        <v>2294</v>
      </c>
      <c r="AN503" t="s">
        <v>2885</v>
      </c>
      <c r="AO503" t="s">
        <v>9772</v>
      </c>
      <c r="AP503" t="s">
        <v>9773</v>
      </c>
      <c r="AQ503" t="s">
        <v>74</v>
      </c>
      <c r="AR503" t="s">
        <v>9774</v>
      </c>
      <c r="AS503" t="s">
        <v>9775</v>
      </c>
      <c r="AT503" t="s">
        <v>1133</v>
      </c>
      <c r="AU503">
        <v>2024</v>
      </c>
      <c r="AV503">
        <v>154</v>
      </c>
      <c r="AW503" t="s">
        <v>74</v>
      </c>
      <c r="AX503" t="s">
        <v>74</v>
      </c>
      <c r="AY503" t="s">
        <v>74</v>
      </c>
      <c r="AZ503" t="s">
        <v>74</v>
      </c>
      <c r="BA503" t="s">
        <v>74</v>
      </c>
      <c r="BB503" t="s">
        <v>74</v>
      </c>
      <c r="BC503" t="s">
        <v>74</v>
      </c>
      <c r="BD503">
        <v>105718</v>
      </c>
      <c r="BE503" t="s">
        <v>9776</v>
      </c>
      <c r="BF503" t="str">
        <f>HYPERLINK("http://dx.doi.org/10.1016/j.cretres.2023.105718","http://dx.doi.org/10.1016/j.cretres.2023.105718")</f>
        <v>http://dx.doi.org/10.1016/j.cretres.2023.105718</v>
      </c>
      <c r="BG503" t="s">
        <v>74</v>
      </c>
      <c r="BH503" t="s">
        <v>6982</v>
      </c>
      <c r="BI503">
        <v>13</v>
      </c>
      <c r="BJ503" t="s">
        <v>9777</v>
      </c>
      <c r="BK503" t="s">
        <v>100</v>
      </c>
      <c r="BL503" t="s">
        <v>9777</v>
      </c>
      <c r="BM503" t="s">
        <v>9778</v>
      </c>
      <c r="BN503" t="s">
        <v>74</v>
      </c>
      <c r="BO503" t="s">
        <v>74</v>
      </c>
      <c r="BP503" t="s">
        <v>74</v>
      </c>
      <c r="BQ503" t="s">
        <v>74</v>
      </c>
      <c r="BR503" t="s">
        <v>104</v>
      </c>
      <c r="BS503" t="s">
        <v>9779</v>
      </c>
      <c r="BT503" t="str">
        <f>HYPERLINK("https%3A%2F%2Fwww.webofscience.com%2Fwos%2Fwoscc%2Ffull-record%2FWOS:001111485200001","View Full Record in Web of Science")</f>
        <v>View Full Record in Web of Science</v>
      </c>
    </row>
    <row r="504" spans="1:72" x14ac:dyDescent="0.15">
      <c r="A504" t="s">
        <v>72</v>
      </c>
      <c r="B504" t="s">
        <v>9780</v>
      </c>
      <c r="C504" t="s">
        <v>74</v>
      </c>
      <c r="D504" t="s">
        <v>74</v>
      </c>
      <c r="E504" t="s">
        <v>74</v>
      </c>
      <c r="F504" t="s">
        <v>9781</v>
      </c>
      <c r="G504" t="s">
        <v>74</v>
      </c>
      <c r="H504" t="s">
        <v>74</v>
      </c>
      <c r="I504" t="s">
        <v>9782</v>
      </c>
      <c r="J504" t="s">
        <v>2668</v>
      </c>
      <c r="K504" t="s">
        <v>74</v>
      </c>
      <c r="L504" t="s">
        <v>74</v>
      </c>
      <c r="M504" t="s">
        <v>78</v>
      </c>
      <c r="N504" t="s">
        <v>79</v>
      </c>
      <c r="O504" t="s">
        <v>74</v>
      </c>
      <c r="P504" t="s">
        <v>74</v>
      </c>
      <c r="Q504" t="s">
        <v>74</v>
      </c>
      <c r="R504" t="s">
        <v>74</v>
      </c>
      <c r="S504" t="s">
        <v>74</v>
      </c>
      <c r="T504" t="s">
        <v>9783</v>
      </c>
      <c r="U504" t="s">
        <v>9784</v>
      </c>
      <c r="V504" t="s">
        <v>9785</v>
      </c>
      <c r="W504" t="s">
        <v>9786</v>
      </c>
      <c r="X504" t="s">
        <v>9787</v>
      </c>
      <c r="Y504" t="s">
        <v>9788</v>
      </c>
      <c r="Z504" t="s">
        <v>9789</v>
      </c>
      <c r="AA504" t="s">
        <v>9790</v>
      </c>
      <c r="AB504" t="s">
        <v>9791</v>
      </c>
      <c r="AC504" t="s">
        <v>9792</v>
      </c>
      <c r="AD504" t="s">
        <v>9793</v>
      </c>
      <c r="AE504" t="s">
        <v>9794</v>
      </c>
      <c r="AF504" t="s">
        <v>74</v>
      </c>
      <c r="AG504">
        <v>68</v>
      </c>
      <c r="AH504">
        <v>0</v>
      </c>
      <c r="AI504">
        <v>0</v>
      </c>
      <c r="AJ504">
        <v>5</v>
      </c>
      <c r="AK504">
        <v>5</v>
      </c>
      <c r="AL504" t="s">
        <v>947</v>
      </c>
      <c r="AM504" t="s">
        <v>948</v>
      </c>
      <c r="AN504" t="s">
        <v>949</v>
      </c>
      <c r="AO504" t="s">
        <v>2679</v>
      </c>
      <c r="AP504" t="s">
        <v>2680</v>
      </c>
      <c r="AQ504" t="s">
        <v>74</v>
      </c>
      <c r="AR504" t="s">
        <v>2681</v>
      </c>
      <c r="AS504" t="s">
        <v>2682</v>
      </c>
      <c r="AT504" t="s">
        <v>1186</v>
      </c>
      <c r="AU504">
        <v>2024</v>
      </c>
      <c r="AV504">
        <v>633</v>
      </c>
      <c r="AW504" t="s">
        <v>74</v>
      </c>
      <c r="AX504" t="s">
        <v>74</v>
      </c>
      <c r="AY504" t="s">
        <v>74</v>
      </c>
      <c r="AZ504" t="s">
        <v>74</v>
      </c>
      <c r="BA504" t="s">
        <v>74</v>
      </c>
      <c r="BB504" t="s">
        <v>74</v>
      </c>
      <c r="BC504" t="s">
        <v>74</v>
      </c>
      <c r="BD504">
        <v>111885</v>
      </c>
      <c r="BE504" t="s">
        <v>9795</v>
      </c>
      <c r="BF504" t="str">
        <f>HYPERLINK("http://dx.doi.org/10.1016/j.palaeo.2023.111885","http://dx.doi.org/10.1016/j.palaeo.2023.111885")</f>
        <v>http://dx.doi.org/10.1016/j.palaeo.2023.111885</v>
      </c>
      <c r="BG504" t="s">
        <v>74</v>
      </c>
      <c r="BH504" t="s">
        <v>6982</v>
      </c>
      <c r="BI504">
        <v>15</v>
      </c>
      <c r="BJ504" t="s">
        <v>2684</v>
      </c>
      <c r="BK504" t="s">
        <v>100</v>
      </c>
      <c r="BL504" t="s">
        <v>2685</v>
      </c>
      <c r="BM504" t="s">
        <v>9796</v>
      </c>
      <c r="BN504" t="s">
        <v>74</v>
      </c>
      <c r="BO504" t="s">
        <v>74</v>
      </c>
      <c r="BP504" t="s">
        <v>74</v>
      </c>
      <c r="BQ504" t="s">
        <v>74</v>
      </c>
      <c r="BR504" t="s">
        <v>104</v>
      </c>
      <c r="BS504" t="s">
        <v>9797</v>
      </c>
      <c r="BT504" t="str">
        <f>HYPERLINK("https%3A%2F%2Fwww.webofscience.com%2Fwos%2Fwoscc%2Ffull-record%2FWOS:001110901300001","View Full Record in Web of Science")</f>
        <v>View Full Record in Web of Science</v>
      </c>
    </row>
    <row r="505" spans="1:72" x14ac:dyDescent="0.15">
      <c r="A505" t="s">
        <v>72</v>
      </c>
      <c r="B505" t="s">
        <v>9798</v>
      </c>
      <c r="C505" t="s">
        <v>74</v>
      </c>
      <c r="D505" t="s">
        <v>74</v>
      </c>
      <c r="E505" t="s">
        <v>74</v>
      </c>
      <c r="F505" t="s">
        <v>9799</v>
      </c>
      <c r="G505" t="s">
        <v>74</v>
      </c>
      <c r="H505" t="s">
        <v>74</v>
      </c>
      <c r="I505" t="s">
        <v>9800</v>
      </c>
      <c r="J505" t="s">
        <v>9801</v>
      </c>
      <c r="K505" t="s">
        <v>74</v>
      </c>
      <c r="L505" t="s">
        <v>74</v>
      </c>
      <c r="M505" t="s">
        <v>78</v>
      </c>
      <c r="N505" t="s">
        <v>79</v>
      </c>
      <c r="O505" t="s">
        <v>74</v>
      </c>
      <c r="P505" t="s">
        <v>74</v>
      </c>
      <c r="Q505" t="s">
        <v>74</v>
      </c>
      <c r="R505" t="s">
        <v>74</v>
      </c>
      <c r="S505" t="s">
        <v>74</v>
      </c>
      <c r="T505" t="s">
        <v>9802</v>
      </c>
      <c r="U505" t="s">
        <v>9803</v>
      </c>
      <c r="V505" t="s">
        <v>9804</v>
      </c>
      <c r="W505" t="s">
        <v>9805</v>
      </c>
      <c r="X505" t="s">
        <v>9806</v>
      </c>
      <c r="Y505" t="s">
        <v>9807</v>
      </c>
      <c r="Z505" t="s">
        <v>9808</v>
      </c>
      <c r="AA505" t="s">
        <v>9809</v>
      </c>
      <c r="AB505" t="s">
        <v>9810</v>
      </c>
      <c r="AC505" t="s">
        <v>9811</v>
      </c>
      <c r="AD505" t="s">
        <v>9812</v>
      </c>
      <c r="AE505" t="s">
        <v>9813</v>
      </c>
      <c r="AF505" t="s">
        <v>74</v>
      </c>
      <c r="AG505">
        <v>48</v>
      </c>
      <c r="AH505">
        <v>0</v>
      </c>
      <c r="AI505">
        <v>0</v>
      </c>
      <c r="AJ505">
        <v>1</v>
      </c>
      <c r="AK505">
        <v>1</v>
      </c>
      <c r="AL505" t="s">
        <v>947</v>
      </c>
      <c r="AM505" t="s">
        <v>948</v>
      </c>
      <c r="AN505" t="s">
        <v>949</v>
      </c>
      <c r="AO505" t="s">
        <v>9814</v>
      </c>
      <c r="AP505" t="s">
        <v>9815</v>
      </c>
      <c r="AQ505" t="s">
        <v>74</v>
      </c>
      <c r="AR505" t="s">
        <v>9816</v>
      </c>
      <c r="AS505" t="s">
        <v>9817</v>
      </c>
      <c r="AT505" t="s">
        <v>954</v>
      </c>
      <c r="AU505">
        <v>2024</v>
      </c>
      <c r="AV505">
        <v>196</v>
      </c>
      <c r="AW505" t="s">
        <v>74</v>
      </c>
      <c r="AX505" t="s">
        <v>74</v>
      </c>
      <c r="AY505" t="s">
        <v>74</v>
      </c>
      <c r="AZ505" t="s">
        <v>74</v>
      </c>
      <c r="BA505" t="s">
        <v>74</v>
      </c>
      <c r="BB505" t="s">
        <v>74</v>
      </c>
      <c r="BC505" t="s">
        <v>74</v>
      </c>
      <c r="BD505">
        <v>109575</v>
      </c>
      <c r="BE505" t="s">
        <v>9818</v>
      </c>
      <c r="BF505" t="str">
        <f>HYPERLINK("http://dx.doi.org/10.1016/j.microc.2023.109575","http://dx.doi.org/10.1016/j.microc.2023.109575")</f>
        <v>http://dx.doi.org/10.1016/j.microc.2023.109575</v>
      </c>
      <c r="BG505" t="s">
        <v>74</v>
      </c>
      <c r="BH505" t="s">
        <v>6982</v>
      </c>
      <c r="BI505">
        <v>9</v>
      </c>
      <c r="BJ505" t="s">
        <v>9819</v>
      </c>
      <c r="BK505" t="s">
        <v>100</v>
      </c>
      <c r="BL505" t="s">
        <v>8804</v>
      </c>
      <c r="BM505" t="s">
        <v>9820</v>
      </c>
      <c r="BN505" t="s">
        <v>74</v>
      </c>
      <c r="BO505" t="s">
        <v>103</v>
      </c>
      <c r="BP505" t="s">
        <v>74</v>
      </c>
      <c r="BQ505" t="s">
        <v>74</v>
      </c>
      <c r="BR505" t="s">
        <v>104</v>
      </c>
      <c r="BS505" t="s">
        <v>9821</v>
      </c>
      <c r="BT505" t="str">
        <f>HYPERLINK("https%3A%2F%2Fwww.webofscience.com%2Fwos%2Fwoscc%2Ffull-record%2FWOS:001110886100001","View Full Record in Web of Science")</f>
        <v>View Full Record in Web of Science</v>
      </c>
    </row>
    <row r="506" spans="1:72" x14ac:dyDescent="0.15">
      <c r="A506" t="s">
        <v>72</v>
      </c>
      <c r="B506" t="s">
        <v>9822</v>
      </c>
      <c r="C506" t="s">
        <v>74</v>
      </c>
      <c r="D506" t="s">
        <v>74</v>
      </c>
      <c r="E506" t="s">
        <v>74</v>
      </c>
      <c r="F506" t="s">
        <v>9823</v>
      </c>
      <c r="G506" t="s">
        <v>74</v>
      </c>
      <c r="H506" t="s">
        <v>74</v>
      </c>
      <c r="I506" t="s">
        <v>9824</v>
      </c>
      <c r="J506" t="s">
        <v>2915</v>
      </c>
      <c r="K506" t="s">
        <v>74</v>
      </c>
      <c r="L506" t="s">
        <v>74</v>
      </c>
      <c r="M506" t="s">
        <v>78</v>
      </c>
      <c r="N506" t="s">
        <v>1547</v>
      </c>
      <c r="O506" t="s">
        <v>74</v>
      </c>
      <c r="P506" t="s">
        <v>74</v>
      </c>
      <c r="Q506" t="s">
        <v>74</v>
      </c>
      <c r="R506" t="s">
        <v>74</v>
      </c>
      <c r="S506" t="s">
        <v>74</v>
      </c>
      <c r="T506" t="s">
        <v>9825</v>
      </c>
      <c r="U506" t="s">
        <v>9826</v>
      </c>
      <c r="V506" t="s">
        <v>9827</v>
      </c>
      <c r="W506" t="s">
        <v>9828</v>
      </c>
      <c r="X506" t="s">
        <v>9829</v>
      </c>
      <c r="Y506" t="s">
        <v>9830</v>
      </c>
      <c r="Z506" t="s">
        <v>9831</v>
      </c>
      <c r="AA506" t="s">
        <v>74</v>
      </c>
      <c r="AB506" t="s">
        <v>9832</v>
      </c>
      <c r="AC506" t="s">
        <v>9833</v>
      </c>
      <c r="AD506" t="s">
        <v>9834</v>
      </c>
      <c r="AE506" t="s">
        <v>9835</v>
      </c>
      <c r="AF506" t="s">
        <v>74</v>
      </c>
      <c r="AG506">
        <v>99</v>
      </c>
      <c r="AH506">
        <v>0</v>
      </c>
      <c r="AI506">
        <v>0</v>
      </c>
      <c r="AJ506">
        <v>1</v>
      </c>
      <c r="AK506">
        <v>1</v>
      </c>
      <c r="AL506" t="s">
        <v>1782</v>
      </c>
      <c r="AM506" t="s">
        <v>1783</v>
      </c>
      <c r="AN506" t="s">
        <v>1784</v>
      </c>
      <c r="AO506" t="s">
        <v>2928</v>
      </c>
      <c r="AP506" t="s">
        <v>2929</v>
      </c>
      <c r="AQ506" t="s">
        <v>74</v>
      </c>
      <c r="AR506" t="s">
        <v>2930</v>
      </c>
      <c r="AS506" t="s">
        <v>2931</v>
      </c>
      <c r="AT506" t="s">
        <v>9836</v>
      </c>
      <c r="AU506">
        <v>2023</v>
      </c>
      <c r="AV506" t="s">
        <v>74</v>
      </c>
      <c r="AW506" t="s">
        <v>74</v>
      </c>
      <c r="AX506" t="s">
        <v>74</v>
      </c>
      <c r="AY506" t="s">
        <v>74</v>
      </c>
      <c r="AZ506" t="s">
        <v>74</v>
      </c>
      <c r="BA506" t="s">
        <v>74</v>
      </c>
      <c r="BB506" t="s">
        <v>74</v>
      </c>
      <c r="BC506" t="s">
        <v>74</v>
      </c>
      <c r="BD506" t="s">
        <v>74</v>
      </c>
      <c r="BE506" t="s">
        <v>9837</v>
      </c>
      <c r="BF506" t="str">
        <f>HYPERLINK("http://dx.doi.org/10.1017/jog.2023.79","http://dx.doi.org/10.1017/jog.2023.79")</f>
        <v>http://dx.doi.org/10.1017/jog.2023.79</v>
      </c>
      <c r="BG506" t="s">
        <v>74</v>
      </c>
      <c r="BH506" t="s">
        <v>6982</v>
      </c>
      <c r="BI506">
        <v>19</v>
      </c>
      <c r="BJ506" t="s">
        <v>984</v>
      </c>
      <c r="BK506" t="s">
        <v>100</v>
      </c>
      <c r="BL506" t="s">
        <v>985</v>
      </c>
      <c r="BM506" t="s">
        <v>9838</v>
      </c>
      <c r="BN506" t="s">
        <v>74</v>
      </c>
      <c r="BO506" t="s">
        <v>131</v>
      </c>
      <c r="BP506" t="s">
        <v>74</v>
      </c>
      <c r="BQ506" t="s">
        <v>74</v>
      </c>
      <c r="BR506" t="s">
        <v>104</v>
      </c>
      <c r="BS506" t="s">
        <v>9839</v>
      </c>
      <c r="BT506" t="str">
        <f>HYPERLINK("https%3A%2F%2Fwww.webofscience.com%2Fwos%2Fwoscc%2Ffull-record%2FWOS:001098597600001","View Full Record in Web of Science")</f>
        <v>View Full Record in Web of Science</v>
      </c>
    </row>
    <row r="507" spans="1:72" x14ac:dyDescent="0.15">
      <c r="A507" t="s">
        <v>72</v>
      </c>
      <c r="B507" t="s">
        <v>9840</v>
      </c>
      <c r="C507" t="s">
        <v>74</v>
      </c>
      <c r="D507" t="s">
        <v>74</v>
      </c>
      <c r="E507" t="s">
        <v>74</v>
      </c>
      <c r="F507" t="s">
        <v>9841</v>
      </c>
      <c r="G507" t="s">
        <v>74</v>
      </c>
      <c r="H507" t="s">
        <v>74</v>
      </c>
      <c r="I507" t="s">
        <v>9842</v>
      </c>
      <c r="J507" t="s">
        <v>2915</v>
      </c>
      <c r="K507" t="s">
        <v>74</v>
      </c>
      <c r="L507" t="s">
        <v>74</v>
      </c>
      <c r="M507" t="s">
        <v>78</v>
      </c>
      <c r="N507" t="s">
        <v>1547</v>
      </c>
      <c r="O507" t="s">
        <v>74</v>
      </c>
      <c r="P507" t="s">
        <v>74</v>
      </c>
      <c r="Q507" t="s">
        <v>74</v>
      </c>
      <c r="R507" t="s">
        <v>74</v>
      </c>
      <c r="S507" t="s">
        <v>74</v>
      </c>
      <c r="T507" t="s">
        <v>9843</v>
      </c>
      <c r="U507" t="s">
        <v>9844</v>
      </c>
      <c r="V507" t="s">
        <v>9845</v>
      </c>
      <c r="W507" t="s">
        <v>9846</v>
      </c>
      <c r="X507" t="s">
        <v>9847</v>
      </c>
      <c r="Y507" t="s">
        <v>9848</v>
      </c>
      <c r="Z507" t="s">
        <v>9849</v>
      </c>
      <c r="AA507" t="s">
        <v>9850</v>
      </c>
      <c r="AB507" t="s">
        <v>9851</v>
      </c>
      <c r="AC507" t="s">
        <v>9852</v>
      </c>
      <c r="AD507" t="s">
        <v>9853</v>
      </c>
      <c r="AE507" t="s">
        <v>9854</v>
      </c>
      <c r="AF507" t="s">
        <v>74</v>
      </c>
      <c r="AG507">
        <v>76</v>
      </c>
      <c r="AH507">
        <v>0</v>
      </c>
      <c r="AI507">
        <v>0</v>
      </c>
      <c r="AJ507">
        <v>5</v>
      </c>
      <c r="AK507">
        <v>5</v>
      </c>
      <c r="AL507" t="s">
        <v>1782</v>
      </c>
      <c r="AM507" t="s">
        <v>1783</v>
      </c>
      <c r="AN507" t="s">
        <v>1784</v>
      </c>
      <c r="AO507" t="s">
        <v>2928</v>
      </c>
      <c r="AP507" t="s">
        <v>2929</v>
      </c>
      <c r="AQ507" t="s">
        <v>74</v>
      </c>
      <c r="AR507" t="s">
        <v>2930</v>
      </c>
      <c r="AS507" t="s">
        <v>2931</v>
      </c>
      <c r="AT507" t="s">
        <v>9836</v>
      </c>
      <c r="AU507">
        <v>2023</v>
      </c>
      <c r="AV507" t="s">
        <v>74</v>
      </c>
      <c r="AW507" t="s">
        <v>74</v>
      </c>
      <c r="AX507" t="s">
        <v>74</v>
      </c>
      <c r="AY507" t="s">
        <v>74</v>
      </c>
      <c r="AZ507" t="s">
        <v>74</v>
      </c>
      <c r="BA507" t="s">
        <v>74</v>
      </c>
      <c r="BB507" t="s">
        <v>74</v>
      </c>
      <c r="BC507" t="s">
        <v>74</v>
      </c>
      <c r="BD507" t="s">
        <v>74</v>
      </c>
      <c r="BE507" t="s">
        <v>9855</v>
      </c>
      <c r="BF507" t="str">
        <f>HYPERLINK("http://dx.doi.org/10.1017/jog.2023.90","http://dx.doi.org/10.1017/jog.2023.90")</f>
        <v>http://dx.doi.org/10.1017/jog.2023.90</v>
      </c>
      <c r="BG507" t="s">
        <v>74</v>
      </c>
      <c r="BH507" t="s">
        <v>6982</v>
      </c>
      <c r="BI507">
        <v>15</v>
      </c>
      <c r="BJ507" t="s">
        <v>984</v>
      </c>
      <c r="BK507" t="s">
        <v>100</v>
      </c>
      <c r="BL507" t="s">
        <v>985</v>
      </c>
      <c r="BM507" t="s">
        <v>9856</v>
      </c>
      <c r="BN507" t="s">
        <v>74</v>
      </c>
      <c r="BO507" t="s">
        <v>183</v>
      </c>
      <c r="BP507" t="s">
        <v>74</v>
      </c>
      <c r="BQ507" t="s">
        <v>74</v>
      </c>
      <c r="BR507" t="s">
        <v>104</v>
      </c>
      <c r="BS507" t="s">
        <v>9857</v>
      </c>
      <c r="BT507" t="str">
        <f>HYPERLINK("https%3A%2F%2Fwww.webofscience.com%2Fwos%2Fwoscc%2Ffull-record%2FWOS:001097109200001","View Full Record in Web of Science")</f>
        <v>View Full Record in Web of Science</v>
      </c>
    </row>
    <row r="508" spans="1:72" x14ac:dyDescent="0.15">
      <c r="A508" t="s">
        <v>72</v>
      </c>
      <c r="B508" t="s">
        <v>9858</v>
      </c>
      <c r="C508" t="s">
        <v>74</v>
      </c>
      <c r="D508" t="s">
        <v>74</v>
      </c>
      <c r="E508" t="s">
        <v>74</v>
      </c>
      <c r="F508" t="s">
        <v>9859</v>
      </c>
      <c r="G508" t="s">
        <v>74</v>
      </c>
      <c r="H508" t="s">
        <v>74</v>
      </c>
      <c r="I508" t="s">
        <v>9860</v>
      </c>
      <c r="J508" t="s">
        <v>4847</v>
      </c>
      <c r="K508" t="s">
        <v>74</v>
      </c>
      <c r="L508" t="s">
        <v>74</v>
      </c>
      <c r="M508" t="s">
        <v>78</v>
      </c>
      <c r="N508" t="s">
        <v>79</v>
      </c>
      <c r="O508" t="s">
        <v>74</v>
      </c>
      <c r="P508" t="s">
        <v>74</v>
      </c>
      <c r="Q508" t="s">
        <v>74</v>
      </c>
      <c r="R508" t="s">
        <v>74</v>
      </c>
      <c r="S508" t="s">
        <v>74</v>
      </c>
      <c r="T508" t="s">
        <v>74</v>
      </c>
      <c r="U508" t="s">
        <v>9861</v>
      </c>
      <c r="V508" t="s">
        <v>9862</v>
      </c>
      <c r="W508" t="s">
        <v>9863</v>
      </c>
      <c r="X508" t="s">
        <v>9864</v>
      </c>
      <c r="Y508" t="s">
        <v>9865</v>
      </c>
      <c r="Z508" t="s">
        <v>9866</v>
      </c>
      <c r="AA508" t="s">
        <v>74</v>
      </c>
      <c r="AB508" t="s">
        <v>9867</v>
      </c>
      <c r="AC508" t="s">
        <v>9868</v>
      </c>
      <c r="AD508" t="s">
        <v>9868</v>
      </c>
      <c r="AE508" t="s">
        <v>9869</v>
      </c>
      <c r="AF508" t="s">
        <v>74</v>
      </c>
      <c r="AG508">
        <v>48</v>
      </c>
      <c r="AH508">
        <v>0</v>
      </c>
      <c r="AI508">
        <v>0</v>
      </c>
      <c r="AJ508">
        <v>2</v>
      </c>
      <c r="AK508">
        <v>2</v>
      </c>
      <c r="AL508" t="s">
        <v>1838</v>
      </c>
      <c r="AM508" t="s">
        <v>1839</v>
      </c>
      <c r="AN508" t="s">
        <v>1840</v>
      </c>
      <c r="AO508" t="s">
        <v>4859</v>
      </c>
      <c r="AP508" t="s">
        <v>4860</v>
      </c>
      <c r="AQ508" t="s">
        <v>74</v>
      </c>
      <c r="AR508" t="s">
        <v>4861</v>
      </c>
      <c r="AS508" t="s">
        <v>4862</v>
      </c>
      <c r="AT508" t="s">
        <v>9870</v>
      </c>
      <c r="AU508">
        <v>2023</v>
      </c>
      <c r="AV508">
        <v>19</v>
      </c>
      <c r="AW508">
        <v>6</v>
      </c>
      <c r="AX508" t="s">
        <v>74</v>
      </c>
      <c r="AY508" t="s">
        <v>74</v>
      </c>
      <c r="AZ508" t="s">
        <v>74</v>
      </c>
      <c r="BA508" t="s">
        <v>74</v>
      </c>
      <c r="BB508">
        <v>1529</v>
      </c>
      <c r="BC508">
        <v>1544</v>
      </c>
      <c r="BD508" t="s">
        <v>74</v>
      </c>
      <c r="BE508" t="s">
        <v>9871</v>
      </c>
      <c r="BF508" t="str">
        <f>HYPERLINK("http://dx.doi.org/10.5194/os-19-1529-2023","http://dx.doi.org/10.5194/os-19-1529-2023")</f>
        <v>http://dx.doi.org/10.5194/os-19-1529-2023</v>
      </c>
      <c r="BG508" t="s">
        <v>74</v>
      </c>
      <c r="BH508" t="s">
        <v>74</v>
      </c>
      <c r="BI508">
        <v>16</v>
      </c>
      <c r="BJ508" t="s">
        <v>1417</v>
      </c>
      <c r="BK508" t="s">
        <v>100</v>
      </c>
      <c r="BL508" t="s">
        <v>1417</v>
      </c>
      <c r="BM508" t="s">
        <v>9872</v>
      </c>
      <c r="BN508" t="s">
        <v>74</v>
      </c>
      <c r="BO508" t="s">
        <v>131</v>
      </c>
      <c r="BP508" t="s">
        <v>74</v>
      </c>
      <c r="BQ508" t="s">
        <v>74</v>
      </c>
      <c r="BR508" t="s">
        <v>104</v>
      </c>
      <c r="BS508" t="s">
        <v>9873</v>
      </c>
      <c r="BT508" t="str">
        <f>HYPERLINK("https%3A%2F%2Fwww.webofscience.com%2Fwos%2Fwoscc%2Ffull-record%2FWOS:001169002200001","View Full Record in Web of Science")</f>
        <v>View Full Record in Web of Science</v>
      </c>
    </row>
    <row r="509" spans="1:72" x14ac:dyDescent="0.15">
      <c r="A509" t="s">
        <v>72</v>
      </c>
      <c r="B509" t="s">
        <v>9874</v>
      </c>
      <c r="C509" t="s">
        <v>74</v>
      </c>
      <c r="D509" t="s">
        <v>74</v>
      </c>
      <c r="E509" t="s">
        <v>74</v>
      </c>
      <c r="F509" t="s">
        <v>9875</v>
      </c>
      <c r="G509" t="s">
        <v>74</v>
      </c>
      <c r="H509" t="s">
        <v>74</v>
      </c>
      <c r="I509" t="s">
        <v>9876</v>
      </c>
      <c r="J509" t="s">
        <v>9877</v>
      </c>
      <c r="K509" t="s">
        <v>74</v>
      </c>
      <c r="L509" t="s">
        <v>74</v>
      </c>
      <c r="M509" t="s">
        <v>78</v>
      </c>
      <c r="N509" t="s">
        <v>462</v>
      </c>
      <c r="O509" t="s">
        <v>74</v>
      </c>
      <c r="P509" t="s">
        <v>74</v>
      </c>
      <c r="Q509" t="s">
        <v>74</v>
      </c>
      <c r="R509" t="s">
        <v>74</v>
      </c>
      <c r="S509" t="s">
        <v>74</v>
      </c>
      <c r="T509" t="s">
        <v>9878</v>
      </c>
      <c r="U509" t="s">
        <v>74</v>
      </c>
      <c r="V509" t="s">
        <v>74</v>
      </c>
      <c r="W509" t="s">
        <v>9879</v>
      </c>
      <c r="X509" t="s">
        <v>922</v>
      </c>
      <c r="Y509" t="s">
        <v>9880</v>
      </c>
      <c r="Z509" t="s">
        <v>9881</v>
      </c>
      <c r="AA509" t="s">
        <v>74</v>
      </c>
      <c r="AB509" t="s">
        <v>74</v>
      </c>
      <c r="AC509" t="s">
        <v>74</v>
      </c>
      <c r="AD509" t="s">
        <v>74</v>
      </c>
      <c r="AE509" t="s">
        <v>74</v>
      </c>
      <c r="AF509" t="s">
        <v>74</v>
      </c>
      <c r="AG509">
        <v>1</v>
      </c>
      <c r="AH509">
        <v>0</v>
      </c>
      <c r="AI509">
        <v>0</v>
      </c>
      <c r="AJ509">
        <v>0</v>
      </c>
      <c r="AK509">
        <v>0</v>
      </c>
      <c r="AL509" t="s">
        <v>1758</v>
      </c>
      <c r="AM509" t="s">
        <v>1759</v>
      </c>
      <c r="AN509" t="s">
        <v>1760</v>
      </c>
      <c r="AO509" t="s">
        <v>9882</v>
      </c>
      <c r="AP509" t="s">
        <v>74</v>
      </c>
      <c r="AQ509" t="s">
        <v>74</v>
      </c>
      <c r="AR509" t="s">
        <v>9883</v>
      </c>
      <c r="AS509" t="s">
        <v>9884</v>
      </c>
      <c r="AT509" t="s">
        <v>9870</v>
      </c>
      <c r="AU509">
        <v>2023</v>
      </c>
      <c r="AV509">
        <v>10</v>
      </c>
      <c r="AW509" t="s">
        <v>74</v>
      </c>
      <c r="AX509" t="s">
        <v>74</v>
      </c>
      <c r="AY509" t="s">
        <v>74</v>
      </c>
      <c r="AZ509" t="s">
        <v>74</v>
      </c>
      <c r="BA509" t="s">
        <v>74</v>
      </c>
      <c r="BB509" t="s">
        <v>74</v>
      </c>
      <c r="BC509" t="s">
        <v>74</v>
      </c>
      <c r="BD509">
        <v>1320143</v>
      </c>
      <c r="BE509" t="s">
        <v>9885</v>
      </c>
      <c r="BF509" t="str">
        <f>HYPERLINK("http://dx.doi.org/10.3389/fspas.2023.1320143","http://dx.doi.org/10.3389/fspas.2023.1320143")</f>
        <v>http://dx.doi.org/10.3389/fspas.2023.1320143</v>
      </c>
      <c r="BG509" t="s">
        <v>74</v>
      </c>
      <c r="BH509" t="s">
        <v>74</v>
      </c>
      <c r="BI509">
        <v>1</v>
      </c>
      <c r="BJ509" t="s">
        <v>4706</v>
      </c>
      <c r="BK509" t="s">
        <v>100</v>
      </c>
      <c r="BL509" t="s">
        <v>4706</v>
      </c>
      <c r="BM509" t="s">
        <v>9886</v>
      </c>
      <c r="BN509" t="s">
        <v>74</v>
      </c>
      <c r="BO509" t="s">
        <v>131</v>
      </c>
      <c r="BP509" t="s">
        <v>74</v>
      </c>
      <c r="BQ509" t="s">
        <v>74</v>
      </c>
      <c r="BR509" t="s">
        <v>104</v>
      </c>
      <c r="BS509" t="s">
        <v>9887</v>
      </c>
      <c r="BT509" t="str">
        <f>HYPERLINK("https%3A%2F%2Fwww.webofscience.com%2Fwos%2Fwoscc%2Ffull-record%2FWOS:001169079300001","View Full Record in Web of Science")</f>
        <v>View Full Record in Web of Science</v>
      </c>
    </row>
    <row r="510" spans="1:72" x14ac:dyDescent="0.15">
      <c r="A510" t="s">
        <v>72</v>
      </c>
      <c r="B510" t="s">
        <v>9888</v>
      </c>
      <c r="C510" t="s">
        <v>74</v>
      </c>
      <c r="D510" t="s">
        <v>74</v>
      </c>
      <c r="E510" t="s">
        <v>74</v>
      </c>
      <c r="F510" t="s">
        <v>9889</v>
      </c>
      <c r="G510" t="s">
        <v>74</v>
      </c>
      <c r="H510" t="s">
        <v>74</v>
      </c>
      <c r="I510" t="s">
        <v>9890</v>
      </c>
      <c r="J510" t="s">
        <v>3803</v>
      </c>
      <c r="K510" t="s">
        <v>74</v>
      </c>
      <c r="L510" t="s">
        <v>74</v>
      </c>
      <c r="M510" t="s">
        <v>78</v>
      </c>
      <c r="N510" t="s">
        <v>79</v>
      </c>
      <c r="O510" t="s">
        <v>74</v>
      </c>
      <c r="P510" t="s">
        <v>74</v>
      </c>
      <c r="Q510" t="s">
        <v>74</v>
      </c>
      <c r="R510" t="s">
        <v>74</v>
      </c>
      <c r="S510" t="s">
        <v>74</v>
      </c>
      <c r="T510" t="s">
        <v>9891</v>
      </c>
      <c r="U510" t="s">
        <v>9892</v>
      </c>
      <c r="V510" t="s">
        <v>9893</v>
      </c>
      <c r="W510" t="s">
        <v>9894</v>
      </c>
      <c r="X510" t="s">
        <v>9895</v>
      </c>
      <c r="Y510" t="s">
        <v>9896</v>
      </c>
      <c r="Z510" t="s">
        <v>9897</v>
      </c>
      <c r="AA510" t="s">
        <v>9898</v>
      </c>
      <c r="AB510" t="s">
        <v>9899</v>
      </c>
      <c r="AC510" t="s">
        <v>9900</v>
      </c>
      <c r="AD510" t="s">
        <v>9901</v>
      </c>
      <c r="AE510" t="s">
        <v>9902</v>
      </c>
      <c r="AF510" t="s">
        <v>74</v>
      </c>
      <c r="AG510">
        <v>64</v>
      </c>
      <c r="AH510">
        <v>0</v>
      </c>
      <c r="AI510">
        <v>0</v>
      </c>
      <c r="AJ510">
        <v>21</v>
      </c>
      <c r="AK510">
        <v>21</v>
      </c>
      <c r="AL510" t="s">
        <v>3812</v>
      </c>
      <c r="AM510" t="s">
        <v>3813</v>
      </c>
      <c r="AN510" t="s">
        <v>3814</v>
      </c>
      <c r="AO510" t="s">
        <v>3815</v>
      </c>
      <c r="AP510" t="s">
        <v>3816</v>
      </c>
      <c r="AQ510" t="s">
        <v>74</v>
      </c>
      <c r="AR510" t="s">
        <v>3817</v>
      </c>
      <c r="AS510" t="s">
        <v>3818</v>
      </c>
      <c r="AT510" t="s">
        <v>1947</v>
      </c>
      <c r="AU510">
        <v>2023</v>
      </c>
      <c r="AV510">
        <v>30</v>
      </c>
      <c r="AW510">
        <v>57</v>
      </c>
      <c r="AX510" t="s">
        <v>74</v>
      </c>
      <c r="AY510" t="s">
        <v>74</v>
      </c>
      <c r="AZ510" t="s">
        <v>74</v>
      </c>
      <c r="BA510" t="s">
        <v>74</v>
      </c>
      <c r="BB510">
        <v>119988</v>
      </c>
      <c r="BC510">
        <v>119999</v>
      </c>
      <c r="BD510" t="s">
        <v>74</v>
      </c>
      <c r="BE510" t="s">
        <v>9903</v>
      </c>
      <c r="BF510" t="str">
        <f>HYPERLINK("http://dx.doi.org/10.1007/s11356-023-30650-1","http://dx.doi.org/10.1007/s11356-023-30650-1")</f>
        <v>http://dx.doi.org/10.1007/s11356-023-30650-1</v>
      </c>
      <c r="BG510" t="s">
        <v>74</v>
      </c>
      <c r="BH510" t="s">
        <v>6982</v>
      </c>
      <c r="BI510">
        <v>12</v>
      </c>
      <c r="BJ510" t="s">
        <v>1010</v>
      </c>
      <c r="BK510" t="s">
        <v>100</v>
      </c>
      <c r="BL510" t="s">
        <v>1011</v>
      </c>
      <c r="BM510" t="s">
        <v>9904</v>
      </c>
      <c r="BN510">
        <v>37934408</v>
      </c>
      <c r="BO510" t="s">
        <v>3456</v>
      </c>
      <c r="BP510" t="s">
        <v>74</v>
      </c>
      <c r="BQ510" t="s">
        <v>74</v>
      </c>
      <c r="BR510" t="s">
        <v>104</v>
      </c>
      <c r="BS510" t="s">
        <v>9905</v>
      </c>
      <c r="BT510" t="str">
        <f>HYPERLINK("https%3A%2F%2Fwww.webofscience.com%2Fwos%2Fwoscc%2Ffull-record%2FWOS:001100586300004","View Full Record in Web of Science")</f>
        <v>View Full Record in Web of Science</v>
      </c>
    </row>
    <row r="511" spans="1:72" x14ac:dyDescent="0.15">
      <c r="A511" t="s">
        <v>72</v>
      </c>
      <c r="B511" t="s">
        <v>9906</v>
      </c>
      <c r="C511" t="s">
        <v>74</v>
      </c>
      <c r="D511" t="s">
        <v>74</v>
      </c>
      <c r="E511" t="s">
        <v>74</v>
      </c>
      <c r="F511" t="s">
        <v>9907</v>
      </c>
      <c r="G511" t="s">
        <v>74</v>
      </c>
      <c r="H511" t="s">
        <v>74</v>
      </c>
      <c r="I511" t="s">
        <v>9908</v>
      </c>
      <c r="J511" t="s">
        <v>1746</v>
      </c>
      <c r="K511" t="s">
        <v>74</v>
      </c>
      <c r="L511" t="s">
        <v>74</v>
      </c>
      <c r="M511" t="s">
        <v>78</v>
      </c>
      <c r="N511" t="s">
        <v>79</v>
      </c>
      <c r="O511" t="s">
        <v>74</v>
      </c>
      <c r="P511" t="s">
        <v>74</v>
      </c>
      <c r="Q511" t="s">
        <v>74</v>
      </c>
      <c r="R511" t="s">
        <v>74</v>
      </c>
      <c r="S511" t="s">
        <v>74</v>
      </c>
      <c r="T511" t="s">
        <v>9909</v>
      </c>
      <c r="U511" t="s">
        <v>9910</v>
      </c>
      <c r="V511" t="s">
        <v>9911</v>
      </c>
      <c r="W511" t="s">
        <v>9912</v>
      </c>
      <c r="X511" t="s">
        <v>9913</v>
      </c>
      <c r="Y511" t="s">
        <v>9914</v>
      </c>
      <c r="Z511" t="s">
        <v>9915</v>
      </c>
      <c r="AA511" t="s">
        <v>9916</v>
      </c>
      <c r="AB511" t="s">
        <v>9917</v>
      </c>
      <c r="AC511" t="s">
        <v>9918</v>
      </c>
      <c r="AD511" t="s">
        <v>9919</v>
      </c>
      <c r="AE511" t="s">
        <v>9920</v>
      </c>
      <c r="AF511" t="s">
        <v>74</v>
      </c>
      <c r="AG511">
        <v>72</v>
      </c>
      <c r="AH511">
        <v>1</v>
      </c>
      <c r="AI511">
        <v>1</v>
      </c>
      <c r="AJ511">
        <v>14</v>
      </c>
      <c r="AK511">
        <v>14</v>
      </c>
      <c r="AL511" t="s">
        <v>1758</v>
      </c>
      <c r="AM511" t="s">
        <v>1759</v>
      </c>
      <c r="AN511" t="s">
        <v>1760</v>
      </c>
      <c r="AO511" t="s">
        <v>74</v>
      </c>
      <c r="AP511" t="s">
        <v>1761</v>
      </c>
      <c r="AQ511" t="s">
        <v>74</v>
      </c>
      <c r="AR511" t="s">
        <v>1762</v>
      </c>
      <c r="AS511" t="s">
        <v>1763</v>
      </c>
      <c r="AT511" t="s">
        <v>9870</v>
      </c>
      <c r="AU511">
        <v>2023</v>
      </c>
      <c r="AV511">
        <v>10</v>
      </c>
      <c r="AW511" t="s">
        <v>74</v>
      </c>
      <c r="AX511" t="s">
        <v>74</v>
      </c>
      <c r="AY511" t="s">
        <v>74</v>
      </c>
      <c r="AZ511" t="s">
        <v>74</v>
      </c>
      <c r="BA511" t="s">
        <v>74</v>
      </c>
      <c r="BB511" t="s">
        <v>74</v>
      </c>
      <c r="BC511" t="s">
        <v>74</v>
      </c>
      <c r="BD511">
        <v>1264380</v>
      </c>
      <c r="BE511" t="s">
        <v>9921</v>
      </c>
      <c r="BF511" t="str">
        <f>HYPERLINK("http://dx.doi.org/10.3389/fmars.2023.1264380","http://dx.doi.org/10.3389/fmars.2023.1264380")</f>
        <v>http://dx.doi.org/10.3389/fmars.2023.1264380</v>
      </c>
      <c r="BG511" t="s">
        <v>74</v>
      </c>
      <c r="BH511" t="s">
        <v>74</v>
      </c>
      <c r="BI511">
        <v>12</v>
      </c>
      <c r="BJ511" t="s">
        <v>1135</v>
      </c>
      <c r="BK511" t="s">
        <v>100</v>
      </c>
      <c r="BL511" t="s">
        <v>1136</v>
      </c>
      <c r="BM511" t="s">
        <v>9922</v>
      </c>
      <c r="BN511" t="s">
        <v>74</v>
      </c>
      <c r="BO511" t="s">
        <v>131</v>
      </c>
      <c r="BP511" t="s">
        <v>74</v>
      </c>
      <c r="BQ511" t="s">
        <v>74</v>
      </c>
      <c r="BR511" t="s">
        <v>104</v>
      </c>
      <c r="BS511" t="s">
        <v>9923</v>
      </c>
      <c r="BT511" t="str">
        <f>HYPERLINK("https%3A%2F%2Fwww.webofscience.com%2Fwos%2Fwoscc%2Ffull-record%2FWOS:001104313800001","View Full Record in Web of Science")</f>
        <v>View Full Record in Web of Science</v>
      </c>
    </row>
    <row r="512" spans="1:72" x14ac:dyDescent="0.15">
      <c r="A512" t="s">
        <v>72</v>
      </c>
      <c r="B512" t="s">
        <v>9924</v>
      </c>
      <c r="C512" t="s">
        <v>74</v>
      </c>
      <c r="D512" t="s">
        <v>74</v>
      </c>
      <c r="E512" t="s">
        <v>74</v>
      </c>
      <c r="F512" t="s">
        <v>9925</v>
      </c>
      <c r="G512" t="s">
        <v>74</v>
      </c>
      <c r="H512" t="s">
        <v>74</v>
      </c>
      <c r="I512" t="s">
        <v>9926</v>
      </c>
      <c r="J512" t="s">
        <v>4484</v>
      </c>
      <c r="K512" t="s">
        <v>74</v>
      </c>
      <c r="L512" t="s">
        <v>74</v>
      </c>
      <c r="M512" t="s">
        <v>78</v>
      </c>
      <c r="N512" t="s">
        <v>1547</v>
      </c>
      <c r="O512" t="s">
        <v>74</v>
      </c>
      <c r="P512" t="s">
        <v>74</v>
      </c>
      <c r="Q512" t="s">
        <v>74</v>
      </c>
      <c r="R512" t="s">
        <v>74</v>
      </c>
      <c r="S512" t="s">
        <v>74</v>
      </c>
      <c r="T512" t="s">
        <v>9927</v>
      </c>
      <c r="U512" t="s">
        <v>9928</v>
      </c>
      <c r="V512" t="s">
        <v>9929</v>
      </c>
      <c r="W512" t="s">
        <v>9930</v>
      </c>
      <c r="X512" t="s">
        <v>9931</v>
      </c>
      <c r="Y512" t="s">
        <v>9932</v>
      </c>
      <c r="Z512" t="s">
        <v>9933</v>
      </c>
      <c r="AA512" t="s">
        <v>9934</v>
      </c>
      <c r="AB512" t="s">
        <v>9935</v>
      </c>
      <c r="AC512" t="s">
        <v>9936</v>
      </c>
      <c r="AD512" t="s">
        <v>9937</v>
      </c>
      <c r="AE512" t="s">
        <v>9938</v>
      </c>
      <c r="AF512" t="s">
        <v>74</v>
      </c>
      <c r="AG512">
        <v>47</v>
      </c>
      <c r="AH512">
        <v>0</v>
      </c>
      <c r="AI512">
        <v>0</v>
      </c>
      <c r="AJ512">
        <v>4</v>
      </c>
      <c r="AK512">
        <v>4</v>
      </c>
      <c r="AL512" t="s">
        <v>1782</v>
      </c>
      <c r="AM512" t="s">
        <v>1783</v>
      </c>
      <c r="AN512" t="s">
        <v>1784</v>
      </c>
      <c r="AO512" t="s">
        <v>4497</v>
      </c>
      <c r="AP512" t="s">
        <v>4498</v>
      </c>
      <c r="AQ512" t="s">
        <v>74</v>
      </c>
      <c r="AR512" t="s">
        <v>4499</v>
      </c>
      <c r="AS512" t="s">
        <v>4500</v>
      </c>
      <c r="AT512" t="s">
        <v>9939</v>
      </c>
      <c r="AU512">
        <v>2023</v>
      </c>
      <c r="AV512" t="s">
        <v>74</v>
      </c>
      <c r="AW512" t="s">
        <v>74</v>
      </c>
      <c r="AX512" t="s">
        <v>74</v>
      </c>
      <c r="AY512" t="s">
        <v>74</v>
      </c>
      <c r="AZ512" t="s">
        <v>74</v>
      </c>
      <c r="BA512" t="s">
        <v>74</v>
      </c>
      <c r="BB512" t="s">
        <v>74</v>
      </c>
      <c r="BC512" t="s">
        <v>74</v>
      </c>
      <c r="BD512" t="s">
        <v>74</v>
      </c>
      <c r="BE512" t="s">
        <v>9940</v>
      </c>
      <c r="BF512" t="str">
        <f>HYPERLINK("http://dx.doi.org/10.1017/aog.2023.67","http://dx.doi.org/10.1017/aog.2023.67")</f>
        <v>http://dx.doi.org/10.1017/aog.2023.67</v>
      </c>
      <c r="BG512" t="s">
        <v>74</v>
      </c>
      <c r="BH512" t="s">
        <v>6982</v>
      </c>
      <c r="BI512">
        <v>12</v>
      </c>
      <c r="BJ512" t="s">
        <v>984</v>
      </c>
      <c r="BK512" t="s">
        <v>100</v>
      </c>
      <c r="BL512" t="s">
        <v>985</v>
      </c>
      <c r="BM512" t="s">
        <v>9941</v>
      </c>
      <c r="BN512" t="s">
        <v>74</v>
      </c>
      <c r="BO512" t="s">
        <v>131</v>
      </c>
      <c r="BP512" t="s">
        <v>74</v>
      </c>
      <c r="BQ512" t="s">
        <v>74</v>
      </c>
      <c r="BR512" t="s">
        <v>104</v>
      </c>
      <c r="BS512" t="s">
        <v>9942</v>
      </c>
      <c r="BT512" t="str">
        <f>HYPERLINK("https%3A%2F%2Fwww.webofscience.com%2Fwos%2Fwoscc%2Ffull-record%2FWOS:001096142300001","View Full Record in Web of Science")</f>
        <v>View Full Record in Web of Science</v>
      </c>
    </row>
    <row r="513" spans="1:72" x14ac:dyDescent="0.15">
      <c r="A513" t="s">
        <v>72</v>
      </c>
      <c r="B513" t="s">
        <v>9943</v>
      </c>
      <c r="C513" t="s">
        <v>74</v>
      </c>
      <c r="D513" t="s">
        <v>74</v>
      </c>
      <c r="E513" t="s">
        <v>74</v>
      </c>
      <c r="F513" t="s">
        <v>9944</v>
      </c>
      <c r="G513" t="s">
        <v>74</v>
      </c>
      <c r="H513" t="s">
        <v>74</v>
      </c>
      <c r="I513" t="s">
        <v>9945</v>
      </c>
      <c r="J513" t="s">
        <v>2915</v>
      </c>
      <c r="K513" t="s">
        <v>74</v>
      </c>
      <c r="L513" t="s">
        <v>74</v>
      </c>
      <c r="M513" t="s">
        <v>78</v>
      </c>
      <c r="N513" t="s">
        <v>1547</v>
      </c>
      <c r="O513" t="s">
        <v>74</v>
      </c>
      <c r="P513" t="s">
        <v>74</v>
      </c>
      <c r="Q513" t="s">
        <v>74</v>
      </c>
      <c r="R513" t="s">
        <v>74</v>
      </c>
      <c r="S513" t="s">
        <v>74</v>
      </c>
      <c r="T513" t="s">
        <v>9946</v>
      </c>
      <c r="U513" t="s">
        <v>9947</v>
      </c>
      <c r="V513" t="s">
        <v>9948</v>
      </c>
      <c r="W513" t="s">
        <v>9949</v>
      </c>
      <c r="X513" t="s">
        <v>9950</v>
      </c>
      <c r="Y513" t="s">
        <v>9951</v>
      </c>
      <c r="Z513" t="s">
        <v>9952</v>
      </c>
      <c r="AA513" t="s">
        <v>9953</v>
      </c>
      <c r="AB513" t="s">
        <v>9954</v>
      </c>
      <c r="AC513" t="s">
        <v>9955</v>
      </c>
      <c r="AD513" t="s">
        <v>9956</v>
      </c>
      <c r="AE513" t="s">
        <v>9957</v>
      </c>
      <c r="AF513" t="s">
        <v>74</v>
      </c>
      <c r="AG513">
        <v>93</v>
      </c>
      <c r="AH513">
        <v>0</v>
      </c>
      <c r="AI513">
        <v>0</v>
      </c>
      <c r="AJ513">
        <v>5</v>
      </c>
      <c r="AK513">
        <v>5</v>
      </c>
      <c r="AL513" t="s">
        <v>1782</v>
      </c>
      <c r="AM513" t="s">
        <v>1783</v>
      </c>
      <c r="AN513" t="s">
        <v>1784</v>
      </c>
      <c r="AO513" t="s">
        <v>2928</v>
      </c>
      <c r="AP513" t="s">
        <v>2929</v>
      </c>
      <c r="AQ513" t="s">
        <v>74</v>
      </c>
      <c r="AR513" t="s">
        <v>2930</v>
      </c>
      <c r="AS513" t="s">
        <v>2931</v>
      </c>
      <c r="AT513" t="s">
        <v>9939</v>
      </c>
      <c r="AU513">
        <v>2023</v>
      </c>
      <c r="AV513" t="s">
        <v>74</v>
      </c>
      <c r="AW513" t="s">
        <v>74</v>
      </c>
      <c r="AX513" t="s">
        <v>74</v>
      </c>
      <c r="AY513" t="s">
        <v>74</v>
      </c>
      <c r="AZ513" t="s">
        <v>74</v>
      </c>
      <c r="BA513" t="s">
        <v>74</v>
      </c>
      <c r="BB513" t="s">
        <v>74</v>
      </c>
      <c r="BC513" t="s">
        <v>74</v>
      </c>
      <c r="BD513" t="s">
        <v>74</v>
      </c>
      <c r="BE513" t="s">
        <v>9958</v>
      </c>
      <c r="BF513" t="str">
        <f>HYPERLINK("http://dx.doi.org/10.1017/jog.2023.78","http://dx.doi.org/10.1017/jog.2023.78")</f>
        <v>http://dx.doi.org/10.1017/jog.2023.78</v>
      </c>
      <c r="BG513" t="s">
        <v>74</v>
      </c>
      <c r="BH513" t="s">
        <v>6982</v>
      </c>
      <c r="BI513">
        <v>20</v>
      </c>
      <c r="BJ513" t="s">
        <v>984</v>
      </c>
      <c r="BK513" t="s">
        <v>100</v>
      </c>
      <c r="BL513" t="s">
        <v>985</v>
      </c>
      <c r="BM513" t="s">
        <v>9959</v>
      </c>
      <c r="BN513" t="s">
        <v>74</v>
      </c>
      <c r="BO513" t="s">
        <v>131</v>
      </c>
      <c r="BP513" t="s">
        <v>74</v>
      </c>
      <c r="BQ513" t="s">
        <v>74</v>
      </c>
      <c r="BR513" t="s">
        <v>104</v>
      </c>
      <c r="BS513" t="s">
        <v>9960</v>
      </c>
      <c r="BT513" t="str">
        <f>HYPERLINK("https%3A%2F%2Fwww.webofscience.com%2Fwos%2Fwoscc%2Ffull-record%2FWOS:001096189200001","View Full Record in Web of Science")</f>
        <v>View Full Record in Web of Science</v>
      </c>
    </row>
    <row r="514" spans="1:72" x14ac:dyDescent="0.15">
      <c r="A514" t="s">
        <v>72</v>
      </c>
      <c r="B514" t="s">
        <v>9961</v>
      </c>
      <c r="C514" t="s">
        <v>74</v>
      </c>
      <c r="D514" t="s">
        <v>74</v>
      </c>
      <c r="E514" t="s">
        <v>74</v>
      </c>
      <c r="F514" t="s">
        <v>9962</v>
      </c>
      <c r="G514" t="s">
        <v>74</v>
      </c>
      <c r="H514" t="s">
        <v>74</v>
      </c>
      <c r="I514" t="s">
        <v>9963</v>
      </c>
      <c r="J514" t="s">
        <v>9964</v>
      </c>
      <c r="K514" t="s">
        <v>74</v>
      </c>
      <c r="L514" t="s">
        <v>74</v>
      </c>
      <c r="M514" t="s">
        <v>78</v>
      </c>
      <c r="N514" t="s">
        <v>79</v>
      </c>
      <c r="O514" t="s">
        <v>74</v>
      </c>
      <c r="P514" t="s">
        <v>74</v>
      </c>
      <c r="Q514" t="s">
        <v>74</v>
      </c>
      <c r="R514" t="s">
        <v>74</v>
      </c>
      <c r="S514" t="s">
        <v>74</v>
      </c>
      <c r="T514" t="s">
        <v>74</v>
      </c>
      <c r="U514" t="s">
        <v>9965</v>
      </c>
      <c r="V514" t="s">
        <v>9966</v>
      </c>
      <c r="W514" t="s">
        <v>9967</v>
      </c>
      <c r="X514" t="s">
        <v>9968</v>
      </c>
      <c r="Y514" t="s">
        <v>9969</v>
      </c>
      <c r="Z514" t="s">
        <v>9970</v>
      </c>
      <c r="AA514" t="s">
        <v>9971</v>
      </c>
      <c r="AB514" t="s">
        <v>9972</v>
      </c>
      <c r="AC514" t="s">
        <v>9973</v>
      </c>
      <c r="AD514" t="s">
        <v>9974</v>
      </c>
      <c r="AE514" t="s">
        <v>9975</v>
      </c>
      <c r="AF514" t="s">
        <v>74</v>
      </c>
      <c r="AG514">
        <v>85</v>
      </c>
      <c r="AH514">
        <v>0</v>
      </c>
      <c r="AI514">
        <v>0</v>
      </c>
      <c r="AJ514">
        <v>1</v>
      </c>
      <c r="AK514">
        <v>1</v>
      </c>
      <c r="AL514" t="s">
        <v>1838</v>
      </c>
      <c r="AM514" t="s">
        <v>1839</v>
      </c>
      <c r="AN514" t="s">
        <v>1840</v>
      </c>
      <c r="AO514" t="s">
        <v>9976</v>
      </c>
      <c r="AP514" t="s">
        <v>9977</v>
      </c>
      <c r="AQ514" t="s">
        <v>74</v>
      </c>
      <c r="AR514" t="s">
        <v>9964</v>
      </c>
      <c r="AS514" t="s">
        <v>9978</v>
      </c>
      <c r="AT514" t="s">
        <v>9979</v>
      </c>
      <c r="AU514">
        <v>2023</v>
      </c>
      <c r="AV514">
        <v>20</v>
      </c>
      <c r="AW514">
        <v>21</v>
      </c>
      <c r="AX514" t="s">
        <v>74</v>
      </c>
      <c r="AY514" t="s">
        <v>74</v>
      </c>
      <c r="AZ514" t="s">
        <v>74</v>
      </c>
      <c r="BA514" t="s">
        <v>74</v>
      </c>
      <c r="BB514">
        <v>4413</v>
      </c>
      <c r="BC514">
        <v>4431</v>
      </c>
      <c r="BD514" t="s">
        <v>74</v>
      </c>
      <c r="BE514" t="s">
        <v>9980</v>
      </c>
      <c r="BF514" t="str">
        <f>HYPERLINK("http://dx.doi.org/10.5194/bg-20-4413-2023","http://dx.doi.org/10.5194/bg-20-4413-2023")</f>
        <v>http://dx.doi.org/10.5194/bg-20-4413-2023</v>
      </c>
      <c r="BG514" t="s">
        <v>74</v>
      </c>
      <c r="BH514" t="s">
        <v>74</v>
      </c>
      <c r="BI514">
        <v>19</v>
      </c>
      <c r="BJ514" t="s">
        <v>1949</v>
      </c>
      <c r="BK514" t="s">
        <v>100</v>
      </c>
      <c r="BL514" t="s">
        <v>1950</v>
      </c>
      <c r="BM514" t="s">
        <v>9981</v>
      </c>
      <c r="BN514" t="s">
        <v>74</v>
      </c>
      <c r="BO514" t="s">
        <v>131</v>
      </c>
      <c r="BP514" t="s">
        <v>74</v>
      </c>
      <c r="BQ514" t="s">
        <v>74</v>
      </c>
      <c r="BR514" t="s">
        <v>104</v>
      </c>
      <c r="BS514" t="s">
        <v>9982</v>
      </c>
      <c r="BT514" t="str">
        <f>HYPERLINK("https%3A%2F%2Fwww.webofscience.com%2Fwos%2Fwoscc%2Ffull-record%2FWOS:001170978200001","View Full Record in Web of Science")</f>
        <v>View Full Record in Web of Science</v>
      </c>
    </row>
    <row r="515" spans="1:72" x14ac:dyDescent="0.15">
      <c r="A515" t="s">
        <v>72</v>
      </c>
      <c r="B515" t="s">
        <v>9983</v>
      </c>
      <c r="C515" t="s">
        <v>74</v>
      </c>
      <c r="D515" t="s">
        <v>74</v>
      </c>
      <c r="E515" t="s">
        <v>74</v>
      </c>
      <c r="F515" t="s">
        <v>9984</v>
      </c>
      <c r="G515" t="s">
        <v>74</v>
      </c>
      <c r="H515" t="s">
        <v>74</v>
      </c>
      <c r="I515" t="s">
        <v>9985</v>
      </c>
      <c r="J515" t="s">
        <v>2809</v>
      </c>
      <c r="K515" t="s">
        <v>74</v>
      </c>
      <c r="L515" t="s">
        <v>74</v>
      </c>
      <c r="M515" t="s">
        <v>78</v>
      </c>
      <c r="N515" t="s">
        <v>79</v>
      </c>
      <c r="O515" t="s">
        <v>74</v>
      </c>
      <c r="P515" t="s">
        <v>74</v>
      </c>
      <c r="Q515" t="s">
        <v>74</v>
      </c>
      <c r="R515" t="s">
        <v>74</v>
      </c>
      <c r="S515" t="s">
        <v>74</v>
      </c>
      <c r="T515" t="s">
        <v>74</v>
      </c>
      <c r="U515" t="s">
        <v>9986</v>
      </c>
      <c r="V515" t="s">
        <v>9987</v>
      </c>
      <c r="W515" t="s">
        <v>9988</v>
      </c>
      <c r="X515" t="s">
        <v>9989</v>
      </c>
      <c r="Y515" t="s">
        <v>9990</v>
      </c>
      <c r="Z515" t="s">
        <v>9991</v>
      </c>
      <c r="AA515" t="s">
        <v>74</v>
      </c>
      <c r="AB515" t="s">
        <v>9992</v>
      </c>
      <c r="AC515" t="s">
        <v>9993</v>
      </c>
      <c r="AD515" t="s">
        <v>9994</v>
      </c>
      <c r="AE515" t="s">
        <v>9995</v>
      </c>
      <c r="AF515" t="s">
        <v>74</v>
      </c>
      <c r="AG515">
        <v>68</v>
      </c>
      <c r="AH515">
        <v>0</v>
      </c>
      <c r="AI515">
        <v>0</v>
      </c>
      <c r="AJ515">
        <v>0</v>
      </c>
      <c r="AK515">
        <v>0</v>
      </c>
      <c r="AL515" t="s">
        <v>1838</v>
      </c>
      <c r="AM515" t="s">
        <v>1839</v>
      </c>
      <c r="AN515" t="s">
        <v>1840</v>
      </c>
      <c r="AO515" t="s">
        <v>2818</v>
      </c>
      <c r="AP515" t="s">
        <v>2819</v>
      </c>
      <c r="AQ515" t="s">
        <v>74</v>
      </c>
      <c r="AR515" t="s">
        <v>2809</v>
      </c>
      <c r="AS515" t="s">
        <v>2820</v>
      </c>
      <c r="AT515" t="s">
        <v>9979</v>
      </c>
      <c r="AU515">
        <v>2023</v>
      </c>
      <c r="AV515">
        <v>17</v>
      </c>
      <c r="AW515">
        <v>11</v>
      </c>
      <c r="AX515" t="s">
        <v>74</v>
      </c>
      <c r="AY515" t="s">
        <v>74</v>
      </c>
      <c r="AZ515" t="s">
        <v>74</v>
      </c>
      <c r="BA515" t="s">
        <v>74</v>
      </c>
      <c r="BB515">
        <v>4629</v>
      </c>
      <c r="BC515">
        <v>4644</v>
      </c>
      <c r="BD515" t="s">
        <v>74</v>
      </c>
      <c r="BE515" t="s">
        <v>9996</v>
      </c>
      <c r="BF515" t="str">
        <f>HYPERLINK("http://dx.doi.org/10.5194/tc-17-4629-2023","http://dx.doi.org/10.5194/tc-17-4629-2023")</f>
        <v>http://dx.doi.org/10.5194/tc-17-4629-2023</v>
      </c>
      <c r="BG515" t="s">
        <v>74</v>
      </c>
      <c r="BH515" t="s">
        <v>74</v>
      </c>
      <c r="BI515">
        <v>16</v>
      </c>
      <c r="BJ515" t="s">
        <v>984</v>
      </c>
      <c r="BK515" t="s">
        <v>100</v>
      </c>
      <c r="BL515" t="s">
        <v>985</v>
      </c>
      <c r="BM515" t="s">
        <v>9997</v>
      </c>
      <c r="BN515" t="s">
        <v>74</v>
      </c>
      <c r="BO515" t="s">
        <v>131</v>
      </c>
      <c r="BP515" t="s">
        <v>74</v>
      </c>
      <c r="BQ515" t="s">
        <v>74</v>
      </c>
      <c r="BR515" t="s">
        <v>104</v>
      </c>
      <c r="BS515" t="s">
        <v>9998</v>
      </c>
      <c r="BT515" t="str">
        <f>HYPERLINK("https%3A%2F%2Fwww.webofscience.com%2Fwos%2Fwoscc%2Ffull-record%2FWOS:001170337000001","View Full Record in Web of Science")</f>
        <v>View Full Record in Web of Science</v>
      </c>
    </row>
    <row r="516" spans="1:72" x14ac:dyDescent="0.15">
      <c r="A516" t="s">
        <v>72</v>
      </c>
      <c r="B516" t="s">
        <v>9999</v>
      </c>
      <c r="C516" t="s">
        <v>74</v>
      </c>
      <c r="D516" t="s">
        <v>74</v>
      </c>
      <c r="E516" t="s">
        <v>74</v>
      </c>
      <c r="F516" t="s">
        <v>10000</v>
      </c>
      <c r="G516" t="s">
        <v>74</v>
      </c>
      <c r="H516" t="s">
        <v>74</v>
      </c>
      <c r="I516" t="s">
        <v>10001</v>
      </c>
      <c r="J516" t="s">
        <v>10002</v>
      </c>
      <c r="K516" t="s">
        <v>74</v>
      </c>
      <c r="L516" t="s">
        <v>74</v>
      </c>
      <c r="M516" t="s">
        <v>78</v>
      </c>
      <c r="N516" t="s">
        <v>79</v>
      </c>
      <c r="O516" t="s">
        <v>74</v>
      </c>
      <c r="P516" t="s">
        <v>74</v>
      </c>
      <c r="Q516" t="s">
        <v>74</v>
      </c>
      <c r="R516" t="s">
        <v>74</v>
      </c>
      <c r="S516" t="s">
        <v>74</v>
      </c>
      <c r="T516" t="s">
        <v>74</v>
      </c>
      <c r="U516" t="s">
        <v>10003</v>
      </c>
      <c r="V516" t="s">
        <v>10004</v>
      </c>
      <c r="W516" t="s">
        <v>10005</v>
      </c>
      <c r="X516" t="s">
        <v>10006</v>
      </c>
      <c r="Y516" t="s">
        <v>10007</v>
      </c>
      <c r="Z516" t="s">
        <v>10008</v>
      </c>
      <c r="AA516" t="s">
        <v>74</v>
      </c>
      <c r="AB516" t="s">
        <v>10009</v>
      </c>
      <c r="AC516" t="s">
        <v>10010</v>
      </c>
      <c r="AD516" t="s">
        <v>10011</v>
      </c>
      <c r="AE516" t="s">
        <v>10012</v>
      </c>
      <c r="AF516" t="s">
        <v>74</v>
      </c>
      <c r="AG516">
        <v>68</v>
      </c>
      <c r="AH516">
        <v>1</v>
      </c>
      <c r="AI516">
        <v>1</v>
      </c>
      <c r="AJ516">
        <v>5</v>
      </c>
      <c r="AK516">
        <v>5</v>
      </c>
      <c r="AL516" t="s">
        <v>10013</v>
      </c>
      <c r="AM516" t="s">
        <v>1209</v>
      </c>
      <c r="AN516" t="s">
        <v>10014</v>
      </c>
      <c r="AO516" t="s">
        <v>10015</v>
      </c>
      <c r="AP516" t="s">
        <v>74</v>
      </c>
      <c r="AQ516" t="s">
        <v>74</v>
      </c>
      <c r="AR516" t="s">
        <v>10016</v>
      </c>
      <c r="AS516" t="s">
        <v>10017</v>
      </c>
      <c r="AT516" t="s">
        <v>9979</v>
      </c>
      <c r="AU516">
        <v>2023</v>
      </c>
      <c r="AV516">
        <v>31</v>
      </c>
      <c r="AW516">
        <v>23</v>
      </c>
      <c r="AX516" t="s">
        <v>74</v>
      </c>
      <c r="AY516" t="s">
        <v>74</v>
      </c>
      <c r="AZ516" t="s">
        <v>74</v>
      </c>
      <c r="BA516" t="s">
        <v>74</v>
      </c>
      <c r="BB516">
        <v>38494</v>
      </c>
      <c r="BC516">
        <v>38512</v>
      </c>
      <c r="BD516">
        <v>500340</v>
      </c>
      <c r="BE516" t="s">
        <v>10018</v>
      </c>
      <c r="BF516" t="str">
        <f>HYPERLINK("http://dx.doi.org/10.1364/OE.500340","http://dx.doi.org/10.1364/OE.500340")</f>
        <v>http://dx.doi.org/10.1364/OE.500340</v>
      </c>
      <c r="BG516" t="s">
        <v>74</v>
      </c>
      <c r="BH516" t="s">
        <v>74</v>
      </c>
      <c r="BI516">
        <v>19</v>
      </c>
      <c r="BJ516" t="s">
        <v>5491</v>
      </c>
      <c r="BK516" t="s">
        <v>100</v>
      </c>
      <c r="BL516" t="s">
        <v>5491</v>
      </c>
      <c r="BM516" t="s">
        <v>10019</v>
      </c>
      <c r="BN516">
        <v>38017954</v>
      </c>
      <c r="BO516" t="s">
        <v>131</v>
      </c>
      <c r="BP516" t="s">
        <v>74</v>
      </c>
      <c r="BQ516" t="s">
        <v>74</v>
      </c>
      <c r="BR516" t="s">
        <v>104</v>
      </c>
      <c r="BS516" t="s">
        <v>10020</v>
      </c>
      <c r="BT516" t="str">
        <f>HYPERLINK("https%3A%2F%2Fwww.webofscience.com%2Fwos%2Fwoscc%2Ffull-record%2FWOS:001108090500005","View Full Record in Web of Science")</f>
        <v>View Full Record in Web of Science</v>
      </c>
    </row>
    <row r="517" spans="1:72" x14ac:dyDescent="0.15">
      <c r="A517" t="s">
        <v>72</v>
      </c>
      <c r="B517" t="s">
        <v>10021</v>
      </c>
      <c r="C517" t="s">
        <v>74</v>
      </c>
      <c r="D517" t="s">
        <v>74</v>
      </c>
      <c r="E517" t="s">
        <v>74</v>
      </c>
      <c r="F517" t="s">
        <v>10022</v>
      </c>
      <c r="G517" t="s">
        <v>74</v>
      </c>
      <c r="H517" t="s">
        <v>74</v>
      </c>
      <c r="I517" t="s">
        <v>10023</v>
      </c>
      <c r="J517" t="s">
        <v>7320</v>
      </c>
      <c r="K517" t="s">
        <v>74</v>
      </c>
      <c r="L517" t="s">
        <v>74</v>
      </c>
      <c r="M517" t="s">
        <v>78</v>
      </c>
      <c r="N517" t="s">
        <v>79</v>
      </c>
      <c r="O517" t="s">
        <v>74</v>
      </c>
      <c r="P517" t="s">
        <v>74</v>
      </c>
      <c r="Q517" t="s">
        <v>74</v>
      </c>
      <c r="R517" t="s">
        <v>74</v>
      </c>
      <c r="S517" t="s">
        <v>74</v>
      </c>
      <c r="T517" t="s">
        <v>10024</v>
      </c>
      <c r="U517" t="s">
        <v>10025</v>
      </c>
      <c r="V517" t="s">
        <v>10026</v>
      </c>
      <c r="W517" t="s">
        <v>10027</v>
      </c>
      <c r="X517" t="s">
        <v>10028</v>
      </c>
      <c r="Y517" t="s">
        <v>10029</v>
      </c>
      <c r="Z517" t="s">
        <v>10030</v>
      </c>
      <c r="AA517" t="s">
        <v>10031</v>
      </c>
      <c r="AB517" t="s">
        <v>10032</v>
      </c>
      <c r="AC517" t="s">
        <v>10033</v>
      </c>
      <c r="AD517" t="s">
        <v>10034</v>
      </c>
      <c r="AE517" t="s">
        <v>10035</v>
      </c>
      <c r="AF517" t="s">
        <v>74</v>
      </c>
      <c r="AG517">
        <v>85</v>
      </c>
      <c r="AH517">
        <v>2</v>
      </c>
      <c r="AI517">
        <v>2</v>
      </c>
      <c r="AJ517">
        <v>2</v>
      </c>
      <c r="AK517">
        <v>2</v>
      </c>
      <c r="AL517" t="s">
        <v>4271</v>
      </c>
      <c r="AM517" t="s">
        <v>1076</v>
      </c>
      <c r="AN517" t="s">
        <v>4272</v>
      </c>
      <c r="AO517" t="s">
        <v>7330</v>
      </c>
      <c r="AP517" t="s">
        <v>7331</v>
      </c>
      <c r="AQ517" t="s">
        <v>74</v>
      </c>
      <c r="AR517" t="s">
        <v>7332</v>
      </c>
      <c r="AS517" t="s">
        <v>7333</v>
      </c>
      <c r="AT517" t="s">
        <v>954</v>
      </c>
      <c r="AU517">
        <v>2024</v>
      </c>
      <c r="AV517">
        <v>297</v>
      </c>
      <c r="AW517" t="s">
        <v>74</v>
      </c>
      <c r="AX517" t="s">
        <v>74</v>
      </c>
      <c r="AY517" t="s">
        <v>74</v>
      </c>
      <c r="AZ517" t="s">
        <v>74</v>
      </c>
      <c r="BA517" t="s">
        <v>74</v>
      </c>
      <c r="BB517" t="s">
        <v>74</v>
      </c>
      <c r="BC517" t="s">
        <v>74</v>
      </c>
      <c r="BD517">
        <v>107085</v>
      </c>
      <c r="BE517" t="s">
        <v>10036</v>
      </c>
      <c r="BF517" t="str">
        <f>HYPERLINK("http://dx.doi.org/10.1016/j.atmosres.2023.107085","http://dx.doi.org/10.1016/j.atmosres.2023.107085")</f>
        <v>http://dx.doi.org/10.1016/j.atmosres.2023.107085</v>
      </c>
      <c r="BG517" t="s">
        <v>74</v>
      </c>
      <c r="BH517" t="s">
        <v>6982</v>
      </c>
      <c r="BI517">
        <v>13</v>
      </c>
      <c r="BJ517" t="s">
        <v>1522</v>
      </c>
      <c r="BK517" t="s">
        <v>100</v>
      </c>
      <c r="BL517" t="s">
        <v>1522</v>
      </c>
      <c r="BM517" t="s">
        <v>10037</v>
      </c>
      <c r="BN517" t="s">
        <v>74</v>
      </c>
      <c r="BO517" t="s">
        <v>74</v>
      </c>
      <c r="BP517" t="s">
        <v>74</v>
      </c>
      <c r="BQ517" t="s">
        <v>74</v>
      </c>
      <c r="BR517" t="s">
        <v>104</v>
      </c>
      <c r="BS517" t="s">
        <v>10038</v>
      </c>
      <c r="BT517" t="str">
        <f>HYPERLINK("https%3A%2F%2Fwww.webofscience.com%2Fwos%2Fwoscc%2Ffull-record%2FWOS:001112846800001","View Full Record in Web of Science")</f>
        <v>View Full Record in Web of Science</v>
      </c>
    </row>
    <row r="518" spans="1:72" x14ac:dyDescent="0.15">
      <c r="A518" t="s">
        <v>72</v>
      </c>
      <c r="B518" t="s">
        <v>10039</v>
      </c>
      <c r="C518" t="s">
        <v>74</v>
      </c>
      <c r="D518" t="s">
        <v>74</v>
      </c>
      <c r="E518" t="s">
        <v>74</v>
      </c>
      <c r="F518" t="s">
        <v>10040</v>
      </c>
      <c r="G518" t="s">
        <v>74</v>
      </c>
      <c r="H518" t="s">
        <v>74</v>
      </c>
      <c r="I518" t="s">
        <v>10041</v>
      </c>
      <c r="J518" t="s">
        <v>10042</v>
      </c>
      <c r="K518" t="s">
        <v>74</v>
      </c>
      <c r="L518" t="s">
        <v>74</v>
      </c>
      <c r="M518" t="s">
        <v>78</v>
      </c>
      <c r="N518" t="s">
        <v>79</v>
      </c>
      <c r="O518" t="s">
        <v>74</v>
      </c>
      <c r="P518" t="s">
        <v>74</v>
      </c>
      <c r="Q518" t="s">
        <v>74</v>
      </c>
      <c r="R518" t="s">
        <v>74</v>
      </c>
      <c r="S518" t="s">
        <v>74</v>
      </c>
      <c r="T518" t="s">
        <v>10043</v>
      </c>
      <c r="U518" t="s">
        <v>10044</v>
      </c>
      <c r="V518" t="s">
        <v>10045</v>
      </c>
      <c r="W518" t="s">
        <v>10046</v>
      </c>
      <c r="X518" t="s">
        <v>6502</v>
      </c>
      <c r="Y518" t="s">
        <v>10047</v>
      </c>
      <c r="Z518" t="s">
        <v>10048</v>
      </c>
      <c r="AA518" t="s">
        <v>74</v>
      </c>
      <c r="AB518" t="s">
        <v>10049</v>
      </c>
      <c r="AC518" t="s">
        <v>10050</v>
      </c>
      <c r="AD518" t="s">
        <v>10051</v>
      </c>
      <c r="AE518" t="s">
        <v>10052</v>
      </c>
      <c r="AF518" t="s">
        <v>74</v>
      </c>
      <c r="AG518">
        <v>75</v>
      </c>
      <c r="AH518">
        <v>0</v>
      </c>
      <c r="AI518">
        <v>0</v>
      </c>
      <c r="AJ518">
        <v>2</v>
      </c>
      <c r="AK518">
        <v>2</v>
      </c>
      <c r="AL518" t="s">
        <v>947</v>
      </c>
      <c r="AM518" t="s">
        <v>948</v>
      </c>
      <c r="AN518" t="s">
        <v>949</v>
      </c>
      <c r="AO518" t="s">
        <v>10053</v>
      </c>
      <c r="AP518" t="s">
        <v>10054</v>
      </c>
      <c r="AQ518" t="s">
        <v>74</v>
      </c>
      <c r="AR518" t="s">
        <v>10055</v>
      </c>
      <c r="AS518" t="s">
        <v>10056</v>
      </c>
      <c r="AT518" t="s">
        <v>8300</v>
      </c>
      <c r="AU518">
        <v>2023</v>
      </c>
      <c r="AV518">
        <v>257</v>
      </c>
      <c r="AW518" t="s">
        <v>74</v>
      </c>
      <c r="AX518" t="s">
        <v>74</v>
      </c>
      <c r="AY518" t="s">
        <v>74</v>
      </c>
      <c r="AZ518" t="s">
        <v>74</v>
      </c>
      <c r="BA518" t="s">
        <v>74</v>
      </c>
      <c r="BB518" t="s">
        <v>74</v>
      </c>
      <c r="BC518" t="s">
        <v>74</v>
      </c>
      <c r="BD518">
        <v>104330</v>
      </c>
      <c r="BE518" t="s">
        <v>10057</v>
      </c>
      <c r="BF518" t="str">
        <f>HYPERLINK("http://dx.doi.org/10.1016/j.marchem.2023.104330","http://dx.doi.org/10.1016/j.marchem.2023.104330")</f>
        <v>http://dx.doi.org/10.1016/j.marchem.2023.104330</v>
      </c>
      <c r="BG518" t="s">
        <v>74</v>
      </c>
      <c r="BH518" t="s">
        <v>6982</v>
      </c>
      <c r="BI518">
        <v>14</v>
      </c>
      <c r="BJ518" t="s">
        <v>10058</v>
      </c>
      <c r="BK518" t="s">
        <v>100</v>
      </c>
      <c r="BL518" t="s">
        <v>10059</v>
      </c>
      <c r="BM518" t="s">
        <v>10060</v>
      </c>
      <c r="BN518" t="s">
        <v>74</v>
      </c>
      <c r="BO518" t="s">
        <v>103</v>
      </c>
      <c r="BP518" t="s">
        <v>74</v>
      </c>
      <c r="BQ518" t="s">
        <v>74</v>
      </c>
      <c r="BR518" t="s">
        <v>104</v>
      </c>
      <c r="BS518" t="s">
        <v>10061</v>
      </c>
      <c r="BT518" t="str">
        <f>HYPERLINK("https%3A%2F%2Fwww.webofscience.com%2Fwos%2Fwoscc%2Ffull-record%2FWOS:001111604300001","View Full Record in Web of Science")</f>
        <v>View Full Record in Web of Science</v>
      </c>
    </row>
    <row r="519" spans="1:72" x14ac:dyDescent="0.15">
      <c r="A519" t="s">
        <v>72</v>
      </c>
      <c r="B519" t="s">
        <v>10062</v>
      </c>
      <c r="C519" t="s">
        <v>74</v>
      </c>
      <c r="D519" t="s">
        <v>74</v>
      </c>
      <c r="E519" t="s">
        <v>74</v>
      </c>
      <c r="F519" t="s">
        <v>10063</v>
      </c>
      <c r="G519" t="s">
        <v>74</v>
      </c>
      <c r="H519" t="s">
        <v>74</v>
      </c>
      <c r="I519" t="s">
        <v>10064</v>
      </c>
      <c r="J519" t="s">
        <v>10065</v>
      </c>
      <c r="K519" t="s">
        <v>74</v>
      </c>
      <c r="L519" t="s">
        <v>74</v>
      </c>
      <c r="M519" t="s">
        <v>78</v>
      </c>
      <c r="N519" t="s">
        <v>1547</v>
      </c>
      <c r="O519" t="s">
        <v>74</v>
      </c>
      <c r="P519" t="s">
        <v>74</v>
      </c>
      <c r="Q519" t="s">
        <v>74</v>
      </c>
      <c r="R519" t="s">
        <v>74</v>
      </c>
      <c r="S519" t="s">
        <v>74</v>
      </c>
      <c r="T519" t="s">
        <v>10066</v>
      </c>
      <c r="U519" t="s">
        <v>10067</v>
      </c>
      <c r="V519" t="s">
        <v>10068</v>
      </c>
      <c r="W519" t="s">
        <v>10069</v>
      </c>
      <c r="X519" t="s">
        <v>10070</v>
      </c>
      <c r="Y519" t="s">
        <v>10071</v>
      </c>
      <c r="Z519" t="s">
        <v>10072</v>
      </c>
      <c r="AA519" t="s">
        <v>74</v>
      </c>
      <c r="AB519" t="s">
        <v>10073</v>
      </c>
      <c r="AC519" t="s">
        <v>10074</v>
      </c>
      <c r="AD519" t="s">
        <v>10075</v>
      </c>
      <c r="AE519" t="s">
        <v>10076</v>
      </c>
      <c r="AF519" t="s">
        <v>74</v>
      </c>
      <c r="AG519">
        <v>68</v>
      </c>
      <c r="AH519">
        <v>0</v>
      </c>
      <c r="AI519">
        <v>0</v>
      </c>
      <c r="AJ519">
        <v>7</v>
      </c>
      <c r="AK519">
        <v>7</v>
      </c>
      <c r="AL519" t="s">
        <v>119</v>
      </c>
      <c r="AM519" t="s">
        <v>120</v>
      </c>
      <c r="AN519" t="s">
        <v>121</v>
      </c>
      <c r="AO519" t="s">
        <v>10077</v>
      </c>
      <c r="AP519" t="s">
        <v>10078</v>
      </c>
      <c r="AQ519" t="s">
        <v>74</v>
      </c>
      <c r="AR519" t="s">
        <v>10079</v>
      </c>
      <c r="AS519" t="s">
        <v>10080</v>
      </c>
      <c r="AT519" t="s">
        <v>10081</v>
      </c>
      <c r="AU519">
        <v>2023</v>
      </c>
      <c r="AV519" t="s">
        <v>74</v>
      </c>
      <c r="AW519" t="s">
        <v>74</v>
      </c>
      <c r="AX519" t="s">
        <v>74</v>
      </c>
      <c r="AY519" t="s">
        <v>74</v>
      </c>
      <c r="AZ519" t="s">
        <v>74</v>
      </c>
      <c r="BA519" t="s">
        <v>74</v>
      </c>
      <c r="BB519" t="s">
        <v>74</v>
      </c>
      <c r="BC519" t="s">
        <v>74</v>
      </c>
      <c r="BD519" t="s">
        <v>74</v>
      </c>
      <c r="BE519" t="s">
        <v>10082</v>
      </c>
      <c r="BF519" t="str">
        <f>HYPERLINK("http://dx.doi.org/10.1080/10095020.2023.2274136","http://dx.doi.org/10.1080/10095020.2023.2274136")</f>
        <v>http://dx.doi.org/10.1080/10095020.2023.2274136</v>
      </c>
      <c r="BG519" t="s">
        <v>74</v>
      </c>
      <c r="BH519" t="s">
        <v>6982</v>
      </c>
      <c r="BI519">
        <v>16</v>
      </c>
      <c r="BJ519" t="s">
        <v>3983</v>
      </c>
      <c r="BK519" t="s">
        <v>100</v>
      </c>
      <c r="BL519" t="s">
        <v>3983</v>
      </c>
      <c r="BM519" t="s">
        <v>10083</v>
      </c>
      <c r="BN519" t="s">
        <v>74</v>
      </c>
      <c r="BO519" t="s">
        <v>131</v>
      </c>
      <c r="BP519" t="s">
        <v>74</v>
      </c>
      <c r="BQ519" t="s">
        <v>74</v>
      </c>
      <c r="BR519" t="s">
        <v>104</v>
      </c>
      <c r="BS519" t="s">
        <v>10084</v>
      </c>
      <c r="BT519" t="str">
        <f>HYPERLINK("https%3A%2F%2Fwww.webofscience.com%2Fwos%2Fwoscc%2Ffull-record%2FWOS:001104523700001","View Full Record in Web of Science")</f>
        <v>View Full Record in Web of Science</v>
      </c>
    </row>
    <row r="520" spans="1:72" x14ac:dyDescent="0.15">
      <c r="A520" t="s">
        <v>72</v>
      </c>
      <c r="B520" t="s">
        <v>10085</v>
      </c>
      <c r="C520" t="s">
        <v>74</v>
      </c>
      <c r="D520" t="s">
        <v>74</v>
      </c>
      <c r="E520" t="s">
        <v>74</v>
      </c>
      <c r="F520" t="s">
        <v>10086</v>
      </c>
      <c r="G520" t="s">
        <v>74</v>
      </c>
      <c r="H520" t="s">
        <v>74</v>
      </c>
      <c r="I520" t="s">
        <v>10087</v>
      </c>
      <c r="J520" t="s">
        <v>2915</v>
      </c>
      <c r="K520" t="s">
        <v>74</v>
      </c>
      <c r="L520" t="s">
        <v>74</v>
      </c>
      <c r="M520" t="s">
        <v>78</v>
      </c>
      <c r="N520" t="s">
        <v>1547</v>
      </c>
      <c r="O520" t="s">
        <v>74</v>
      </c>
      <c r="P520" t="s">
        <v>74</v>
      </c>
      <c r="Q520" t="s">
        <v>74</v>
      </c>
      <c r="R520" t="s">
        <v>74</v>
      </c>
      <c r="S520" t="s">
        <v>74</v>
      </c>
      <c r="T520" t="s">
        <v>10088</v>
      </c>
      <c r="U520" t="s">
        <v>10089</v>
      </c>
      <c r="V520" t="s">
        <v>10090</v>
      </c>
      <c r="W520" t="s">
        <v>10091</v>
      </c>
      <c r="X520" t="s">
        <v>10092</v>
      </c>
      <c r="Y520" t="s">
        <v>10093</v>
      </c>
      <c r="Z520" t="s">
        <v>10094</v>
      </c>
      <c r="AA520" t="s">
        <v>10095</v>
      </c>
      <c r="AB520" t="s">
        <v>10096</v>
      </c>
      <c r="AC520" t="s">
        <v>10097</v>
      </c>
      <c r="AD520" t="s">
        <v>10098</v>
      </c>
      <c r="AE520" t="s">
        <v>10099</v>
      </c>
      <c r="AF520" t="s">
        <v>74</v>
      </c>
      <c r="AG520">
        <v>56</v>
      </c>
      <c r="AH520">
        <v>0</v>
      </c>
      <c r="AI520">
        <v>0</v>
      </c>
      <c r="AJ520">
        <v>2</v>
      </c>
      <c r="AK520">
        <v>2</v>
      </c>
      <c r="AL520" t="s">
        <v>1782</v>
      </c>
      <c r="AM520" t="s">
        <v>1783</v>
      </c>
      <c r="AN520" t="s">
        <v>1784</v>
      </c>
      <c r="AO520" t="s">
        <v>2928</v>
      </c>
      <c r="AP520" t="s">
        <v>2929</v>
      </c>
      <c r="AQ520" t="s">
        <v>74</v>
      </c>
      <c r="AR520" t="s">
        <v>2930</v>
      </c>
      <c r="AS520" t="s">
        <v>2931</v>
      </c>
      <c r="AT520" t="s">
        <v>10081</v>
      </c>
      <c r="AU520">
        <v>2023</v>
      </c>
      <c r="AV520" t="s">
        <v>74</v>
      </c>
      <c r="AW520" t="s">
        <v>74</v>
      </c>
      <c r="AX520" t="s">
        <v>74</v>
      </c>
      <c r="AY520" t="s">
        <v>74</v>
      </c>
      <c r="AZ520" t="s">
        <v>74</v>
      </c>
      <c r="BA520" t="s">
        <v>74</v>
      </c>
      <c r="BB520" t="s">
        <v>74</v>
      </c>
      <c r="BC520" t="s">
        <v>74</v>
      </c>
      <c r="BD520" t="s">
        <v>74</v>
      </c>
      <c r="BE520" t="s">
        <v>10100</v>
      </c>
      <c r="BF520" t="str">
        <f>HYPERLINK("http://dx.doi.org/10.1017/jog.2023.87","http://dx.doi.org/10.1017/jog.2023.87")</f>
        <v>http://dx.doi.org/10.1017/jog.2023.87</v>
      </c>
      <c r="BG520" t="s">
        <v>74</v>
      </c>
      <c r="BH520" t="s">
        <v>6982</v>
      </c>
      <c r="BI520">
        <v>15</v>
      </c>
      <c r="BJ520" t="s">
        <v>984</v>
      </c>
      <c r="BK520" t="s">
        <v>100</v>
      </c>
      <c r="BL520" t="s">
        <v>985</v>
      </c>
      <c r="BM520" t="s">
        <v>10101</v>
      </c>
      <c r="BN520" t="s">
        <v>74</v>
      </c>
      <c r="BO520" t="s">
        <v>131</v>
      </c>
      <c r="BP520" t="s">
        <v>74</v>
      </c>
      <c r="BQ520" t="s">
        <v>74</v>
      </c>
      <c r="BR520" t="s">
        <v>104</v>
      </c>
      <c r="BS520" t="s">
        <v>10102</v>
      </c>
      <c r="BT520" t="str">
        <f>HYPERLINK("https%3A%2F%2Fwww.webofscience.com%2Fwos%2Fwoscc%2Ffull-record%2FWOS:001095064500001","View Full Record in Web of Science")</f>
        <v>View Full Record in Web of Science</v>
      </c>
    </row>
    <row r="521" spans="1:72" x14ac:dyDescent="0.15">
      <c r="A521" t="s">
        <v>72</v>
      </c>
      <c r="B521" t="s">
        <v>10103</v>
      </c>
      <c r="C521" t="s">
        <v>74</v>
      </c>
      <c r="D521" t="s">
        <v>74</v>
      </c>
      <c r="E521" t="s">
        <v>74</v>
      </c>
      <c r="F521" t="s">
        <v>10104</v>
      </c>
      <c r="G521" t="s">
        <v>74</v>
      </c>
      <c r="H521" t="s">
        <v>74</v>
      </c>
      <c r="I521" t="s">
        <v>10105</v>
      </c>
      <c r="J521" t="s">
        <v>10106</v>
      </c>
      <c r="K521" t="s">
        <v>74</v>
      </c>
      <c r="L521" t="s">
        <v>74</v>
      </c>
      <c r="M521" t="s">
        <v>78</v>
      </c>
      <c r="N521" t="s">
        <v>79</v>
      </c>
      <c r="O521" t="s">
        <v>74</v>
      </c>
      <c r="P521" t="s">
        <v>74</v>
      </c>
      <c r="Q521" t="s">
        <v>74</v>
      </c>
      <c r="R521" t="s">
        <v>74</v>
      </c>
      <c r="S521" t="s">
        <v>74</v>
      </c>
      <c r="T521" t="s">
        <v>74</v>
      </c>
      <c r="U521" t="s">
        <v>10107</v>
      </c>
      <c r="V521" t="s">
        <v>10108</v>
      </c>
      <c r="W521" t="s">
        <v>10109</v>
      </c>
      <c r="X521" t="s">
        <v>10110</v>
      </c>
      <c r="Y521" t="s">
        <v>10111</v>
      </c>
      <c r="Z521" t="s">
        <v>10112</v>
      </c>
      <c r="AA521" t="s">
        <v>74</v>
      </c>
      <c r="AB521" t="s">
        <v>10113</v>
      </c>
      <c r="AC521" t="s">
        <v>10114</v>
      </c>
      <c r="AD521" t="s">
        <v>10115</v>
      </c>
      <c r="AE521" t="s">
        <v>10116</v>
      </c>
      <c r="AF521" t="s">
        <v>74</v>
      </c>
      <c r="AG521">
        <v>86</v>
      </c>
      <c r="AH521">
        <v>0</v>
      </c>
      <c r="AI521">
        <v>0</v>
      </c>
      <c r="AJ521">
        <v>4</v>
      </c>
      <c r="AK521">
        <v>4</v>
      </c>
      <c r="AL521" t="s">
        <v>1075</v>
      </c>
      <c r="AM521" t="s">
        <v>1076</v>
      </c>
      <c r="AN521" t="s">
        <v>1077</v>
      </c>
      <c r="AO521" t="s">
        <v>10117</v>
      </c>
      <c r="AP521" t="s">
        <v>10118</v>
      </c>
      <c r="AQ521" t="s">
        <v>74</v>
      </c>
      <c r="AR521" t="s">
        <v>10119</v>
      </c>
      <c r="AS521" t="s">
        <v>10120</v>
      </c>
      <c r="AT521" t="s">
        <v>1082</v>
      </c>
      <c r="AU521">
        <v>2024</v>
      </c>
      <c r="AV521">
        <v>62</v>
      </c>
      <c r="AW521">
        <v>3</v>
      </c>
      <c r="AX521" t="s">
        <v>74</v>
      </c>
      <c r="AY521" t="s">
        <v>74</v>
      </c>
      <c r="AZ521" t="s">
        <v>74</v>
      </c>
      <c r="BA521" t="s">
        <v>74</v>
      </c>
      <c r="BB521">
        <v>1765</v>
      </c>
      <c r="BC521">
        <v>1782</v>
      </c>
      <c r="BD521" t="s">
        <v>74</v>
      </c>
      <c r="BE521" t="s">
        <v>10121</v>
      </c>
      <c r="BF521" t="str">
        <f>HYPERLINK("http://dx.doi.org/10.1007/s00382-023-06994-2","http://dx.doi.org/10.1007/s00382-023-06994-2")</f>
        <v>http://dx.doi.org/10.1007/s00382-023-06994-2</v>
      </c>
      <c r="BG521" t="s">
        <v>74</v>
      </c>
      <c r="BH521" t="s">
        <v>6982</v>
      </c>
      <c r="BI521">
        <v>18</v>
      </c>
      <c r="BJ521" t="s">
        <v>1522</v>
      </c>
      <c r="BK521" t="s">
        <v>100</v>
      </c>
      <c r="BL521" t="s">
        <v>1522</v>
      </c>
      <c r="BM521" t="s">
        <v>10122</v>
      </c>
      <c r="BN521" t="s">
        <v>74</v>
      </c>
      <c r="BO521" t="s">
        <v>322</v>
      </c>
      <c r="BP521" t="s">
        <v>74</v>
      </c>
      <c r="BQ521" t="s">
        <v>74</v>
      </c>
      <c r="BR521" t="s">
        <v>104</v>
      </c>
      <c r="BS521" t="s">
        <v>10123</v>
      </c>
      <c r="BT521" t="str">
        <f>HYPERLINK("https%3A%2F%2Fwww.webofscience.com%2Fwos%2Fwoscc%2Ffull-record%2FWOS:001095280100002","View Full Record in Web of Science")</f>
        <v>View Full Record in Web of Science</v>
      </c>
    </row>
    <row r="522" spans="1:72" x14ac:dyDescent="0.15">
      <c r="A522" t="s">
        <v>72</v>
      </c>
      <c r="B522" t="s">
        <v>10124</v>
      </c>
      <c r="C522" t="s">
        <v>74</v>
      </c>
      <c r="D522" t="s">
        <v>74</v>
      </c>
      <c r="E522" t="s">
        <v>74</v>
      </c>
      <c r="F522" t="s">
        <v>10125</v>
      </c>
      <c r="G522" t="s">
        <v>74</v>
      </c>
      <c r="H522" t="s">
        <v>74</v>
      </c>
      <c r="I522" t="s">
        <v>10126</v>
      </c>
      <c r="J522" t="s">
        <v>3045</v>
      </c>
      <c r="K522" t="s">
        <v>74</v>
      </c>
      <c r="L522" t="s">
        <v>74</v>
      </c>
      <c r="M522" t="s">
        <v>78</v>
      </c>
      <c r="N522" t="s">
        <v>79</v>
      </c>
      <c r="O522" t="s">
        <v>74</v>
      </c>
      <c r="P522" t="s">
        <v>74</v>
      </c>
      <c r="Q522" t="s">
        <v>74</v>
      </c>
      <c r="R522" t="s">
        <v>74</v>
      </c>
      <c r="S522" t="s">
        <v>74</v>
      </c>
      <c r="T522" t="s">
        <v>74</v>
      </c>
      <c r="U522" t="s">
        <v>10127</v>
      </c>
      <c r="V522" t="s">
        <v>10128</v>
      </c>
      <c r="W522" t="s">
        <v>10129</v>
      </c>
      <c r="X522" t="s">
        <v>10130</v>
      </c>
      <c r="Y522" t="s">
        <v>10131</v>
      </c>
      <c r="Z522" t="s">
        <v>10132</v>
      </c>
      <c r="AA522" t="s">
        <v>74</v>
      </c>
      <c r="AB522" t="s">
        <v>10133</v>
      </c>
      <c r="AC522" t="s">
        <v>10134</v>
      </c>
      <c r="AD522" t="s">
        <v>10135</v>
      </c>
      <c r="AE522" t="s">
        <v>10136</v>
      </c>
      <c r="AF522" t="s">
        <v>74</v>
      </c>
      <c r="AG522">
        <v>72</v>
      </c>
      <c r="AH522">
        <v>0</v>
      </c>
      <c r="AI522">
        <v>0</v>
      </c>
      <c r="AJ522">
        <v>4</v>
      </c>
      <c r="AK522">
        <v>4</v>
      </c>
      <c r="AL522" t="s">
        <v>3057</v>
      </c>
      <c r="AM522" t="s">
        <v>3058</v>
      </c>
      <c r="AN522" t="s">
        <v>3059</v>
      </c>
      <c r="AO522" t="s">
        <v>3060</v>
      </c>
      <c r="AP522" t="s">
        <v>74</v>
      </c>
      <c r="AQ522" t="s">
        <v>74</v>
      </c>
      <c r="AR522" t="s">
        <v>3061</v>
      </c>
      <c r="AS522" t="s">
        <v>3062</v>
      </c>
      <c r="AT522" t="s">
        <v>10137</v>
      </c>
      <c r="AU522">
        <v>2023</v>
      </c>
      <c r="AV522">
        <v>13</v>
      </c>
      <c r="AW522">
        <v>1</v>
      </c>
      <c r="AX522" t="s">
        <v>74</v>
      </c>
      <c r="AY522" t="s">
        <v>74</v>
      </c>
      <c r="AZ522" t="s">
        <v>74</v>
      </c>
      <c r="BA522" t="s">
        <v>74</v>
      </c>
      <c r="BB522" t="s">
        <v>74</v>
      </c>
      <c r="BC522" t="s">
        <v>74</v>
      </c>
      <c r="BD522">
        <v>19067</v>
      </c>
      <c r="BE522" t="s">
        <v>10138</v>
      </c>
      <c r="BF522" t="str">
        <f>HYPERLINK("http://dx.doi.org/10.1038/s41598-023-46168-y","http://dx.doi.org/10.1038/s41598-023-46168-y")</f>
        <v>http://dx.doi.org/10.1038/s41598-023-46168-y</v>
      </c>
      <c r="BG522" t="s">
        <v>74</v>
      </c>
      <c r="BH522" t="s">
        <v>74</v>
      </c>
      <c r="BI522">
        <v>13</v>
      </c>
      <c r="BJ522" t="s">
        <v>1035</v>
      </c>
      <c r="BK522" t="s">
        <v>100</v>
      </c>
      <c r="BL522" t="s">
        <v>1036</v>
      </c>
      <c r="BM522" t="s">
        <v>10139</v>
      </c>
      <c r="BN522">
        <v>37925538</v>
      </c>
      <c r="BO522" t="s">
        <v>265</v>
      </c>
      <c r="BP522" t="s">
        <v>74</v>
      </c>
      <c r="BQ522" t="s">
        <v>74</v>
      </c>
      <c r="BR522" t="s">
        <v>104</v>
      </c>
      <c r="BS522" t="s">
        <v>10140</v>
      </c>
      <c r="BT522" t="str">
        <f>HYPERLINK("https%3A%2F%2Fwww.webofscience.com%2Fwos%2Fwoscc%2Ffull-record%2FWOS:001099663700055","View Full Record in Web of Science")</f>
        <v>View Full Record in Web of Science</v>
      </c>
    </row>
    <row r="523" spans="1:72" x14ac:dyDescent="0.15">
      <c r="A523" t="s">
        <v>72</v>
      </c>
      <c r="B523" t="s">
        <v>10141</v>
      </c>
      <c r="C523" t="s">
        <v>74</v>
      </c>
      <c r="D523" t="s">
        <v>74</v>
      </c>
      <c r="E523" t="s">
        <v>74</v>
      </c>
      <c r="F523" t="s">
        <v>10142</v>
      </c>
      <c r="G523" t="s">
        <v>74</v>
      </c>
      <c r="H523" t="s">
        <v>74</v>
      </c>
      <c r="I523" t="s">
        <v>10143</v>
      </c>
      <c r="J523" t="s">
        <v>10144</v>
      </c>
      <c r="K523" t="s">
        <v>74</v>
      </c>
      <c r="L523" t="s">
        <v>74</v>
      </c>
      <c r="M523" t="s">
        <v>78</v>
      </c>
      <c r="N523" t="s">
        <v>10145</v>
      </c>
      <c r="O523" t="s">
        <v>74</v>
      </c>
      <c r="P523" t="s">
        <v>74</v>
      </c>
      <c r="Q523" t="s">
        <v>74</v>
      </c>
      <c r="R523" t="s">
        <v>74</v>
      </c>
      <c r="S523" t="s">
        <v>74</v>
      </c>
      <c r="T523" t="s">
        <v>74</v>
      </c>
      <c r="U523" t="s">
        <v>74</v>
      </c>
      <c r="V523" t="s">
        <v>74</v>
      </c>
      <c r="W523" t="s">
        <v>74</v>
      </c>
      <c r="X523" t="s">
        <v>74</v>
      </c>
      <c r="Y523" t="s">
        <v>74</v>
      </c>
      <c r="Z523" t="s">
        <v>74</v>
      </c>
      <c r="AA523" t="s">
        <v>74</v>
      </c>
      <c r="AB523" t="s">
        <v>74</v>
      </c>
      <c r="AC523" t="s">
        <v>74</v>
      </c>
      <c r="AD523" t="s">
        <v>74</v>
      </c>
      <c r="AE523" t="s">
        <v>74</v>
      </c>
      <c r="AF523" t="s">
        <v>74</v>
      </c>
      <c r="AG523">
        <v>0</v>
      </c>
      <c r="AH523">
        <v>0</v>
      </c>
      <c r="AI523">
        <v>0</v>
      </c>
      <c r="AJ523">
        <v>0</v>
      </c>
      <c r="AK523">
        <v>0</v>
      </c>
      <c r="AL523" t="s">
        <v>10146</v>
      </c>
      <c r="AM523" t="s">
        <v>2294</v>
      </c>
      <c r="AN523" t="s">
        <v>10147</v>
      </c>
      <c r="AO523" t="s">
        <v>10148</v>
      </c>
      <c r="AP523" t="s">
        <v>74</v>
      </c>
      <c r="AQ523" t="s">
        <v>74</v>
      </c>
      <c r="AR523" t="s">
        <v>10149</v>
      </c>
      <c r="AS523" t="s">
        <v>10150</v>
      </c>
      <c r="AT523" t="s">
        <v>10137</v>
      </c>
      <c r="AU523">
        <v>2023</v>
      </c>
      <c r="AV523">
        <v>246</v>
      </c>
      <c r="AW523">
        <v>3463</v>
      </c>
      <c r="AX523" t="s">
        <v>74</v>
      </c>
      <c r="AY523" t="s">
        <v>74</v>
      </c>
      <c r="AZ523" t="s">
        <v>74</v>
      </c>
      <c r="BA523" t="s">
        <v>74</v>
      </c>
      <c r="BB523">
        <v>17</v>
      </c>
      <c r="BC523">
        <v>17</v>
      </c>
      <c r="BD523" t="s">
        <v>74</v>
      </c>
      <c r="BE523" t="s">
        <v>74</v>
      </c>
      <c r="BF523" t="s">
        <v>74</v>
      </c>
      <c r="BG523" t="s">
        <v>74</v>
      </c>
      <c r="BH523" t="s">
        <v>74</v>
      </c>
      <c r="BI523">
        <v>1</v>
      </c>
      <c r="BJ523" t="s">
        <v>1035</v>
      </c>
      <c r="BK523" t="s">
        <v>100</v>
      </c>
      <c r="BL523" t="s">
        <v>1036</v>
      </c>
      <c r="BM523" t="s">
        <v>10151</v>
      </c>
      <c r="BN523" t="s">
        <v>74</v>
      </c>
      <c r="BO523" t="s">
        <v>74</v>
      </c>
      <c r="BP523" t="s">
        <v>74</v>
      </c>
      <c r="BQ523" t="s">
        <v>74</v>
      </c>
      <c r="BR523" t="s">
        <v>104</v>
      </c>
      <c r="BS523" t="s">
        <v>10152</v>
      </c>
      <c r="BT523" t="str">
        <f>HYPERLINK("https%3A%2F%2Fwww.webofscience.com%2Fwos%2Fwoscc%2Ffull-record%2FWOS:001098324600016","View Full Record in Web of Science")</f>
        <v>View Full Record in Web of Science</v>
      </c>
    </row>
    <row r="524" spans="1:72" x14ac:dyDescent="0.15">
      <c r="A524" t="s">
        <v>72</v>
      </c>
      <c r="B524" t="s">
        <v>10153</v>
      </c>
      <c r="C524" t="s">
        <v>74</v>
      </c>
      <c r="D524" t="s">
        <v>74</v>
      </c>
      <c r="E524" t="s">
        <v>74</v>
      </c>
      <c r="F524" t="s">
        <v>10154</v>
      </c>
      <c r="G524" t="s">
        <v>74</v>
      </c>
      <c r="H524" t="s">
        <v>74</v>
      </c>
      <c r="I524" t="s">
        <v>10155</v>
      </c>
      <c r="J524" t="s">
        <v>2809</v>
      </c>
      <c r="K524" t="s">
        <v>74</v>
      </c>
      <c r="L524" t="s">
        <v>74</v>
      </c>
      <c r="M524" t="s">
        <v>78</v>
      </c>
      <c r="N524" t="s">
        <v>79</v>
      </c>
      <c r="O524" t="s">
        <v>74</v>
      </c>
      <c r="P524" t="s">
        <v>74</v>
      </c>
      <c r="Q524" t="s">
        <v>74</v>
      </c>
      <c r="R524" t="s">
        <v>74</v>
      </c>
      <c r="S524" t="s">
        <v>74</v>
      </c>
      <c r="T524" t="s">
        <v>74</v>
      </c>
      <c r="U524" t="s">
        <v>10156</v>
      </c>
      <c r="V524" t="s">
        <v>10157</v>
      </c>
      <c r="W524" t="s">
        <v>10158</v>
      </c>
      <c r="X524" t="s">
        <v>10159</v>
      </c>
      <c r="Y524" t="s">
        <v>10160</v>
      </c>
      <c r="Z524" t="s">
        <v>10161</v>
      </c>
      <c r="AA524" t="s">
        <v>74</v>
      </c>
      <c r="AB524" t="s">
        <v>10162</v>
      </c>
      <c r="AC524" t="s">
        <v>530</v>
      </c>
      <c r="AD524" t="s">
        <v>530</v>
      </c>
      <c r="AE524" t="s">
        <v>2553</v>
      </c>
      <c r="AF524" t="s">
        <v>74</v>
      </c>
      <c r="AG524">
        <v>65</v>
      </c>
      <c r="AH524">
        <v>0</v>
      </c>
      <c r="AI524">
        <v>0</v>
      </c>
      <c r="AJ524">
        <v>2</v>
      </c>
      <c r="AK524">
        <v>2</v>
      </c>
      <c r="AL524" t="s">
        <v>1838</v>
      </c>
      <c r="AM524" t="s">
        <v>1839</v>
      </c>
      <c r="AN524" t="s">
        <v>1840</v>
      </c>
      <c r="AO524" t="s">
        <v>2818</v>
      </c>
      <c r="AP524" t="s">
        <v>2819</v>
      </c>
      <c r="AQ524" t="s">
        <v>74</v>
      </c>
      <c r="AR524" t="s">
        <v>2809</v>
      </c>
      <c r="AS524" t="s">
        <v>2820</v>
      </c>
      <c r="AT524" t="s">
        <v>10163</v>
      </c>
      <c r="AU524">
        <v>2023</v>
      </c>
      <c r="AV524">
        <v>17</v>
      </c>
      <c r="AW524">
        <v>11</v>
      </c>
      <c r="AX524" t="s">
        <v>74</v>
      </c>
      <c r="AY524" t="s">
        <v>74</v>
      </c>
      <c r="AZ524" t="s">
        <v>74</v>
      </c>
      <c r="BA524" t="s">
        <v>74</v>
      </c>
      <c r="BB524">
        <v>4609</v>
      </c>
      <c r="BC524">
        <v>4628</v>
      </c>
      <c r="BD524" t="s">
        <v>74</v>
      </c>
      <c r="BE524" t="s">
        <v>10164</v>
      </c>
      <c r="BF524" t="str">
        <f>HYPERLINK("http://dx.doi.org/10.5194/tc-17-4609-2023","http://dx.doi.org/10.5194/tc-17-4609-2023")</f>
        <v>http://dx.doi.org/10.5194/tc-17-4609-2023</v>
      </c>
      <c r="BG524" t="s">
        <v>74</v>
      </c>
      <c r="BH524" t="s">
        <v>74</v>
      </c>
      <c r="BI524">
        <v>20</v>
      </c>
      <c r="BJ524" t="s">
        <v>984</v>
      </c>
      <c r="BK524" t="s">
        <v>100</v>
      </c>
      <c r="BL524" t="s">
        <v>985</v>
      </c>
      <c r="BM524" t="s">
        <v>10165</v>
      </c>
      <c r="BN524" t="s">
        <v>74</v>
      </c>
      <c r="BO524" t="s">
        <v>349</v>
      </c>
      <c r="BP524" t="s">
        <v>74</v>
      </c>
      <c r="BQ524" t="s">
        <v>74</v>
      </c>
      <c r="BR524" t="s">
        <v>104</v>
      </c>
      <c r="BS524" t="s">
        <v>10166</v>
      </c>
      <c r="BT524" t="str">
        <f>HYPERLINK("https%3A%2F%2Fwww.webofscience.com%2Fwos%2Fwoscc%2Ffull-record%2FWOS:001170579500001","View Full Record in Web of Science")</f>
        <v>View Full Record in Web of Science</v>
      </c>
    </row>
    <row r="525" spans="1:72" x14ac:dyDescent="0.15">
      <c r="A525" t="s">
        <v>72</v>
      </c>
      <c r="B525" t="s">
        <v>10167</v>
      </c>
      <c r="C525" t="s">
        <v>74</v>
      </c>
      <c r="D525" t="s">
        <v>74</v>
      </c>
      <c r="E525" t="s">
        <v>74</v>
      </c>
      <c r="F525" t="s">
        <v>10168</v>
      </c>
      <c r="G525" t="s">
        <v>74</v>
      </c>
      <c r="H525" t="s">
        <v>74</v>
      </c>
      <c r="I525" t="s">
        <v>10169</v>
      </c>
      <c r="J525" t="s">
        <v>4805</v>
      </c>
      <c r="K525" t="s">
        <v>74</v>
      </c>
      <c r="L525" t="s">
        <v>74</v>
      </c>
      <c r="M525" t="s">
        <v>78</v>
      </c>
      <c r="N525" t="s">
        <v>79</v>
      </c>
      <c r="O525" t="s">
        <v>74</v>
      </c>
      <c r="P525" t="s">
        <v>74</v>
      </c>
      <c r="Q525" t="s">
        <v>74</v>
      </c>
      <c r="R525" t="s">
        <v>74</v>
      </c>
      <c r="S525" t="s">
        <v>74</v>
      </c>
      <c r="T525" t="s">
        <v>10170</v>
      </c>
      <c r="U525" t="s">
        <v>10171</v>
      </c>
      <c r="V525" t="s">
        <v>10172</v>
      </c>
      <c r="W525" t="s">
        <v>10173</v>
      </c>
      <c r="X525" t="s">
        <v>10174</v>
      </c>
      <c r="Y525" t="s">
        <v>10175</v>
      </c>
      <c r="Z525" t="s">
        <v>10176</v>
      </c>
      <c r="AA525" t="s">
        <v>74</v>
      </c>
      <c r="AB525" t="s">
        <v>74</v>
      </c>
      <c r="AC525" t="s">
        <v>10177</v>
      </c>
      <c r="AD525" t="s">
        <v>10178</v>
      </c>
      <c r="AE525" t="s">
        <v>10179</v>
      </c>
      <c r="AF525" t="s">
        <v>74</v>
      </c>
      <c r="AG525">
        <v>70</v>
      </c>
      <c r="AH525">
        <v>0</v>
      </c>
      <c r="AI525">
        <v>0</v>
      </c>
      <c r="AJ525">
        <v>2</v>
      </c>
      <c r="AK525">
        <v>2</v>
      </c>
      <c r="AL525" t="s">
        <v>1560</v>
      </c>
      <c r="AM525" t="s">
        <v>976</v>
      </c>
      <c r="AN525" t="s">
        <v>1561</v>
      </c>
      <c r="AO525" t="s">
        <v>4818</v>
      </c>
      <c r="AP525" t="s">
        <v>4819</v>
      </c>
      <c r="AQ525" t="s">
        <v>74</v>
      </c>
      <c r="AR525" t="s">
        <v>4820</v>
      </c>
      <c r="AS525" t="s">
        <v>4821</v>
      </c>
      <c r="AT525" t="s">
        <v>10163</v>
      </c>
      <c r="AU525">
        <v>2023</v>
      </c>
      <c r="AV525">
        <v>236</v>
      </c>
      <c r="AW525">
        <v>1</v>
      </c>
      <c r="AX525" t="s">
        <v>74</v>
      </c>
      <c r="AY525" t="s">
        <v>74</v>
      </c>
      <c r="AZ525" t="s">
        <v>74</v>
      </c>
      <c r="BA525" t="s">
        <v>74</v>
      </c>
      <c r="BB525">
        <v>362</v>
      </c>
      <c r="BC525">
        <v>378</v>
      </c>
      <c r="BD525" t="s">
        <v>74</v>
      </c>
      <c r="BE525" t="s">
        <v>10180</v>
      </c>
      <c r="BF525" t="str">
        <f>HYPERLINK("http://dx.doi.org/10.1093/gji/ggad434","http://dx.doi.org/10.1093/gji/ggad434")</f>
        <v>http://dx.doi.org/10.1093/gji/ggad434</v>
      </c>
      <c r="BG525" t="s">
        <v>74</v>
      </c>
      <c r="BH525" t="s">
        <v>74</v>
      </c>
      <c r="BI525">
        <v>17</v>
      </c>
      <c r="BJ525" t="s">
        <v>4252</v>
      </c>
      <c r="BK525" t="s">
        <v>100</v>
      </c>
      <c r="BL525" t="s">
        <v>4252</v>
      </c>
      <c r="BM525" t="s">
        <v>10181</v>
      </c>
      <c r="BN525" t="s">
        <v>74</v>
      </c>
      <c r="BO525" t="s">
        <v>3040</v>
      </c>
      <c r="BP525" t="s">
        <v>74</v>
      </c>
      <c r="BQ525" t="s">
        <v>74</v>
      </c>
      <c r="BR525" t="s">
        <v>104</v>
      </c>
      <c r="BS525" t="s">
        <v>10182</v>
      </c>
      <c r="BT525" t="str">
        <f>HYPERLINK("https%3A%2F%2Fwww.webofscience.com%2Fwos%2Fwoscc%2Ffull-record%2FWOS:001124747600012","View Full Record in Web of Science")</f>
        <v>View Full Record in Web of Science</v>
      </c>
    </row>
    <row r="526" spans="1:72" x14ac:dyDescent="0.15">
      <c r="A526" t="s">
        <v>72</v>
      </c>
      <c r="B526" t="s">
        <v>10183</v>
      </c>
      <c r="C526" t="s">
        <v>74</v>
      </c>
      <c r="D526" t="s">
        <v>74</v>
      </c>
      <c r="E526" t="s">
        <v>74</v>
      </c>
      <c r="F526" t="s">
        <v>10184</v>
      </c>
      <c r="G526" t="s">
        <v>74</v>
      </c>
      <c r="H526" t="s">
        <v>74</v>
      </c>
      <c r="I526" t="s">
        <v>10185</v>
      </c>
      <c r="J526" t="s">
        <v>7141</v>
      </c>
      <c r="K526" t="s">
        <v>74</v>
      </c>
      <c r="L526" t="s">
        <v>74</v>
      </c>
      <c r="M526" t="s">
        <v>78</v>
      </c>
      <c r="N526" t="s">
        <v>79</v>
      </c>
      <c r="O526" t="s">
        <v>74</v>
      </c>
      <c r="P526" t="s">
        <v>74</v>
      </c>
      <c r="Q526" t="s">
        <v>74</v>
      </c>
      <c r="R526" t="s">
        <v>74</v>
      </c>
      <c r="S526" t="s">
        <v>74</v>
      </c>
      <c r="T526" t="s">
        <v>10186</v>
      </c>
      <c r="U526" t="s">
        <v>10187</v>
      </c>
      <c r="V526" t="s">
        <v>10188</v>
      </c>
      <c r="W526" t="s">
        <v>10189</v>
      </c>
      <c r="X526" t="s">
        <v>10190</v>
      </c>
      <c r="Y526" t="s">
        <v>10191</v>
      </c>
      <c r="Z526" t="s">
        <v>10192</v>
      </c>
      <c r="AA526" t="s">
        <v>74</v>
      </c>
      <c r="AB526" t="s">
        <v>74</v>
      </c>
      <c r="AC526" t="s">
        <v>10193</v>
      </c>
      <c r="AD526" t="s">
        <v>5074</v>
      </c>
      <c r="AE526" t="s">
        <v>10194</v>
      </c>
      <c r="AF526" t="s">
        <v>74</v>
      </c>
      <c r="AG526">
        <v>58</v>
      </c>
      <c r="AH526">
        <v>0</v>
      </c>
      <c r="AI526">
        <v>0</v>
      </c>
      <c r="AJ526">
        <v>0</v>
      </c>
      <c r="AK526">
        <v>0</v>
      </c>
      <c r="AL526" t="s">
        <v>975</v>
      </c>
      <c r="AM526" t="s">
        <v>976</v>
      </c>
      <c r="AN526" t="s">
        <v>977</v>
      </c>
      <c r="AO526" t="s">
        <v>7151</v>
      </c>
      <c r="AP526" t="s">
        <v>7152</v>
      </c>
      <c r="AQ526" t="s">
        <v>74</v>
      </c>
      <c r="AR526" t="s">
        <v>7153</v>
      </c>
      <c r="AS526" t="s">
        <v>7154</v>
      </c>
      <c r="AT526" t="s">
        <v>1947</v>
      </c>
      <c r="AU526">
        <v>2023</v>
      </c>
      <c r="AV526">
        <v>202</v>
      </c>
      <c r="AW526" t="s">
        <v>74</v>
      </c>
      <c r="AX526" t="s">
        <v>74</v>
      </c>
      <c r="AY526" t="s">
        <v>74</v>
      </c>
      <c r="AZ526" t="s">
        <v>74</v>
      </c>
      <c r="BA526" t="s">
        <v>74</v>
      </c>
      <c r="BB526" t="s">
        <v>74</v>
      </c>
      <c r="BC526" t="s">
        <v>74</v>
      </c>
      <c r="BD526">
        <v>104191</v>
      </c>
      <c r="BE526" t="s">
        <v>10195</v>
      </c>
      <c r="BF526" t="str">
        <f>HYPERLINK("http://dx.doi.org/10.1016/j.dsr.2023.104191","http://dx.doi.org/10.1016/j.dsr.2023.104191")</f>
        <v>http://dx.doi.org/10.1016/j.dsr.2023.104191</v>
      </c>
      <c r="BG526" t="s">
        <v>74</v>
      </c>
      <c r="BH526" t="s">
        <v>6982</v>
      </c>
      <c r="BI526">
        <v>10</v>
      </c>
      <c r="BJ526" t="s">
        <v>5060</v>
      </c>
      <c r="BK526" t="s">
        <v>100</v>
      </c>
      <c r="BL526" t="s">
        <v>5060</v>
      </c>
      <c r="BM526" t="s">
        <v>10196</v>
      </c>
      <c r="BN526" t="s">
        <v>74</v>
      </c>
      <c r="BO526" t="s">
        <v>74</v>
      </c>
      <c r="BP526" t="s">
        <v>74</v>
      </c>
      <c r="BQ526" t="s">
        <v>74</v>
      </c>
      <c r="BR526" t="s">
        <v>104</v>
      </c>
      <c r="BS526" t="s">
        <v>10197</v>
      </c>
      <c r="BT526" t="str">
        <f>HYPERLINK("https%3A%2F%2Fwww.webofscience.com%2Fwos%2Fwoscc%2Ffull-record%2FWOS:001107298500001","View Full Record in Web of Science")</f>
        <v>View Full Record in Web of Science</v>
      </c>
    </row>
    <row r="527" spans="1:72" x14ac:dyDescent="0.15">
      <c r="A527" t="s">
        <v>72</v>
      </c>
      <c r="B527" t="s">
        <v>10198</v>
      </c>
      <c r="C527" t="s">
        <v>74</v>
      </c>
      <c r="D527" t="s">
        <v>74</v>
      </c>
      <c r="E527" t="s">
        <v>74</v>
      </c>
      <c r="F527" t="s">
        <v>10199</v>
      </c>
      <c r="G527" t="s">
        <v>74</v>
      </c>
      <c r="H527" t="s">
        <v>74</v>
      </c>
      <c r="I527" t="s">
        <v>10200</v>
      </c>
      <c r="J527" t="s">
        <v>10042</v>
      </c>
      <c r="K527" t="s">
        <v>74</v>
      </c>
      <c r="L527" t="s">
        <v>74</v>
      </c>
      <c r="M527" t="s">
        <v>78</v>
      </c>
      <c r="N527" t="s">
        <v>79</v>
      </c>
      <c r="O527" t="s">
        <v>74</v>
      </c>
      <c r="P527" t="s">
        <v>74</v>
      </c>
      <c r="Q527" t="s">
        <v>74</v>
      </c>
      <c r="R527" t="s">
        <v>74</v>
      </c>
      <c r="S527" t="s">
        <v>74</v>
      </c>
      <c r="T527" t="s">
        <v>10201</v>
      </c>
      <c r="U527" t="s">
        <v>10202</v>
      </c>
      <c r="V527" t="s">
        <v>10203</v>
      </c>
      <c r="W527" t="s">
        <v>10204</v>
      </c>
      <c r="X527" t="s">
        <v>10205</v>
      </c>
      <c r="Y527" t="s">
        <v>10206</v>
      </c>
      <c r="Z527" t="s">
        <v>10207</v>
      </c>
      <c r="AA527" t="s">
        <v>10208</v>
      </c>
      <c r="AB527" t="s">
        <v>10209</v>
      </c>
      <c r="AC527" t="s">
        <v>10210</v>
      </c>
      <c r="AD527" t="s">
        <v>10211</v>
      </c>
      <c r="AE527" t="s">
        <v>10212</v>
      </c>
      <c r="AF527" t="s">
        <v>74</v>
      </c>
      <c r="AG527">
        <v>64</v>
      </c>
      <c r="AH527">
        <v>0</v>
      </c>
      <c r="AI527">
        <v>0</v>
      </c>
      <c r="AJ527">
        <v>3</v>
      </c>
      <c r="AK527">
        <v>3</v>
      </c>
      <c r="AL527" t="s">
        <v>947</v>
      </c>
      <c r="AM527" t="s">
        <v>948</v>
      </c>
      <c r="AN527" t="s">
        <v>949</v>
      </c>
      <c r="AO527" t="s">
        <v>10053</v>
      </c>
      <c r="AP527" t="s">
        <v>10054</v>
      </c>
      <c r="AQ527" t="s">
        <v>74</v>
      </c>
      <c r="AR527" t="s">
        <v>10055</v>
      </c>
      <c r="AS527" t="s">
        <v>10056</v>
      </c>
      <c r="AT527" t="s">
        <v>8300</v>
      </c>
      <c r="AU527">
        <v>2023</v>
      </c>
      <c r="AV527">
        <v>257</v>
      </c>
      <c r="AW527" t="s">
        <v>74</v>
      </c>
      <c r="AX527" t="s">
        <v>74</v>
      </c>
      <c r="AY527" t="s">
        <v>74</v>
      </c>
      <c r="AZ527" t="s">
        <v>74</v>
      </c>
      <c r="BA527" t="s">
        <v>74</v>
      </c>
      <c r="BB527" t="s">
        <v>74</v>
      </c>
      <c r="BC527" t="s">
        <v>74</v>
      </c>
      <c r="BD527">
        <v>104329</v>
      </c>
      <c r="BE527" t="s">
        <v>10213</v>
      </c>
      <c r="BF527" t="str">
        <f>HYPERLINK("http://dx.doi.org/10.1016/j.marchem.2023.104329","http://dx.doi.org/10.1016/j.marchem.2023.104329")</f>
        <v>http://dx.doi.org/10.1016/j.marchem.2023.104329</v>
      </c>
      <c r="BG527" t="s">
        <v>74</v>
      </c>
      <c r="BH527" t="s">
        <v>6982</v>
      </c>
      <c r="BI527">
        <v>10</v>
      </c>
      <c r="BJ527" t="s">
        <v>10058</v>
      </c>
      <c r="BK527" t="s">
        <v>100</v>
      </c>
      <c r="BL527" t="s">
        <v>10059</v>
      </c>
      <c r="BM527" t="s">
        <v>10214</v>
      </c>
      <c r="BN527" t="s">
        <v>74</v>
      </c>
      <c r="BO527" t="s">
        <v>74</v>
      </c>
      <c r="BP527" t="s">
        <v>74</v>
      </c>
      <c r="BQ527" t="s">
        <v>74</v>
      </c>
      <c r="BR527" t="s">
        <v>104</v>
      </c>
      <c r="BS527" t="s">
        <v>10215</v>
      </c>
      <c r="BT527" t="str">
        <f>HYPERLINK("https%3A%2F%2Fwww.webofscience.com%2Fwos%2Fwoscc%2Ffull-record%2FWOS:001108260000001","View Full Record in Web of Science")</f>
        <v>View Full Record in Web of Science</v>
      </c>
    </row>
    <row r="528" spans="1:72" x14ac:dyDescent="0.15">
      <c r="A528" t="s">
        <v>72</v>
      </c>
      <c r="B528" t="s">
        <v>10216</v>
      </c>
      <c r="C528" t="s">
        <v>74</v>
      </c>
      <c r="D528" t="s">
        <v>74</v>
      </c>
      <c r="E528" t="s">
        <v>74</v>
      </c>
      <c r="F528" t="s">
        <v>10217</v>
      </c>
      <c r="G528" t="s">
        <v>74</v>
      </c>
      <c r="H528" t="s">
        <v>74</v>
      </c>
      <c r="I528" t="s">
        <v>10218</v>
      </c>
      <c r="J528" t="s">
        <v>1116</v>
      </c>
      <c r="K528" t="s">
        <v>74</v>
      </c>
      <c r="L528" t="s">
        <v>74</v>
      </c>
      <c r="M528" t="s">
        <v>78</v>
      </c>
      <c r="N528" t="s">
        <v>79</v>
      </c>
      <c r="O528" t="s">
        <v>74</v>
      </c>
      <c r="P528" t="s">
        <v>74</v>
      </c>
      <c r="Q528" t="s">
        <v>74</v>
      </c>
      <c r="R528" t="s">
        <v>74</v>
      </c>
      <c r="S528" t="s">
        <v>74</v>
      </c>
      <c r="T528" t="s">
        <v>10219</v>
      </c>
      <c r="U528" t="s">
        <v>10220</v>
      </c>
      <c r="V528" t="s">
        <v>10221</v>
      </c>
      <c r="W528" t="s">
        <v>10222</v>
      </c>
      <c r="X528" t="s">
        <v>10223</v>
      </c>
      <c r="Y528" t="s">
        <v>10224</v>
      </c>
      <c r="Z528" t="s">
        <v>10225</v>
      </c>
      <c r="AA528" t="s">
        <v>10226</v>
      </c>
      <c r="AB528" t="s">
        <v>10227</v>
      </c>
      <c r="AC528" t="s">
        <v>10228</v>
      </c>
      <c r="AD528" t="s">
        <v>10229</v>
      </c>
      <c r="AE528" t="s">
        <v>10230</v>
      </c>
      <c r="AF528" t="s">
        <v>74</v>
      </c>
      <c r="AG528">
        <v>73</v>
      </c>
      <c r="AH528">
        <v>1</v>
      </c>
      <c r="AI528">
        <v>1</v>
      </c>
      <c r="AJ528">
        <v>14</v>
      </c>
      <c r="AK528">
        <v>14</v>
      </c>
      <c r="AL528" t="s">
        <v>975</v>
      </c>
      <c r="AM528" t="s">
        <v>976</v>
      </c>
      <c r="AN528" t="s">
        <v>977</v>
      </c>
      <c r="AO528" t="s">
        <v>1129</v>
      </c>
      <c r="AP528" t="s">
        <v>1130</v>
      </c>
      <c r="AQ528" t="s">
        <v>74</v>
      </c>
      <c r="AR528" t="s">
        <v>1131</v>
      </c>
      <c r="AS528" t="s">
        <v>1132</v>
      </c>
      <c r="AT528" t="s">
        <v>1947</v>
      </c>
      <c r="AU528">
        <v>2023</v>
      </c>
      <c r="AV528">
        <v>197</v>
      </c>
      <c r="AW528" t="s">
        <v>74</v>
      </c>
      <c r="AX528" t="s">
        <v>74</v>
      </c>
      <c r="AY528" t="s">
        <v>74</v>
      </c>
      <c r="AZ528" t="s">
        <v>74</v>
      </c>
      <c r="BA528" t="s">
        <v>74</v>
      </c>
      <c r="BB528" t="s">
        <v>74</v>
      </c>
      <c r="BC528" t="s">
        <v>74</v>
      </c>
      <c r="BD528">
        <v>115699</v>
      </c>
      <c r="BE528" t="s">
        <v>10231</v>
      </c>
      <c r="BF528" t="str">
        <f>HYPERLINK("http://dx.doi.org/10.1016/j.marpolbul.2023.115699","http://dx.doi.org/10.1016/j.marpolbul.2023.115699")</f>
        <v>http://dx.doi.org/10.1016/j.marpolbul.2023.115699</v>
      </c>
      <c r="BG528" t="s">
        <v>74</v>
      </c>
      <c r="BH528" t="s">
        <v>6982</v>
      </c>
      <c r="BI528">
        <v>9</v>
      </c>
      <c r="BJ528" t="s">
        <v>1135</v>
      </c>
      <c r="BK528" t="s">
        <v>100</v>
      </c>
      <c r="BL528" t="s">
        <v>1136</v>
      </c>
      <c r="BM528" t="s">
        <v>10232</v>
      </c>
      <c r="BN528">
        <v>37924734</v>
      </c>
      <c r="BO528" t="s">
        <v>322</v>
      </c>
      <c r="BP528" t="s">
        <v>74</v>
      </c>
      <c r="BQ528" t="s">
        <v>74</v>
      </c>
      <c r="BR528" t="s">
        <v>104</v>
      </c>
      <c r="BS528" t="s">
        <v>10233</v>
      </c>
      <c r="BT528" t="str">
        <f>HYPERLINK("https%3A%2F%2Fwww.webofscience.com%2Fwos%2Fwoscc%2Ffull-record%2FWOS:001106936000001","View Full Record in Web of Science")</f>
        <v>View Full Record in Web of Science</v>
      </c>
    </row>
    <row r="529" spans="1:72" x14ac:dyDescent="0.15">
      <c r="A529" t="s">
        <v>72</v>
      </c>
      <c r="B529" t="s">
        <v>10234</v>
      </c>
      <c r="C529" t="s">
        <v>74</v>
      </c>
      <c r="D529" t="s">
        <v>74</v>
      </c>
      <c r="E529" t="s">
        <v>74</v>
      </c>
      <c r="F529" t="s">
        <v>10235</v>
      </c>
      <c r="G529" t="s">
        <v>74</v>
      </c>
      <c r="H529" t="s">
        <v>74</v>
      </c>
      <c r="I529" t="s">
        <v>10236</v>
      </c>
      <c r="J529" t="s">
        <v>7216</v>
      </c>
      <c r="K529" t="s">
        <v>74</v>
      </c>
      <c r="L529" t="s">
        <v>74</v>
      </c>
      <c r="M529" t="s">
        <v>78</v>
      </c>
      <c r="N529" t="s">
        <v>79</v>
      </c>
      <c r="O529" t="s">
        <v>74</v>
      </c>
      <c r="P529" t="s">
        <v>74</v>
      </c>
      <c r="Q529" t="s">
        <v>74</v>
      </c>
      <c r="R529" t="s">
        <v>74</v>
      </c>
      <c r="S529" t="s">
        <v>74</v>
      </c>
      <c r="T529" t="s">
        <v>10237</v>
      </c>
      <c r="U529" t="s">
        <v>10238</v>
      </c>
      <c r="V529" t="s">
        <v>10239</v>
      </c>
      <c r="W529" t="s">
        <v>10240</v>
      </c>
      <c r="X529" t="s">
        <v>10241</v>
      </c>
      <c r="Y529" t="s">
        <v>10242</v>
      </c>
      <c r="Z529" t="s">
        <v>10243</v>
      </c>
      <c r="AA529" t="s">
        <v>74</v>
      </c>
      <c r="AB529" t="s">
        <v>74</v>
      </c>
      <c r="AC529" t="s">
        <v>10244</v>
      </c>
      <c r="AD529" t="s">
        <v>10244</v>
      </c>
      <c r="AE529" t="s">
        <v>10245</v>
      </c>
      <c r="AF529" t="s">
        <v>74</v>
      </c>
      <c r="AG529">
        <v>49</v>
      </c>
      <c r="AH529">
        <v>1</v>
      </c>
      <c r="AI529">
        <v>1</v>
      </c>
      <c r="AJ529">
        <v>1</v>
      </c>
      <c r="AK529">
        <v>1</v>
      </c>
      <c r="AL529" t="s">
        <v>7225</v>
      </c>
      <c r="AM529" t="s">
        <v>2294</v>
      </c>
      <c r="AN529" t="s">
        <v>7226</v>
      </c>
      <c r="AO529" t="s">
        <v>7227</v>
      </c>
      <c r="AP529" t="s">
        <v>74</v>
      </c>
      <c r="AQ529" t="s">
        <v>74</v>
      </c>
      <c r="AR529" t="s">
        <v>7216</v>
      </c>
      <c r="AS529" t="s">
        <v>7228</v>
      </c>
      <c r="AT529" t="s">
        <v>10163</v>
      </c>
      <c r="AU529">
        <v>2023</v>
      </c>
      <c r="AV529">
        <v>11</v>
      </c>
      <c r="AW529" t="s">
        <v>74</v>
      </c>
      <c r="AX529" t="s">
        <v>74</v>
      </c>
      <c r="AY529" t="s">
        <v>74</v>
      </c>
      <c r="AZ529" t="s">
        <v>74</v>
      </c>
      <c r="BA529" t="s">
        <v>74</v>
      </c>
      <c r="BB529" t="s">
        <v>74</v>
      </c>
      <c r="BC529" t="s">
        <v>74</v>
      </c>
      <c r="BD529" t="s">
        <v>10246</v>
      </c>
      <c r="BE529" t="s">
        <v>10247</v>
      </c>
      <c r="BF529" t="str">
        <f>HYPERLINK("http://dx.doi.org/10.7717/peerj.16186","http://dx.doi.org/10.7717/peerj.16186")</f>
        <v>http://dx.doi.org/10.7717/peerj.16186</v>
      </c>
      <c r="BG529" t="s">
        <v>74</v>
      </c>
      <c r="BH529" t="s">
        <v>74</v>
      </c>
      <c r="BI529">
        <v>32</v>
      </c>
      <c r="BJ529" t="s">
        <v>1035</v>
      </c>
      <c r="BK529" t="s">
        <v>100</v>
      </c>
      <c r="BL529" t="s">
        <v>1036</v>
      </c>
      <c r="BM529" t="s">
        <v>10248</v>
      </c>
      <c r="BN529">
        <v>37941930</v>
      </c>
      <c r="BO529" t="s">
        <v>200</v>
      </c>
      <c r="BP529" t="s">
        <v>74</v>
      </c>
      <c r="BQ529" t="s">
        <v>74</v>
      </c>
      <c r="BR529" t="s">
        <v>104</v>
      </c>
      <c r="BS529" t="s">
        <v>10249</v>
      </c>
      <c r="BT529" t="str">
        <f>HYPERLINK("https%3A%2F%2Fwww.webofscience.com%2Fwos%2Fwoscc%2Ffull-record%2FWOS:001108623700001","View Full Record in Web of Science")</f>
        <v>View Full Record in Web of Science</v>
      </c>
    </row>
    <row r="530" spans="1:72" x14ac:dyDescent="0.15">
      <c r="A530" t="s">
        <v>72</v>
      </c>
      <c r="B530" t="s">
        <v>10250</v>
      </c>
      <c r="C530" t="s">
        <v>74</v>
      </c>
      <c r="D530" t="s">
        <v>74</v>
      </c>
      <c r="E530" t="s">
        <v>74</v>
      </c>
      <c r="F530" t="s">
        <v>10251</v>
      </c>
      <c r="G530" t="s">
        <v>74</v>
      </c>
      <c r="H530" t="s">
        <v>74</v>
      </c>
      <c r="I530" t="s">
        <v>10252</v>
      </c>
      <c r="J530" t="s">
        <v>10253</v>
      </c>
      <c r="K530" t="s">
        <v>74</v>
      </c>
      <c r="L530" t="s">
        <v>74</v>
      </c>
      <c r="M530" t="s">
        <v>78</v>
      </c>
      <c r="N530" t="s">
        <v>79</v>
      </c>
      <c r="O530" t="s">
        <v>74</v>
      </c>
      <c r="P530" t="s">
        <v>74</v>
      </c>
      <c r="Q530" t="s">
        <v>74</v>
      </c>
      <c r="R530" t="s">
        <v>74</v>
      </c>
      <c r="S530" t="s">
        <v>74</v>
      </c>
      <c r="T530" t="s">
        <v>10254</v>
      </c>
      <c r="U530" t="s">
        <v>10255</v>
      </c>
      <c r="V530" t="s">
        <v>10256</v>
      </c>
      <c r="W530" t="s">
        <v>10257</v>
      </c>
      <c r="X530" t="s">
        <v>10258</v>
      </c>
      <c r="Y530" t="s">
        <v>10259</v>
      </c>
      <c r="Z530" t="s">
        <v>10260</v>
      </c>
      <c r="AA530" t="s">
        <v>74</v>
      </c>
      <c r="AB530" t="s">
        <v>10261</v>
      </c>
      <c r="AC530" t="s">
        <v>10262</v>
      </c>
      <c r="AD530" t="s">
        <v>10263</v>
      </c>
      <c r="AE530" t="s">
        <v>10264</v>
      </c>
      <c r="AF530" t="s">
        <v>74</v>
      </c>
      <c r="AG530">
        <v>196</v>
      </c>
      <c r="AH530">
        <v>1</v>
      </c>
      <c r="AI530">
        <v>1</v>
      </c>
      <c r="AJ530">
        <v>19</v>
      </c>
      <c r="AK530">
        <v>19</v>
      </c>
      <c r="AL530" t="s">
        <v>1560</v>
      </c>
      <c r="AM530" t="s">
        <v>976</v>
      </c>
      <c r="AN530" t="s">
        <v>1561</v>
      </c>
      <c r="AO530" t="s">
        <v>10265</v>
      </c>
      <c r="AP530" t="s">
        <v>10266</v>
      </c>
      <c r="AQ530" t="s">
        <v>74</v>
      </c>
      <c r="AR530" t="s">
        <v>10267</v>
      </c>
      <c r="AS530" t="s">
        <v>10268</v>
      </c>
      <c r="AT530" t="s">
        <v>10163</v>
      </c>
      <c r="AU530">
        <v>2023</v>
      </c>
      <c r="AV530">
        <v>40</v>
      </c>
      <c r="AW530">
        <v>11</v>
      </c>
      <c r="AX530" t="s">
        <v>74</v>
      </c>
      <c r="AY530" t="s">
        <v>74</v>
      </c>
      <c r="AZ530" t="s">
        <v>74</v>
      </c>
      <c r="BA530" t="s">
        <v>74</v>
      </c>
      <c r="BB530" t="s">
        <v>74</v>
      </c>
      <c r="BC530" t="s">
        <v>74</v>
      </c>
      <c r="BD530" t="s">
        <v>10269</v>
      </c>
      <c r="BE530" t="s">
        <v>10270</v>
      </c>
      <c r="BF530" t="str">
        <f>HYPERLINK("http://dx.doi.org/10.1093/molbev/msad225","http://dx.doi.org/10.1093/molbev/msad225")</f>
        <v>http://dx.doi.org/10.1093/molbev/msad225</v>
      </c>
      <c r="BG530" t="s">
        <v>74</v>
      </c>
      <c r="BH530" t="s">
        <v>74</v>
      </c>
      <c r="BI530">
        <v>21</v>
      </c>
      <c r="BJ530" t="s">
        <v>7867</v>
      </c>
      <c r="BK530" t="s">
        <v>100</v>
      </c>
      <c r="BL530" t="s">
        <v>7867</v>
      </c>
      <c r="BM530" t="s">
        <v>10271</v>
      </c>
      <c r="BN530">
        <v>37816123</v>
      </c>
      <c r="BO530" t="s">
        <v>200</v>
      </c>
      <c r="BP530" t="s">
        <v>74</v>
      </c>
      <c r="BQ530" t="s">
        <v>74</v>
      </c>
      <c r="BR530" t="s">
        <v>104</v>
      </c>
      <c r="BS530" t="s">
        <v>10272</v>
      </c>
      <c r="BT530" t="str">
        <f>HYPERLINK("https%3A%2F%2Fwww.webofscience.com%2Fwos%2Fwoscc%2Ffull-record%2FWOS:001101071200001","View Full Record in Web of Science")</f>
        <v>View Full Record in Web of Science</v>
      </c>
    </row>
    <row r="531" spans="1:72" x14ac:dyDescent="0.15">
      <c r="A531" t="s">
        <v>72</v>
      </c>
      <c r="B531" t="s">
        <v>10273</v>
      </c>
      <c r="C531" t="s">
        <v>74</v>
      </c>
      <c r="D531" t="s">
        <v>74</v>
      </c>
      <c r="E531" t="s">
        <v>74</v>
      </c>
      <c r="F531" t="s">
        <v>10274</v>
      </c>
      <c r="G531" t="s">
        <v>74</v>
      </c>
      <c r="H531" t="s">
        <v>74</v>
      </c>
      <c r="I531" t="s">
        <v>10275</v>
      </c>
      <c r="J531" t="s">
        <v>10253</v>
      </c>
      <c r="K531" t="s">
        <v>74</v>
      </c>
      <c r="L531" t="s">
        <v>74</v>
      </c>
      <c r="M531" t="s">
        <v>78</v>
      </c>
      <c r="N531" t="s">
        <v>79</v>
      </c>
      <c r="O531" t="s">
        <v>74</v>
      </c>
      <c r="P531" t="s">
        <v>74</v>
      </c>
      <c r="Q531" t="s">
        <v>74</v>
      </c>
      <c r="R531" t="s">
        <v>74</v>
      </c>
      <c r="S531" t="s">
        <v>74</v>
      </c>
      <c r="T531" t="s">
        <v>10276</v>
      </c>
      <c r="U531" t="s">
        <v>10277</v>
      </c>
      <c r="V531" t="s">
        <v>10278</v>
      </c>
      <c r="W531" t="s">
        <v>10279</v>
      </c>
      <c r="X531" t="s">
        <v>10280</v>
      </c>
      <c r="Y531" t="s">
        <v>10281</v>
      </c>
      <c r="Z531" t="s">
        <v>10282</v>
      </c>
      <c r="AA531" t="s">
        <v>10283</v>
      </c>
      <c r="AB531" t="s">
        <v>10284</v>
      </c>
      <c r="AC531" t="s">
        <v>10285</v>
      </c>
      <c r="AD531" t="s">
        <v>10286</v>
      </c>
      <c r="AE531" t="s">
        <v>10287</v>
      </c>
      <c r="AF531" t="s">
        <v>74</v>
      </c>
      <c r="AG531">
        <v>114</v>
      </c>
      <c r="AH531">
        <v>1</v>
      </c>
      <c r="AI531">
        <v>1</v>
      </c>
      <c r="AJ531">
        <v>11</v>
      </c>
      <c r="AK531">
        <v>11</v>
      </c>
      <c r="AL531" t="s">
        <v>1560</v>
      </c>
      <c r="AM531" t="s">
        <v>976</v>
      </c>
      <c r="AN531" t="s">
        <v>1561</v>
      </c>
      <c r="AO531" t="s">
        <v>10265</v>
      </c>
      <c r="AP531" t="s">
        <v>10266</v>
      </c>
      <c r="AQ531" t="s">
        <v>74</v>
      </c>
      <c r="AR531" t="s">
        <v>10267</v>
      </c>
      <c r="AS531" t="s">
        <v>10268</v>
      </c>
      <c r="AT531" t="s">
        <v>10163</v>
      </c>
      <c r="AU531">
        <v>2023</v>
      </c>
      <c r="AV531">
        <v>40</v>
      </c>
      <c r="AW531">
        <v>11</v>
      </c>
      <c r="AX531" t="s">
        <v>74</v>
      </c>
      <c r="AY531" t="s">
        <v>74</v>
      </c>
      <c r="AZ531" t="s">
        <v>74</v>
      </c>
      <c r="BA531" t="s">
        <v>74</v>
      </c>
      <c r="BB531" t="s">
        <v>74</v>
      </c>
      <c r="BC531" t="s">
        <v>74</v>
      </c>
      <c r="BD531" t="s">
        <v>10288</v>
      </c>
      <c r="BE531" t="s">
        <v>10289</v>
      </c>
      <c r="BF531" t="str">
        <f>HYPERLINK("http://dx.doi.org/10.1093/molbev/msad236","http://dx.doi.org/10.1093/molbev/msad236")</f>
        <v>http://dx.doi.org/10.1093/molbev/msad236</v>
      </c>
      <c r="BG531" t="s">
        <v>74</v>
      </c>
      <c r="BH531" t="s">
        <v>74</v>
      </c>
      <c r="BI531">
        <v>23</v>
      </c>
      <c r="BJ531" t="s">
        <v>7867</v>
      </c>
      <c r="BK531" t="s">
        <v>100</v>
      </c>
      <c r="BL531" t="s">
        <v>7867</v>
      </c>
      <c r="BM531" t="s">
        <v>10290</v>
      </c>
      <c r="BN531">
        <v>37879119</v>
      </c>
      <c r="BO531" t="s">
        <v>200</v>
      </c>
      <c r="BP531" t="s">
        <v>74</v>
      </c>
      <c r="BQ531" t="s">
        <v>74</v>
      </c>
      <c r="BR531" t="s">
        <v>104</v>
      </c>
      <c r="BS531" t="s">
        <v>10291</v>
      </c>
      <c r="BT531" t="str">
        <f>HYPERLINK("https%3A%2F%2Fwww.webofscience.com%2Fwos%2Fwoscc%2Ffull-record%2FWOS:001104175600001","View Full Record in Web of Science")</f>
        <v>View Full Record in Web of Science</v>
      </c>
    </row>
    <row r="532" spans="1:72" x14ac:dyDescent="0.15">
      <c r="A532" t="s">
        <v>72</v>
      </c>
      <c r="B532" t="s">
        <v>10292</v>
      </c>
      <c r="C532" t="s">
        <v>74</v>
      </c>
      <c r="D532" t="s">
        <v>74</v>
      </c>
      <c r="E532" t="s">
        <v>74</v>
      </c>
      <c r="F532" t="s">
        <v>10293</v>
      </c>
      <c r="G532" t="s">
        <v>74</v>
      </c>
      <c r="H532" t="s">
        <v>74</v>
      </c>
      <c r="I532" t="s">
        <v>10294</v>
      </c>
      <c r="J532" t="s">
        <v>10295</v>
      </c>
      <c r="K532" t="s">
        <v>74</v>
      </c>
      <c r="L532" t="s">
        <v>74</v>
      </c>
      <c r="M532" t="s">
        <v>78</v>
      </c>
      <c r="N532" t="s">
        <v>1547</v>
      </c>
      <c r="O532" t="s">
        <v>74</v>
      </c>
      <c r="P532" t="s">
        <v>74</v>
      </c>
      <c r="Q532" t="s">
        <v>74</v>
      </c>
      <c r="R532" t="s">
        <v>74</v>
      </c>
      <c r="S532" t="s">
        <v>74</v>
      </c>
      <c r="T532" t="s">
        <v>10296</v>
      </c>
      <c r="U532" t="s">
        <v>10297</v>
      </c>
      <c r="V532" t="s">
        <v>10298</v>
      </c>
      <c r="W532" t="s">
        <v>10299</v>
      </c>
      <c r="X532" t="s">
        <v>10300</v>
      </c>
      <c r="Y532" t="s">
        <v>10301</v>
      </c>
      <c r="Z532" t="s">
        <v>10302</v>
      </c>
      <c r="AA532" t="s">
        <v>74</v>
      </c>
      <c r="AB532" t="s">
        <v>10303</v>
      </c>
      <c r="AC532" t="s">
        <v>10304</v>
      </c>
      <c r="AD532" t="s">
        <v>10305</v>
      </c>
      <c r="AE532" t="s">
        <v>10306</v>
      </c>
      <c r="AF532" t="s">
        <v>74</v>
      </c>
      <c r="AG532">
        <v>75</v>
      </c>
      <c r="AH532">
        <v>0</v>
      </c>
      <c r="AI532">
        <v>0</v>
      </c>
      <c r="AJ532">
        <v>1</v>
      </c>
      <c r="AK532">
        <v>1</v>
      </c>
      <c r="AL532" t="s">
        <v>1075</v>
      </c>
      <c r="AM532" t="s">
        <v>2949</v>
      </c>
      <c r="AN532" t="s">
        <v>2950</v>
      </c>
      <c r="AO532" t="s">
        <v>10307</v>
      </c>
      <c r="AP532" t="s">
        <v>10308</v>
      </c>
      <c r="AQ532" t="s">
        <v>74</v>
      </c>
      <c r="AR532" t="s">
        <v>10309</v>
      </c>
      <c r="AS532" t="s">
        <v>10310</v>
      </c>
      <c r="AT532" t="s">
        <v>10311</v>
      </c>
      <c r="AU532">
        <v>2023</v>
      </c>
      <c r="AV532" t="s">
        <v>74</v>
      </c>
      <c r="AW532" t="s">
        <v>74</v>
      </c>
      <c r="AX532" t="s">
        <v>74</v>
      </c>
      <c r="AY532" t="s">
        <v>74</v>
      </c>
      <c r="AZ532" t="s">
        <v>74</v>
      </c>
      <c r="BA532" t="s">
        <v>74</v>
      </c>
      <c r="BB532" t="s">
        <v>74</v>
      </c>
      <c r="BC532" t="s">
        <v>74</v>
      </c>
      <c r="BD532" t="s">
        <v>74</v>
      </c>
      <c r="BE532" t="s">
        <v>10312</v>
      </c>
      <c r="BF532" t="str">
        <f>HYPERLINK("http://dx.doi.org/10.1007/s10811-023-03114-9","http://dx.doi.org/10.1007/s10811-023-03114-9")</f>
        <v>http://dx.doi.org/10.1007/s10811-023-03114-9</v>
      </c>
      <c r="BG532" t="s">
        <v>74</v>
      </c>
      <c r="BH532" t="s">
        <v>6982</v>
      </c>
      <c r="BI532">
        <v>14</v>
      </c>
      <c r="BJ532" t="s">
        <v>10313</v>
      </c>
      <c r="BK532" t="s">
        <v>100</v>
      </c>
      <c r="BL532" t="s">
        <v>10313</v>
      </c>
      <c r="BM532" t="s">
        <v>10314</v>
      </c>
      <c r="BN532" t="s">
        <v>74</v>
      </c>
      <c r="BO532" t="s">
        <v>74</v>
      </c>
      <c r="BP532" t="s">
        <v>74</v>
      </c>
      <c r="BQ532" t="s">
        <v>74</v>
      </c>
      <c r="BR532" t="s">
        <v>104</v>
      </c>
      <c r="BS532" t="s">
        <v>10315</v>
      </c>
      <c r="BT532" t="str">
        <f>HYPERLINK("https%3A%2F%2Fwww.webofscience.com%2Fwos%2Fwoscc%2Ffull-record%2FWOS:001098652200003","View Full Record in Web of Science")</f>
        <v>View Full Record in Web of Science</v>
      </c>
    </row>
    <row r="533" spans="1:72" x14ac:dyDescent="0.15">
      <c r="A533" t="s">
        <v>72</v>
      </c>
      <c r="B533" t="s">
        <v>10316</v>
      </c>
      <c r="C533" t="s">
        <v>74</v>
      </c>
      <c r="D533" t="s">
        <v>74</v>
      </c>
      <c r="E533" t="s">
        <v>74</v>
      </c>
      <c r="F533" t="s">
        <v>10317</v>
      </c>
      <c r="G533" t="s">
        <v>74</v>
      </c>
      <c r="H533" t="s">
        <v>74</v>
      </c>
      <c r="I533" t="s">
        <v>10318</v>
      </c>
      <c r="J533" t="s">
        <v>2366</v>
      </c>
      <c r="K533" t="s">
        <v>74</v>
      </c>
      <c r="L533" t="s">
        <v>74</v>
      </c>
      <c r="M533" t="s">
        <v>78</v>
      </c>
      <c r="N533" t="s">
        <v>79</v>
      </c>
      <c r="O533" t="s">
        <v>74</v>
      </c>
      <c r="P533" t="s">
        <v>74</v>
      </c>
      <c r="Q533" t="s">
        <v>74</v>
      </c>
      <c r="R533" t="s">
        <v>74</v>
      </c>
      <c r="S533" t="s">
        <v>74</v>
      </c>
      <c r="T533" t="s">
        <v>74</v>
      </c>
      <c r="U533" t="s">
        <v>10319</v>
      </c>
      <c r="V533" t="s">
        <v>10320</v>
      </c>
      <c r="W533" t="s">
        <v>10321</v>
      </c>
      <c r="X533" t="s">
        <v>10322</v>
      </c>
      <c r="Y533" t="s">
        <v>10323</v>
      </c>
      <c r="Z533" t="s">
        <v>10324</v>
      </c>
      <c r="AA533" t="s">
        <v>10325</v>
      </c>
      <c r="AB533" t="s">
        <v>10326</v>
      </c>
      <c r="AC533" t="s">
        <v>10327</v>
      </c>
      <c r="AD533" t="s">
        <v>10328</v>
      </c>
      <c r="AE533" t="s">
        <v>10329</v>
      </c>
      <c r="AF533" t="s">
        <v>74</v>
      </c>
      <c r="AG533">
        <v>102</v>
      </c>
      <c r="AH533">
        <v>0</v>
      </c>
      <c r="AI533">
        <v>0</v>
      </c>
      <c r="AJ533">
        <v>10</v>
      </c>
      <c r="AK533">
        <v>10</v>
      </c>
      <c r="AL533" t="s">
        <v>1838</v>
      </c>
      <c r="AM533" t="s">
        <v>1839</v>
      </c>
      <c r="AN533" t="s">
        <v>1840</v>
      </c>
      <c r="AO533" t="s">
        <v>2377</v>
      </c>
      <c r="AP533" t="s">
        <v>2378</v>
      </c>
      <c r="AQ533" t="s">
        <v>74</v>
      </c>
      <c r="AR533" t="s">
        <v>2379</v>
      </c>
      <c r="AS533" t="s">
        <v>2380</v>
      </c>
      <c r="AT533" t="s">
        <v>8737</v>
      </c>
      <c r="AU533">
        <v>2023</v>
      </c>
      <c r="AV533">
        <v>23</v>
      </c>
      <c r="AW533">
        <v>21</v>
      </c>
      <c r="AX533" t="s">
        <v>74</v>
      </c>
      <c r="AY533" t="s">
        <v>74</v>
      </c>
      <c r="AZ533" t="s">
        <v>74</v>
      </c>
      <c r="BA533" t="s">
        <v>74</v>
      </c>
      <c r="BB533">
        <v>13625</v>
      </c>
      <c r="BC533">
        <v>13646</v>
      </c>
      <c r="BD533" t="s">
        <v>74</v>
      </c>
      <c r="BE533" t="s">
        <v>10330</v>
      </c>
      <c r="BF533" t="str">
        <f>HYPERLINK("http://dx.doi.org/10.5194/acp-23-13625-2023","http://dx.doi.org/10.5194/acp-23-13625-2023")</f>
        <v>http://dx.doi.org/10.5194/acp-23-13625-2023</v>
      </c>
      <c r="BG533" t="s">
        <v>74</v>
      </c>
      <c r="BH533" t="s">
        <v>74</v>
      </c>
      <c r="BI533">
        <v>22</v>
      </c>
      <c r="BJ533" t="s">
        <v>2382</v>
      </c>
      <c r="BK533" t="s">
        <v>100</v>
      </c>
      <c r="BL533" t="s">
        <v>2383</v>
      </c>
      <c r="BM533" t="s">
        <v>10331</v>
      </c>
      <c r="BN533" t="s">
        <v>74</v>
      </c>
      <c r="BO533" t="s">
        <v>131</v>
      </c>
      <c r="BP533" t="s">
        <v>74</v>
      </c>
      <c r="BQ533" t="s">
        <v>74</v>
      </c>
      <c r="BR533" t="s">
        <v>104</v>
      </c>
      <c r="BS533" t="s">
        <v>10332</v>
      </c>
      <c r="BT533" t="str">
        <f>HYPERLINK("https%3A%2F%2Fwww.webofscience.com%2Fwos%2Fwoscc%2Ffull-record%2FWOS:001169056200001","View Full Record in Web of Science")</f>
        <v>View Full Record in Web of Science</v>
      </c>
    </row>
    <row r="534" spans="1:72" x14ac:dyDescent="0.15">
      <c r="A534" t="s">
        <v>72</v>
      </c>
      <c r="B534" t="s">
        <v>10333</v>
      </c>
      <c r="C534" t="s">
        <v>74</v>
      </c>
      <c r="D534" t="s">
        <v>74</v>
      </c>
      <c r="E534" t="s">
        <v>74</v>
      </c>
      <c r="F534" t="s">
        <v>10334</v>
      </c>
      <c r="G534" t="s">
        <v>74</v>
      </c>
      <c r="H534" t="s">
        <v>74</v>
      </c>
      <c r="I534" t="s">
        <v>10335</v>
      </c>
      <c r="J534" t="s">
        <v>2809</v>
      </c>
      <c r="K534" t="s">
        <v>74</v>
      </c>
      <c r="L534" t="s">
        <v>74</v>
      </c>
      <c r="M534" t="s">
        <v>78</v>
      </c>
      <c r="N534" t="s">
        <v>79</v>
      </c>
      <c r="O534" t="s">
        <v>74</v>
      </c>
      <c r="P534" t="s">
        <v>74</v>
      </c>
      <c r="Q534" t="s">
        <v>74</v>
      </c>
      <c r="R534" t="s">
        <v>74</v>
      </c>
      <c r="S534" t="s">
        <v>74</v>
      </c>
      <c r="T534" t="s">
        <v>74</v>
      </c>
      <c r="U534" t="s">
        <v>10336</v>
      </c>
      <c r="V534" t="s">
        <v>10337</v>
      </c>
      <c r="W534" t="s">
        <v>10338</v>
      </c>
      <c r="X534" t="s">
        <v>10339</v>
      </c>
      <c r="Y534" t="s">
        <v>10340</v>
      </c>
      <c r="Z534" t="s">
        <v>10341</v>
      </c>
      <c r="AA534" t="s">
        <v>10342</v>
      </c>
      <c r="AB534" t="s">
        <v>10343</v>
      </c>
      <c r="AC534" t="s">
        <v>10344</v>
      </c>
      <c r="AD534" t="s">
        <v>10345</v>
      </c>
      <c r="AE534" t="s">
        <v>10346</v>
      </c>
      <c r="AF534" t="s">
        <v>74</v>
      </c>
      <c r="AG534">
        <v>131</v>
      </c>
      <c r="AH534">
        <v>0</v>
      </c>
      <c r="AI534">
        <v>0</v>
      </c>
      <c r="AJ534">
        <v>3</v>
      </c>
      <c r="AK534">
        <v>3</v>
      </c>
      <c r="AL534" t="s">
        <v>1838</v>
      </c>
      <c r="AM534" t="s">
        <v>1839</v>
      </c>
      <c r="AN534" t="s">
        <v>1840</v>
      </c>
      <c r="AO534" t="s">
        <v>2818</v>
      </c>
      <c r="AP534" t="s">
        <v>2819</v>
      </c>
      <c r="AQ534" t="s">
        <v>74</v>
      </c>
      <c r="AR534" t="s">
        <v>2809</v>
      </c>
      <c r="AS534" t="s">
        <v>2820</v>
      </c>
      <c r="AT534" t="s">
        <v>8737</v>
      </c>
      <c r="AU534">
        <v>2023</v>
      </c>
      <c r="AV534">
        <v>17</v>
      </c>
      <c r="AW534">
        <v>11</v>
      </c>
      <c r="AX534" t="s">
        <v>74</v>
      </c>
      <c r="AY534" t="s">
        <v>74</v>
      </c>
      <c r="AZ534" t="s">
        <v>74</v>
      </c>
      <c r="BA534" t="s">
        <v>74</v>
      </c>
      <c r="BB534">
        <v>4571</v>
      </c>
      <c r="BC534">
        <v>4599</v>
      </c>
      <c r="BD534" t="s">
        <v>74</v>
      </c>
      <c r="BE534" t="s">
        <v>10347</v>
      </c>
      <c r="BF534" t="str">
        <f>HYPERLINK("http://dx.doi.org/10.5194/tc-17-4571-2023","http://dx.doi.org/10.5194/tc-17-4571-2023")</f>
        <v>http://dx.doi.org/10.5194/tc-17-4571-2023</v>
      </c>
      <c r="BG534" t="s">
        <v>74</v>
      </c>
      <c r="BH534" t="s">
        <v>74</v>
      </c>
      <c r="BI534">
        <v>29</v>
      </c>
      <c r="BJ534" t="s">
        <v>984</v>
      </c>
      <c r="BK534" t="s">
        <v>100</v>
      </c>
      <c r="BL534" t="s">
        <v>985</v>
      </c>
      <c r="BM534" t="s">
        <v>10348</v>
      </c>
      <c r="BN534" t="s">
        <v>74</v>
      </c>
      <c r="BO534" t="s">
        <v>349</v>
      </c>
      <c r="BP534" t="s">
        <v>74</v>
      </c>
      <c r="BQ534" t="s">
        <v>74</v>
      </c>
      <c r="BR534" t="s">
        <v>104</v>
      </c>
      <c r="BS534" t="s">
        <v>10349</v>
      </c>
      <c r="BT534" t="str">
        <f>HYPERLINK("https%3A%2F%2Fwww.webofscience.com%2Fwos%2Fwoscc%2Ffull-record%2FWOS:001169001500001","View Full Record in Web of Science")</f>
        <v>View Full Record in Web of Science</v>
      </c>
    </row>
    <row r="535" spans="1:72" x14ac:dyDescent="0.15">
      <c r="A535" t="s">
        <v>72</v>
      </c>
      <c r="B535" t="s">
        <v>10350</v>
      </c>
      <c r="C535" t="s">
        <v>74</v>
      </c>
      <c r="D535" t="s">
        <v>74</v>
      </c>
      <c r="E535" t="s">
        <v>74</v>
      </c>
      <c r="F535" t="s">
        <v>10351</v>
      </c>
      <c r="G535" t="s">
        <v>74</v>
      </c>
      <c r="H535" t="s">
        <v>74</v>
      </c>
      <c r="I535" t="s">
        <v>10352</v>
      </c>
      <c r="J535" t="s">
        <v>9713</v>
      </c>
      <c r="K535" t="s">
        <v>74</v>
      </c>
      <c r="L535" t="s">
        <v>74</v>
      </c>
      <c r="M535" t="s">
        <v>78</v>
      </c>
      <c r="N535" t="s">
        <v>79</v>
      </c>
      <c r="O535" t="s">
        <v>74</v>
      </c>
      <c r="P535" t="s">
        <v>74</v>
      </c>
      <c r="Q535" t="s">
        <v>74</v>
      </c>
      <c r="R535" t="s">
        <v>74</v>
      </c>
      <c r="S535" t="s">
        <v>74</v>
      </c>
      <c r="T535" t="s">
        <v>10353</v>
      </c>
      <c r="U535" t="s">
        <v>10354</v>
      </c>
      <c r="V535" t="s">
        <v>10355</v>
      </c>
      <c r="W535" t="s">
        <v>10356</v>
      </c>
      <c r="X535" t="s">
        <v>10357</v>
      </c>
      <c r="Y535" t="s">
        <v>10358</v>
      </c>
      <c r="Z535" t="s">
        <v>74</v>
      </c>
      <c r="AA535" t="s">
        <v>74</v>
      </c>
      <c r="AB535" t="s">
        <v>10359</v>
      </c>
      <c r="AC535" t="s">
        <v>10360</v>
      </c>
      <c r="AD535" t="s">
        <v>10361</v>
      </c>
      <c r="AE535" t="s">
        <v>10362</v>
      </c>
      <c r="AF535" t="s">
        <v>74</v>
      </c>
      <c r="AG535">
        <v>53</v>
      </c>
      <c r="AH535">
        <v>0</v>
      </c>
      <c r="AI535">
        <v>0</v>
      </c>
      <c r="AJ535">
        <v>6</v>
      </c>
      <c r="AK535">
        <v>6</v>
      </c>
      <c r="AL535" t="s">
        <v>947</v>
      </c>
      <c r="AM535" t="s">
        <v>948</v>
      </c>
      <c r="AN535" t="s">
        <v>949</v>
      </c>
      <c r="AO535" t="s">
        <v>9726</v>
      </c>
      <c r="AP535" t="s">
        <v>9727</v>
      </c>
      <c r="AQ535" t="s">
        <v>74</v>
      </c>
      <c r="AR535" t="s">
        <v>9713</v>
      </c>
      <c r="AS535" t="s">
        <v>9728</v>
      </c>
      <c r="AT535" t="s">
        <v>954</v>
      </c>
      <c r="AU535">
        <v>2024</v>
      </c>
      <c r="AV535">
        <v>234</v>
      </c>
      <c r="AW535" t="s">
        <v>74</v>
      </c>
      <c r="AX535" t="s">
        <v>74</v>
      </c>
      <c r="AY535" t="s">
        <v>74</v>
      </c>
      <c r="AZ535" t="s">
        <v>74</v>
      </c>
      <c r="BA535" t="s">
        <v>74</v>
      </c>
      <c r="BB535" t="s">
        <v>74</v>
      </c>
      <c r="BC535" t="s">
        <v>74</v>
      </c>
      <c r="BD535">
        <v>107640</v>
      </c>
      <c r="BE535" t="s">
        <v>10363</v>
      </c>
      <c r="BF535" t="str">
        <f>HYPERLINK("http://dx.doi.org/10.1016/j.catena.2023.107640","http://dx.doi.org/10.1016/j.catena.2023.107640")</f>
        <v>http://dx.doi.org/10.1016/j.catena.2023.107640</v>
      </c>
      <c r="BG535" t="s">
        <v>74</v>
      </c>
      <c r="BH535" t="s">
        <v>6982</v>
      </c>
      <c r="BI535">
        <v>12</v>
      </c>
      <c r="BJ535" t="s">
        <v>9730</v>
      </c>
      <c r="BK535" t="s">
        <v>100</v>
      </c>
      <c r="BL535" t="s">
        <v>9731</v>
      </c>
      <c r="BM535" t="s">
        <v>10364</v>
      </c>
      <c r="BN535" t="s">
        <v>74</v>
      </c>
      <c r="BO535" t="s">
        <v>74</v>
      </c>
      <c r="BP535" t="s">
        <v>74</v>
      </c>
      <c r="BQ535" t="s">
        <v>74</v>
      </c>
      <c r="BR535" t="s">
        <v>104</v>
      </c>
      <c r="BS535" t="s">
        <v>10365</v>
      </c>
      <c r="BT535" t="str">
        <f>HYPERLINK("https%3A%2F%2Fwww.webofscience.com%2Fwos%2Fwoscc%2Ffull-record%2FWOS:001156721700001","View Full Record in Web of Science")</f>
        <v>View Full Record in Web of Science</v>
      </c>
    </row>
    <row r="536" spans="1:72" x14ac:dyDescent="0.15">
      <c r="A536" t="s">
        <v>72</v>
      </c>
      <c r="B536" t="s">
        <v>10366</v>
      </c>
      <c r="C536" t="s">
        <v>74</v>
      </c>
      <c r="D536" t="s">
        <v>74</v>
      </c>
      <c r="E536" t="s">
        <v>74</v>
      </c>
      <c r="F536" t="s">
        <v>10367</v>
      </c>
      <c r="G536" t="s">
        <v>74</v>
      </c>
      <c r="H536" t="s">
        <v>74</v>
      </c>
      <c r="I536" t="s">
        <v>10368</v>
      </c>
      <c r="J536" t="s">
        <v>10369</v>
      </c>
      <c r="K536" t="s">
        <v>74</v>
      </c>
      <c r="L536" t="s">
        <v>74</v>
      </c>
      <c r="M536" t="s">
        <v>78</v>
      </c>
      <c r="N536" t="s">
        <v>79</v>
      </c>
      <c r="O536" t="s">
        <v>74</v>
      </c>
      <c r="P536" t="s">
        <v>74</v>
      </c>
      <c r="Q536" t="s">
        <v>74</v>
      </c>
      <c r="R536" t="s">
        <v>74</v>
      </c>
      <c r="S536" t="s">
        <v>74</v>
      </c>
      <c r="T536" t="s">
        <v>10370</v>
      </c>
      <c r="U536" t="s">
        <v>74</v>
      </c>
      <c r="V536" t="s">
        <v>10371</v>
      </c>
      <c r="W536" t="s">
        <v>10372</v>
      </c>
      <c r="X536" t="s">
        <v>74</v>
      </c>
      <c r="Y536" t="s">
        <v>10373</v>
      </c>
      <c r="Z536" t="s">
        <v>74</v>
      </c>
      <c r="AA536" t="s">
        <v>74</v>
      </c>
      <c r="AB536" t="s">
        <v>74</v>
      </c>
      <c r="AC536" t="s">
        <v>74</v>
      </c>
      <c r="AD536" t="s">
        <v>74</v>
      </c>
      <c r="AE536" t="s">
        <v>74</v>
      </c>
      <c r="AF536" t="s">
        <v>74</v>
      </c>
      <c r="AG536">
        <v>53</v>
      </c>
      <c r="AH536">
        <v>0</v>
      </c>
      <c r="AI536">
        <v>0</v>
      </c>
      <c r="AJ536">
        <v>2</v>
      </c>
      <c r="AK536">
        <v>2</v>
      </c>
      <c r="AL536" t="s">
        <v>8612</v>
      </c>
      <c r="AM536" t="s">
        <v>120</v>
      </c>
      <c r="AN536" t="s">
        <v>8613</v>
      </c>
      <c r="AO536" t="s">
        <v>10374</v>
      </c>
      <c r="AP536" t="s">
        <v>10375</v>
      </c>
      <c r="AQ536" t="s">
        <v>74</v>
      </c>
      <c r="AR536" t="s">
        <v>10369</v>
      </c>
      <c r="AS536" t="s">
        <v>10376</v>
      </c>
      <c r="AT536" t="s">
        <v>8737</v>
      </c>
      <c r="AU536">
        <v>2023</v>
      </c>
      <c r="AV536">
        <v>65</v>
      </c>
      <c r="AW536">
        <v>6</v>
      </c>
      <c r="AX536" t="s">
        <v>74</v>
      </c>
      <c r="AY536" t="s">
        <v>74</v>
      </c>
      <c r="AZ536" t="s">
        <v>74</v>
      </c>
      <c r="BA536" t="s">
        <v>74</v>
      </c>
      <c r="BB536">
        <v>159</v>
      </c>
      <c r="BC536">
        <v>178</v>
      </c>
      <c r="BD536" t="s">
        <v>74</v>
      </c>
      <c r="BE536" t="s">
        <v>10377</v>
      </c>
      <c r="BF536" t="str">
        <f>HYPERLINK("http://dx.doi.org/10.1080/00396338.2023.2285610","http://dx.doi.org/10.1080/00396338.2023.2285610")</f>
        <v>http://dx.doi.org/10.1080/00396338.2023.2285610</v>
      </c>
      <c r="BG536" t="s">
        <v>74</v>
      </c>
      <c r="BH536" t="s">
        <v>74</v>
      </c>
      <c r="BI536">
        <v>20</v>
      </c>
      <c r="BJ536" t="s">
        <v>8619</v>
      </c>
      <c r="BK536" t="s">
        <v>1740</v>
      </c>
      <c r="BL536" t="s">
        <v>8620</v>
      </c>
      <c r="BM536" t="s">
        <v>10378</v>
      </c>
      <c r="BN536" t="s">
        <v>74</v>
      </c>
      <c r="BO536" t="s">
        <v>74</v>
      </c>
      <c r="BP536" t="s">
        <v>74</v>
      </c>
      <c r="BQ536" t="s">
        <v>74</v>
      </c>
      <c r="BR536" t="s">
        <v>104</v>
      </c>
      <c r="BS536" t="s">
        <v>10379</v>
      </c>
      <c r="BT536" t="str">
        <f>HYPERLINK("https%3A%2F%2Fwww.webofscience.com%2Fwos%2Fwoscc%2Ffull-record%2FWOS:001127201500011","View Full Record in Web of Science")</f>
        <v>View Full Record in Web of Science</v>
      </c>
    </row>
    <row r="537" spans="1:72" x14ac:dyDescent="0.15">
      <c r="A537" t="s">
        <v>72</v>
      </c>
      <c r="B537" t="s">
        <v>10380</v>
      </c>
      <c r="C537" t="s">
        <v>74</v>
      </c>
      <c r="D537" t="s">
        <v>74</v>
      </c>
      <c r="E537" t="s">
        <v>74</v>
      </c>
      <c r="F537" t="s">
        <v>10381</v>
      </c>
      <c r="G537" t="s">
        <v>74</v>
      </c>
      <c r="H537" t="s">
        <v>10382</v>
      </c>
      <c r="I537" t="s">
        <v>10383</v>
      </c>
      <c r="J537" t="s">
        <v>4870</v>
      </c>
      <c r="K537" t="s">
        <v>74</v>
      </c>
      <c r="L537" t="s">
        <v>74</v>
      </c>
      <c r="M537" t="s">
        <v>78</v>
      </c>
      <c r="N537" t="s">
        <v>79</v>
      </c>
      <c r="O537" t="s">
        <v>74</v>
      </c>
      <c r="P537" t="s">
        <v>74</v>
      </c>
      <c r="Q537" t="s">
        <v>74</v>
      </c>
      <c r="R537" t="s">
        <v>74</v>
      </c>
      <c r="S537" t="s">
        <v>74</v>
      </c>
      <c r="T537" t="s">
        <v>74</v>
      </c>
      <c r="U537" t="s">
        <v>10384</v>
      </c>
      <c r="V537" t="s">
        <v>10385</v>
      </c>
      <c r="W537" t="s">
        <v>10386</v>
      </c>
      <c r="X537" t="s">
        <v>10387</v>
      </c>
      <c r="Y537" t="s">
        <v>10388</v>
      </c>
      <c r="Z537" t="s">
        <v>10389</v>
      </c>
      <c r="AA537" t="s">
        <v>10390</v>
      </c>
      <c r="AB537" t="s">
        <v>10391</v>
      </c>
      <c r="AC537" t="s">
        <v>10392</v>
      </c>
      <c r="AD537" t="s">
        <v>10393</v>
      </c>
      <c r="AE537" t="s">
        <v>10394</v>
      </c>
      <c r="AF537" t="s">
        <v>74</v>
      </c>
      <c r="AG537">
        <v>63</v>
      </c>
      <c r="AH537">
        <v>1</v>
      </c>
      <c r="AI537">
        <v>1</v>
      </c>
      <c r="AJ537">
        <v>25</v>
      </c>
      <c r="AK537">
        <v>25</v>
      </c>
      <c r="AL537" t="s">
        <v>3057</v>
      </c>
      <c r="AM537" t="s">
        <v>3058</v>
      </c>
      <c r="AN537" t="s">
        <v>3059</v>
      </c>
      <c r="AO537" t="s">
        <v>4881</v>
      </c>
      <c r="AP537" t="s">
        <v>4882</v>
      </c>
      <c r="AQ537" t="s">
        <v>74</v>
      </c>
      <c r="AR537" t="s">
        <v>4883</v>
      </c>
      <c r="AS537" t="s">
        <v>4884</v>
      </c>
      <c r="AT537" t="s">
        <v>4525</v>
      </c>
      <c r="AU537">
        <v>2023</v>
      </c>
      <c r="AV537">
        <v>16</v>
      </c>
      <c r="AW537">
        <v>11</v>
      </c>
      <c r="AX537" t="s">
        <v>74</v>
      </c>
      <c r="AY537" t="s">
        <v>74</v>
      </c>
      <c r="AZ537" t="s">
        <v>74</v>
      </c>
      <c r="BA537" t="s">
        <v>74</v>
      </c>
      <c r="BB537">
        <v>997</v>
      </c>
      <c r="BC537" t="s">
        <v>4088</v>
      </c>
      <c r="BD537" t="s">
        <v>74</v>
      </c>
      <c r="BE537" t="s">
        <v>10395</v>
      </c>
      <c r="BF537" t="str">
        <f>HYPERLINK("http://dx.doi.org/10.1038/s41561-023-01291-3","http://dx.doi.org/10.1038/s41561-023-01291-3")</f>
        <v>http://dx.doi.org/10.1038/s41561-023-01291-3</v>
      </c>
      <c r="BG537" t="s">
        <v>74</v>
      </c>
      <c r="BH537" t="s">
        <v>6982</v>
      </c>
      <c r="BI537">
        <v>22</v>
      </c>
      <c r="BJ537" t="s">
        <v>535</v>
      </c>
      <c r="BK537" t="s">
        <v>100</v>
      </c>
      <c r="BL537" t="s">
        <v>536</v>
      </c>
      <c r="BM537" t="s">
        <v>10396</v>
      </c>
      <c r="BN537" t="s">
        <v>74</v>
      </c>
      <c r="BO537" t="s">
        <v>1717</v>
      </c>
      <c r="BP537" t="s">
        <v>74</v>
      </c>
      <c r="BQ537" t="s">
        <v>74</v>
      </c>
      <c r="BR537" t="s">
        <v>104</v>
      </c>
      <c r="BS537" t="s">
        <v>10397</v>
      </c>
      <c r="BT537" t="str">
        <f>HYPERLINK("https%3A%2F%2Fwww.webofscience.com%2Fwos%2Fwoscc%2Ffull-record%2FWOS:001096189800001","View Full Record in Web of Science")</f>
        <v>View Full Record in Web of Science</v>
      </c>
    </row>
    <row r="538" spans="1:72" x14ac:dyDescent="0.15">
      <c r="A538" t="s">
        <v>72</v>
      </c>
      <c r="B538" t="s">
        <v>10398</v>
      </c>
      <c r="C538" t="s">
        <v>74</v>
      </c>
      <c r="D538" t="s">
        <v>74</v>
      </c>
      <c r="E538" t="s">
        <v>74</v>
      </c>
      <c r="F538" t="s">
        <v>10399</v>
      </c>
      <c r="G538" t="s">
        <v>74</v>
      </c>
      <c r="H538" t="s">
        <v>74</v>
      </c>
      <c r="I538" t="s">
        <v>10400</v>
      </c>
      <c r="J538" t="s">
        <v>10401</v>
      </c>
      <c r="K538" t="s">
        <v>74</v>
      </c>
      <c r="L538" t="s">
        <v>74</v>
      </c>
      <c r="M538" t="s">
        <v>78</v>
      </c>
      <c r="N538" t="s">
        <v>79</v>
      </c>
      <c r="O538" t="s">
        <v>74</v>
      </c>
      <c r="P538" t="s">
        <v>74</v>
      </c>
      <c r="Q538" t="s">
        <v>74</v>
      </c>
      <c r="R538" t="s">
        <v>74</v>
      </c>
      <c r="S538" t="s">
        <v>74</v>
      </c>
      <c r="T538" t="s">
        <v>10402</v>
      </c>
      <c r="U538" t="s">
        <v>74</v>
      </c>
      <c r="V538" t="s">
        <v>10403</v>
      </c>
      <c r="W538" t="s">
        <v>10404</v>
      </c>
      <c r="X538" t="s">
        <v>10405</v>
      </c>
      <c r="Y538" t="s">
        <v>10406</v>
      </c>
      <c r="Z538" t="s">
        <v>10407</v>
      </c>
      <c r="AA538" t="s">
        <v>10408</v>
      </c>
      <c r="AB538" t="s">
        <v>10409</v>
      </c>
      <c r="AC538" t="s">
        <v>10410</v>
      </c>
      <c r="AD538" t="s">
        <v>10410</v>
      </c>
      <c r="AE538" t="s">
        <v>10411</v>
      </c>
      <c r="AF538" t="s">
        <v>74</v>
      </c>
      <c r="AG538">
        <v>45</v>
      </c>
      <c r="AH538">
        <v>0</v>
      </c>
      <c r="AI538">
        <v>0</v>
      </c>
      <c r="AJ538">
        <v>1</v>
      </c>
      <c r="AK538">
        <v>1</v>
      </c>
      <c r="AL538" t="s">
        <v>89</v>
      </c>
      <c r="AM538" t="s">
        <v>90</v>
      </c>
      <c r="AN538" t="s">
        <v>91</v>
      </c>
      <c r="AO538" t="s">
        <v>10412</v>
      </c>
      <c r="AP538" t="s">
        <v>74</v>
      </c>
      <c r="AQ538" t="s">
        <v>74</v>
      </c>
      <c r="AR538" t="s">
        <v>10413</v>
      </c>
      <c r="AS538" t="s">
        <v>10414</v>
      </c>
      <c r="AT538" t="s">
        <v>10415</v>
      </c>
      <c r="AU538">
        <v>2023</v>
      </c>
      <c r="AV538">
        <v>134</v>
      </c>
      <c r="AW538" t="s">
        <v>10416</v>
      </c>
      <c r="AX538" t="s">
        <v>74</v>
      </c>
      <c r="AY538" t="s">
        <v>74</v>
      </c>
      <c r="AZ538" t="s">
        <v>74</v>
      </c>
      <c r="BA538" t="s">
        <v>74</v>
      </c>
      <c r="BB538">
        <v>627</v>
      </c>
      <c r="BC538">
        <v>640</v>
      </c>
      <c r="BD538" t="s">
        <v>74</v>
      </c>
      <c r="BE538" t="s">
        <v>10417</v>
      </c>
      <c r="BF538" t="str">
        <f>HYPERLINK("http://dx.doi.org/10.1016/j.pgeola.2023.09.003","http://dx.doi.org/10.1016/j.pgeola.2023.09.003")</f>
        <v>http://dx.doi.org/10.1016/j.pgeola.2023.09.003</v>
      </c>
      <c r="BG538" t="s">
        <v>74</v>
      </c>
      <c r="BH538" t="s">
        <v>6982</v>
      </c>
      <c r="BI538">
        <v>14</v>
      </c>
      <c r="BJ538" t="s">
        <v>9777</v>
      </c>
      <c r="BK538" t="s">
        <v>100</v>
      </c>
      <c r="BL538" t="s">
        <v>9777</v>
      </c>
      <c r="BM538" t="s">
        <v>10418</v>
      </c>
      <c r="BN538" t="s">
        <v>74</v>
      </c>
      <c r="BO538" t="s">
        <v>10419</v>
      </c>
      <c r="BP538" t="s">
        <v>74</v>
      </c>
      <c r="BQ538" t="s">
        <v>74</v>
      </c>
      <c r="BR538" t="s">
        <v>104</v>
      </c>
      <c r="BS538" t="s">
        <v>10420</v>
      </c>
      <c r="BT538" t="str">
        <f>HYPERLINK("https%3A%2F%2Fwww.webofscience.com%2Fwos%2Fwoscc%2Ffull-record%2FWOS:001109056100001","View Full Record in Web of Science")</f>
        <v>View Full Record in Web of Science</v>
      </c>
    </row>
    <row r="539" spans="1:72" x14ac:dyDescent="0.15">
      <c r="A539" t="s">
        <v>72</v>
      </c>
      <c r="B539" t="s">
        <v>10421</v>
      </c>
      <c r="C539" t="s">
        <v>74</v>
      </c>
      <c r="D539" t="s">
        <v>74</v>
      </c>
      <c r="E539" t="s">
        <v>74</v>
      </c>
      <c r="F539" t="s">
        <v>10422</v>
      </c>
      <c r="G539" t="s">
        <v>74</v>
      </c>
      <c r="H539" t="s">
        <v>74</v>
      </c>
      <c r="I539" t="s">
        <v>10423</v>
      </c>
      <c r="J539" t="s">
        <v>10424</v>
      </c>
      <c r="K539" t="s">
        <v>74</v>
      </c>
      <c r="L539" t="s">
        <v>74</v>
      </c>
      <c r="M539" t="s">
        <v>78</v>
      </c>
      <c r="N539" t="s">
        <v>441</v>
      </c>
      <c r="O539" t="s">
        <v>74</v>
      </c>
      <c r="P539" t="s">
        <v>74</v>
      </c>
      <c r="Q539" t="s">
        <v>74</v>
      </c>
      <c r="R539" t="s">
        <v>74</v>
      </c>
      <c r="S539" t="s">
        <v>74</v>
      </c>
      <c r="T539" t="s">
        <v>10425</v>
      </c>
      <c r="U539" t="s">
        <v>10426</v>
      </c>
      <c r="V539" t="s">
        <v>10427</v>
      </c>
      <c r="W539" t="s">
        <v>10428</v>
      </c>
      <c r="X539" t="s">
        <v>10429</v>
      </c>
      <c r="Y539" t="s">
        <v>10430</v>
      </c>
      <c r="Z539" t="s">
        <v>10431</v>
      </c>
      <c r="AA539" t="s">
        <v>10432</v>
      </c>
      <c r="AB539" t="s">
        <v>10433</v>
      </c>
      <c r="AC539" t="s">
        <v>74</v>
      </c>
      <c r="AD539" t="s">
        <v>74</v>
      </c>
      <c r="AE539" t="s">
        <v>74</v>
      </c>
      <c r="AF539" t="s">
        <v>74</v>
      </c>
      <c r="AG539">
        <v>392</v>
      </c>
      <c r="AH539">
        <v>0</v>
      </c>
      <c r="AI539">
        <v>0</v>
      </c>
      <c r="AJ539">
        <v>7</v>
      </c>
      <c r="AK539">
        <v>7</v>
      </c>
      <c r="AL539" t="s">
        <v>947</v>
      </c>
      <c r="AM539" t="s">
        <v>948</v>
      </c>
      <c r="AN539" t="s">
        <v>949</v>
      </c>
      <c r="AO539" t="s">
        <v>10434</v>
      </c>
      <c r="AP539" t="s">
        <v>10435</v>
      </c>
      <c r="AQ539" t="s">
        <v>74</v>
      </c>
      <c r="AR539" t="s">
        <v>10436</v>
      </c>
      <c r="AS539" t="s">
        <v>10437</v>
      </c>
      <c r="AT539" t="s">
        <v>1947</v>
      </c>
      <c r="AU539">
        <v>2023</v>
      </c>
      <c r="AV539">
        <v>444</v>
      </c>
      <c r="AW539" t="s">
        <v>74</v>
      </c>
      <c r="AX539" t="s">
        <v>74</v>
      </c>
      <c r="AY539" t="s">
        <v>74</v>
      </c>
      <c r="AZ539" t="s">
        <v>74</v>
      </c>
      <c r="BA539" t="s">
        <v>74</v>
      </c>
      <c r="BB539" t="s">
        <v>74</v>
      </c>
      <c r="BC539" t="s">
        <v>74</v>
      </c>
      <c r="BD539">
        <v>107941</v>
      </c>
      <c r="BE539" t="s">
        <v>10438</v>
      </c>
      <c r="BF539" t="str">
        <f>HYPERLINK("http://dx.doi.org/10.1016/j.jvolgeores.2023.107941","http://dx.doi.org/10.1016/j.jvolgeores.2023.107941")</f>
        <v>http://dx.doi.org/10.1016/j.jvolgeores.2023.107941</v>
      </c>
      <c r="BG539" t="s">
        <v>74</v>
      </c>
      <c r="BH539" t="s">
        <v>6982</v>
      </c>
      <c r="BI539">
        <v>32</v>
      </c>
      <c r="BJ539" t="s">
        <v>535</v>
      </c>
      <c r="BK539" t="s">
        <v>100</v>
      </c>
      <c r="BL539" t="s">
        <v>536</v>
      </c>
      <c r="BM539" t="s">
        <v>10439</v>
      </c>
      <c r="BN539" t="s">
        <v>74</v>
      </c>
      <c r="BO539" t="s">
        <v>103</v>
      </c>
      <c r="BP539" t="s">
        <v>74</v>
      </c>
      <c r="BQ539" t="s">
        <v>74</v>
      </c>
      <c r="BR539" t="s">
        <v>104</v>
      </c>
      <c r="BS539" t="s">
        <v>10440</v>
      </c>
      <c r="BT539" t="str">
        <f>HYPERLINK("https%3A%2F%2Fwww.webofscience.com%2Fwos%2Fwoscc%2Ffull-record%2FWOS:001108526200001","View Full Record in Web of Science")</f>
        <v>View Full Record in Web of Science</v>
      </c>
    </row>
    <row r="540" spans="1:72" x14ac:dyDescent="0.15">
      <c r="A540" t="s">
        <v>72</v>
      </c>
      <c r="B540" t="s">
        <v>10441</v>
      </c>
      <c r="C540" t="s">
        <v>74</v>
      </c>
      <c r="D540" t="s">
        <v>74</v>
      </c>
      <c r="E540" t="s">
        <v>74</v>
      </c>
      <c r="F540" t="s">
        <v>10442</v>
      </c>
      <c r="G540" t="s">
        <v>74</v>
      </c>
      <c r="H540" t="s">
        <v>74</v>
      </c>
      <c r="I540" t="s">
        <v>10443</v>
      </c>
      <c r="J540" t="s">
        <v>991</v>
      </c>
      <c r="K540" t="s">
        <v>74</v>
      </c>
      <c r="L540" t="s">
        <v>74</v>
      </c>
      <c r="M540" t="s">
        <v>78</v>
      </c>
      <c r="N540" t="s">
        <v>79</v>
      </c>
      <c r="O540" t="s">
        <v>74</v>
      </c>
      <c r="P540" t="s">
        <v>74</v>
      </c>
      <c r="Q540" t="s">
        <v>74</v>
      </c>
      <c r="R540" t="s">
        <v>74</v>
      </c>
      <c r="S540" t="s">
        <v>74</v>
      </c>
      <c r="T540" t="s">
        <v>10444</v>
      </c>
      <c r="U540" t="s">
        <v>10445</v>
      </c>
      <c r="V540" t="s">
        <v>10446</v>
      </c>
      <c r="W540" t="s">
        <v>10447</v>
      </c>
      <c r="X540" t="s">
        <v>10448</v>
      </c>
      <c r="Y540" t="s">
        <v>10449</v>
      </c>
      <c r="Z540" t="s">
        <v>10450</v>
      </c>
      <c r="AA540" t="s">
        <v>10451</v>
      </c>
      <c r="AB540" t="s">
        <v>10452</v>
      </c>
      <c r="AC540" t="s">
        <v>10453</v>
      </c>
      <c r="AD540" t="s">
        <v>10454</v>
      </c>
      <c r="AE540" t="s">
        <v>10455</v>
      </c>
      <c r="AF540" t="s">
        <v>74</v>
      </c>
      <c r="AG540">
        <v>60</v>
      </c>
      <c r="AH540">
        <v>0</v>
      </c>
      <c r="AI540">
        <v>0</v>
      </c>
      <c r="AJ540">
        <v>26</v>
      </c>
      <c r="AK540">
        <v>26</v>
      </c>
      <c r="AL540" t="s">
        <v>947</v>
      </c>
      <c r="AM540" t="s">
        <v>948</v>
      </c>
      <c r="AN540" t="s">
        <v>949</v>
      </c>
      <c r="AO540" t="s">
        <v>1004</v>
      </c>
      <c r="AP540" t="s">
        <v>1005</v>
      </c>
      <c r="AQ540" t="s">
        <v>74</v>
      </c>
      <c r="AR540" t="s">
        <v>1006</v>
      </c>
      <c r="AS540" t="s">
        <v>1007</v>
      </c>
      <c r="AT540" t="s">
        <v>10456</v>
      </c>
      <c r="AU540">
        <v>2024</v>
      </c>
      <c r="AV540">
        <v>907</v>
      </c>
      <c r="AW540" t="s">
        <v>74</v>
      </c>
      <c r="AX540" t="s">
        <v>74</v>
      </c>
      <c r="AY540" t="s">
        <v>74</v>
      </c>
      <c r="AZ540" t="s">
        <v>74</v>
      </c>
      <c r="BA540" t="s">
        <v>74</v>
      </c>
      <c r="BB540" t="s">
        <v>74</v>
      </c>
      <c r="BC540" t="s">
        <v>74</v>
      </c>
      <c r="BD540">
        <v>168050</v>
      </c>
      <c r="BE540" t="s">
        <v>10457</v>
      </c>
      <c r="BF540" t="str">
        <f>HYPERLINK("http://dx.doi.org/10.1016/j.scitotenv.2023.168050","http://dx.doi.org/10.1016/j.scitotenv.2023.168050")</f>
        <v>http://dx.doi.org/10.1016/j.scitotenv.2023.168050</v>
      </c>
      <c r="BG540" t="s">
        <v>74</v>
      </c>
      <c r="BH540" t="s">
        <v>6982</v>
      </c>
      <c r="BI540">
        <v>11</v>
      </c>
      <c r="BJ540" t="s">
        <v>1010</v>
      </c>
      <c r="BK540" t="s">
        <v>100</v>
      </c>
      <c r="BL540" t="s">
        <v>1011</v>
      </c>
      <c r="BM540" t="s">
        <v>10458</v>
      </c>
      <c r="BN540" t="s">
        <v>74</v>
      </c>
      <c r="BO540" t="s">
        <v>103</v>
      </c>
      <c r="BP540" t="s">
        <v>74</v>
      </c>
      <c r="BQ540" t="s">
        <v>74</v>
      </c>
      <c r="BR540" t="s">
        <v>104</v>
      </c>
      <c r="BS540" t="s">
        <v>10459</v>
      </c>
      <c r="BT540" t="str">
        <f>HYPERLINK("https%3A%2F%2Fwww.webofscience.com%2Fwos%2Fwoscc%2Ffull-record%2FWOS:001107759400001","View Full Record in Web of Science")</f>
        <v>View Full Record in Web of Science</v>
      </c>
    </row>
    <row r="541" spans="1:72" x14ac:dyDescent="0.15">
      <c r="A541" t="s">
        <v>72</v>
      </c>
      <c r="B541" t="s">
        <v>10460</v>
      </c>
      <c r="C541" t="s">
        <v>74</v>
      </c>
      <c r="D541" t="s">
        <v>74</v>
      </c>
      <c r="E541" t="s">
        <v>74</v>
      </c>
      <c r="F541" t="s">
        <v>10461</v>
      </c>
      <c r="G541" t="s">
        <v>74</v>
      </c>
      <c r="H541" t="s">
        <v>74</v>
      </c>
      <c r="I541" t="s">
        <v>10462</v>
      </c>
      <c r="J541" t="s">
        <v>10463</v>
      </c>
      <c r="K541" t="s">
        <v>74</v>
      </c>
      <c r="L541" t="s">
        <v>74</v>
      </c>
      <c r="M541" t="s">
        <v>78</v>
      </c>
      <c r="N541" t="s">
        <v>79</v>
      </c>
      <c r="O541" t="s">
        <v>74</v>
      </c>
      <c r="P541" t="s">
        <v>74</v>
      </c>
      <c r="Q541" t="s">
        <v>74</v>
      </c>
      <c r="R541" t="s">
        <v>74</v>
      </c>
      <c r="S541" t="s">
        <v>74</v>
      </c>
      <c r="T541" t="s">
        <v>10464</v>
      </c>
      <c r="U541" t="s">
        <v>10465</v>
      </c>
      <c r="V541" t="s">
        <v>10466</v>
      </c>
      <c r="W541" t="s">
        <v>10467</v>
      </c>
      <c r="X541" t="s">
        <v>10468</v>
      </c>
      <c r="Y541" t="s">
        <v>10469</v>
      </c>
      <c r="Z541" t="s">
        <v>10470</v>
      </c>
      <c r="AA541" t="s">
        <v>74</v>
      </c>
      <c r="AB541" t="s">
        <v>74</v>
      </c>
      <c r="AC541" t="s">
        <v>10471</v>
      </c>
      <c r="AD541" t="s">
        <v>10471</v>
      </c>
      <c r="AE541" t="s">
        <v>10471</v>
      </c>
      <c r="AF541" t="s">
        <v>74</v>
      </c>
      <c r="AG541">
        <v>19</v>
      </c>
      <c r="AH541">
        <v>1</v>
      </c>
      <c r="AI541">
        <v>1</v>
      </c>
      <c r="AJ541">
        <v>0</v>
      </c>
      <c r="AK541">
        <v>0</v>
      </c>
      <c r="AL541" t="s">
        <v>119</v>
      </c>
      <c r="AM541" t="s">
        <v>120</v>
      </c>
      <c r="AN541" t="s">
        <v>121</v>
      </c>
      <c r="AO541" t="s">
        <v>74</v>
      </c>
      <c r="AP541" t="s">
        <v>10472</v>
      </c>
      <c r="AQ541" t="s">
        <v>74</v>
      </c>
      <c r="AR541" t="s">
        <v>10473</v>
      </c>
      <c r="AS541" t="s">
        <v>10474</v>
      </c>
      <c r="AT541" t="s">
        <v>8737</v>
      </c>
      <c r="AU541">
        <v>2023</v>
      </c>
      <c r="AV541">
        <v>8</v>
      </c>
      <c r="AW541">
        <v>11</v>
      </c>
      <c r="AX541" t="s">
        <v>74</v>
      </c>
      <c r="AY541" t="s">
        <v>74</v>
      </c>
      <c r="AZ541" t="s">
        <v>74</v>
      </c>
      <c r="BA541" t="s">
        <v>74</v>
      </c>
      <c r="BB541">
        <v>1196</v>
      </c>
      <c r="BC541">
        <v>1199</v>
      </c>
      <c r="BD541" t="s">
        <v>74</v>
      </c>
      <c r="BE541" t="s">
        <v>10475</v>
      </c>
      <c r="BF541" t="str">
        <f>HYPERLINK("http://dx.doi.org/10.1080/23802359.2023.2194456","http://dx.doi.org/10.1080/23802359.2023.2194456")</f>
        <v>http://dx.doi.org/10.1080/23802359.2023.2194456</v>
      </c>
      <c r="BG541" t="s">
        <v>74</v>
      </c>
      <c r="BH541" t="s">
        <v>74</v>
      </c>
      <c r="BI541">
        <v>4</v>
      </c>
      <c r="BJ541" t="s">
        <v>10476</v>
      </c>
      <c r="BK541" t="s">
        <v>100</v>
      </c>
      <c r="BL541" t="s">
        <v>10476</v>
      </c>
      <c r="BM541" t="s">
        <v>10477</v>
      </c>
      <c r="BN541">
        <v>38196755</v>
      </c>
      <c r="BO541" t="s">
        <v>200</v>
      </c>
      <c r="BP541" t="s">
        <v>74</v>
      </c>
      <c r="BQ541" t="s">
        <v>74</v>
      </c>
      <c r="BR541" t="s">
        <v>104</v>
      </c>
      <c r="BS541" t="s">
        <v>10478</v>
      </c>
      <c r="BT541" t="str">
        <f>HYPERLINK("https%3A%2F%2Fwww.webofscience.com%2Fwos%2Fwoscc%2Ffull-record%2FWOS:001101834200001","View Full Record in Web of Science")</f>
        <v>View Full Record in Web of Science</v>
      </c>
    </row>
    <row r="542" spans="1:72" x14ac:dyDescent="0.15">
      <c r="A542" t="s">
        <v>72</v>
      </c>
      <c r="B542" t="s">
        <v>10479</v>
      </c>
      <c r="C542" t="s">
        <v>74</v>
      </c>
      <c r="D542" t="s">
        <v>74</v>
      </c>
      <c r="E542" t="s">
        <v>74</v>
      </c>
      <c r="F542" t="s">
        <v>10480</v>
      </c>
      <c r="G542" t="s">
        <v>74</v>
      </c>
      <c r="H542" t="s">
        <v>74</v>
      </c>
      <c r="I542" t="s">
        <v>10481</v>
      </c>
      <c r="J542" t="s">
        <v>10482</v>
      </c>
      <c r="K542" t="s">
        <v>74</v>
      </c>
      <c r="L542" t="s">
        <v>74</v>
      </c>
      <c r="M542" t="s">
        <v>78</v>
      </c>
      <c r="N542" t="s">
        <v>79</v>
      </c>
      <c r="O542" t="s">
        <v>74</v>
      </c>
      <c r="P542" t="s">
        <v>74</v>
      </c>
      <c r="Q542" t="s">
        <v>74</v>
      </c>
      <c r="R542" t="s">
        <v>74</v>
      </c>
      <c r="S542" t="s">
        <v>74</v>
      </c>
      <c r="T542" t="s">
        <v>74</v>
      </c>
      <c r="U542" t="s">
        <v>10483</v>
      </c>
      <c r="V542" t="s">
        <v>10484</v>
      </c>
      <c r="W542" t="s">
        <v>10485</v>
      </c>
      <c r="X542" t="s">
        <v>10486</v>
      </c>
      <c r="Y542" t="s">
        <v>10487</v>
      </c>
      <c r="Z542" t="s">
        <v>10488</v>
      </c>
      <c r="AA542" t="s">
        <v>10489</v>
      </c>
      <c r="AB542" t="s">
        <v>10490</v>
      </c>
      <c r="AC542" t="s">
        <v>10491</v>
      </c>
      <c r="AD542" t="s">
        <v>10492</v>
      </c>
      <c r="AE542" t="s">
        <v>10493</v>
      </c>
      <c r="AF542" t="s">
        <v>74</v>
      </c>
      <c r="AG542">
        <v>37</v>
      </c>
      <c r="AH542">
        <v>0</v>
      </c>
      <c r="AI542">
        <v>0</v>
      </c>
      <c r="AJ542">
        <v>2</v>
      </c>
      <c r="AK542">
        <v>2</v>
      </c>
      <c r="AL542" t="s">
        <v>10494</v>
      </c>
      <c r="AM542" t="s">
        <v>1209</v>
      </c>
      <c r="AN542" t="s">
        <v>10495</v>
      </c>
      <c r="AO542" t="s">
        <v>10496</v>
      </c>
      <c r="AP542" t="s">
        <v>10497</v>
      </c>
      <c r="AQ542" t="s">
        <v>74</v>
      </c>
      <c r="AR542" t="s">
        <v>10482</v>
      </c>
      <c r="AS542" t="s">
        <v>10498</v>
      </c>
      <c r="AT542" t="s">
        <v>8737</v>
      </c>
      <c r="AU542">
        <v>2023</v>
      </c>
      <c r="AV542">
        <v>39</v>
      </c>
      <c r="AW542">
        <v>45</v>
      </c>
      <c r="AX542" t="s">
        <v>74</v>
      </c>
      <c r="AY542" t="s">
        <v>74</v>
      </c>
      <c r="AZ542" t="s">
        <v>74</v>
      </c>
      <c r="BA542" t="s">
        <v>74</v>
      </c>
      <c r="BB542">
        <v>16128</v>
      </c>
      <c r="BC542">
        <v>16137</v>
      </c>
      <c r="BD542" t="s">
        <v>74</v>
      </c>
      <c r="BE542" t="s">
        <v>10499</v>
      </c>
      <c r="BF542" t="str">
        <f>HYPERLINK("http://dx.doi.org/10.1021/acs.langmuir.3c02257","http://dx.doi.org/10.1021/acs.langmuir.3c02257")</f>
        <v>http://dx.doi.org/10.1021/acs.langmuir.3c02257</v>
      </c>
      <c r="BG542" t="s">
        <v>74</v>
      </c>
      <c r="BH542" t="s">
        <v>74</v>
      </c>
      <c r="BI542">
        <v>10</v>
      </c>
      <c r="BJ542" t="s">
        <v>10500</v>
      </c>
      <c r="BK542" t="s">
        <v>100</v>
      </c>
      <c r="BL542" t="s">
        <v>10501</v>
      </c>
      <c r="BM542" t="s">
        <v>10502</v>
      </c>
      <c r="BN542">
        <v>37916685</v>
      </c>
      <c r="BO542" t="s">
        <v>74</v>
      </c>
      <c r="BP542" t="s">
        <v>74</v>
      </c>
      <c r="BQ542" t="s">
        <v>74</v>
      </c>
      <c r="BR542" t="s">
        <v>104</v>
      </c>
      <c r="BS542" t="s">
        <v>10503</v>
      </c>
      <c r="BT542" t="str">
        <f>HYPERLINK("https%3A%2F%2Fwww.webofscience.com%2Fwos%2Fwoscc%2Ffull-record%2FWOS:001105075100001","View Full Record in Web of Science")</f>
        <v>View Full Record in Web of Science</v>
      </c>
    </row>
    <row r="543" spans="1:72" x14ac:dyDescent="0.15">
      <c r="A543" t="s">
        <v>72</v>
      </c>
      <c r="B543" t="s">
        <v>10504</v>
      </c>
      <c r="C543" t="s">
        <v>74</v>
      </c>
      <c r="D543" t="s">
        <v>74</v>
      </c>
      <c r="E543" t="s">
        <v>74</v>
      </c>
      <c r="F543" t="s">
        <v>10505</v>
      </c>
      <c r="G543" t="s">
        <v>74</v>
      </c>
      <c r="H543" t="s">
        <v>74</v>
      </c>
      <c r="I543" t="s">
        <v>10506</v>
      </c>
      <c r="J543" t="s">
        <v>2809</v>
      </c>
      <c r="K543" t="s">
        <v>74</v>
      </c>
      <c r="L543" t="s">
        <v>74</v>
      </c>
      <c r="M543" t="s">
        <v>78</v>
      </c>
      <c r="N543" t="s">
        <v>79</v>
      </c>
      <c r="O543" t="s">
        <v>74</v>
      </c>
      <c r="P543" t="s">
        <v>74</v>
      </c>
      <c r="Q543" t="s">
        <v>74</v>
      </c>
      <c r="R543" t="s">
        <v>74</v>
      </c>
      <c r="S543" t="s">
        <v>74</v>
      </c>
      <c r="T543" t="s">
        <v>74</v>
      </c>
      <c r="U543" t="s">
        <v>10507</v>
      </c>
      <c r="V543" t="s">
        <v>10508</v>
      </c>
      <c r="W543" t="s">
        <v>10509</v>
      </c>
      <c r="X543" t="s">
        <v>10510</v>
      </c>
      <c r="Y543" t="s">
        <v>10511</v>
      </c>
      <c r="Z543" t="s">
        <v>10512</v>
      </c>
      <c r="AA543" t="s">
        <v>10513</v>
      </c>
      <c r="AB543" t="s">
        <v>10514</v>
      </c>
      <c r="AC543" t="s">
        <v>9973</v>
      </c>
      <c r="AD543" t="s">
        <v>9974</v>
      </c>
      <c r="AE543" t="s">
        <v>10515</v>
      </c>
      <c r="AF543" t="s">
        <v>74</v>
      </c>
      <c r="AG543">
        <v>102</v>
      </c>
      <c r="AH543">
        <v>0</v>
      </c>
      <c r="AI543">
        <v>0</v>
      </c>
      <c r="AJ543">
        <v>2</v>
      </c>
      <c r="AK543">
        <v>2</v>
      </c>
      <c r="AL543" t="s">
        <v>1838</v>
      </c>
      <c r="AM543" t="s">
        <v>1839</v>
      </c>
      <c r="AN543" t="s">
        <v>1840</v>
      </c>
      <c r="AO543" t="s">
        <v>2818</v>
      </c>
      <c r="AP543" t="s">
        <v>2819</v>
      </c>
      <c r="AQ543" t="s">
        <v>74</v>
      </c>
      <c r="AR543" t="s">
        <v>2809</v>
      </c>
      <c r="AS543" t="s">
        <v>2820</v>
      </c>
      <c r="AT543" t="s">
        <v>10516</v>
      </c>
      <c r="AU543">
        <v>2023</v>
      </c>
      <c r="AV543">
        <v>17</v>
      </c>
      <c r="AW543">
        <v>11</v>
      </c>
      <c r="AX543" t="s">
        <v>74</v>
      </c>
      <c r="AY543" t="s">
        <v>74</v>
      </c>
      <c r="AZ543" t="s">
        <v>74</v>
      </c>
      <c r="BA543" t="s">
        <v>74</v>
      </c>
      <c r="BB543">
        <v>4549</v>
      </c>
      <c r="BC543">
        <v>4569</v>
      </c>
      <c r="BD543" t="s">
        <v>74</v>
      </c>
      <c r="BE543" t="s">
        <v>10517</v>
      </c>
      <c r="BF543" t="str">
        <f>HYPERLINK("http://dx.doi.org/10.5194/tc-17-4549-2023","http://dx.doi.org/10.5194/tc-17-4549-2023")</f>
        <v>http://dx.doi.org/10.5194/tc-17-4549-2023</v>
      </c>
      <c r="BG543" t="s">
        <v>74</v>
      </c>
      <c r="BH543" t="s">
        <v>74</v>
      </c>
      <c r="BI543">
        <v>21</v>
      </c>
      <c r="BJ543" t="s">
        <v>984</v>
      </c>
      <c r="BK543" t="s">
        <v>100</v>
      </c>
      <c r="BL543" t="s">
        <v>985</v>
      </c>
      <c r="BM543" t="s">
        <v>10518</v>
      </c>
      <c r="BN543" t="s">
        <v>74</v>
      </c>
      <c r="BO543" t="s">
        <v>4781</v>
      </c>
      <c r="BP543" t="s">
        <v>74</v>
      </c>
      <c r="BQ543" t="s">
        <v>74</v>
      </c>
      <c r="BR543" t="s">
        <v>104</v>
      </c>
      <c r="BS543" t="s">
        <v>10519</v>
      </c>
      <c r="BT543" t="str">
        <f>HYPERLINK("https%3A%2F%2Fwww.webofscience.com%2Fwos%2Fwoscc%2Ffull-record%2FWOS:001169005800001","View Full Record in Web of Science")</f>
        <v>View Full Record in Web of Science</v>
      </c>
    </row>
    <row r="544" spans="1:72" x14ac:dyDescent="0.15">
      <c r="A544" t="s">
        <v>72</v>
      </c>
      <c r="B544" t="s">
        <v>10520</v>
      </c>
      <c r="C544" t="s">
        <v>74</v>
      </c>
      <c r="D544" t="s">
        <v>74</v>
      </c>
      <c r="E544" t="s">
        <v>74</v>
      </c>
      <c r="F544" t="s">
        <v>10521</v>
      </c>
      <c r="G544" t="s">
        <v>74</v>
      </c>
      <c r="H544" t="s">
        <v>74</v>
      </c>
      <c r="I544" t="s">
        <v>10522</v>
      </c>
      <c r="J544" t="s">
        <v>1826</v>
      </c>
      <c r="K544" t="s">
        <v>74</v>
      </c>
      <c r="L544" t="s">
        <v>74</v>
      </c>
      <c r="M544" t="s">
        <v>78</v>
      </c>
      <c r="N544" t="s">
        <v>79</v>
      </c>
      <c r="O544" t="s">
        <v>74</v>
      </c>
      <c r="P544" t="s">
        <v>74</v>
      </c>
      <c r="Q544" t="s">
        <v>74</v>
      </c>
      <c r="R544" t="s">
        <v>74</v>
      </c>
      <c r="S544" t="s">
        <v>74</v>
      </c>
      <c r="T544" t="s">
        <v>74</v>
      </c>
      <c r="U544" t="s">
        <v>10523</v>
      </c>
      <c r="V544" t="s">
        <v>10524</v>
      </c>
      <c r="W544" t="s">
        <v>10525</v>
      </c>
      <c r="X544" t="s">
        <v>74</v>
      </c>
      <c r="Y544" t="s">
        <v>10526</v>
      </c>
      <c r="Z544" t="s">
        <v>10527</v>
      </c>
      <c r="AA544" t="s">
        <v>10528</v>
      </c>
      <c r="AB544" t="s">
        <v>10529</v>
      </c>
      <c r="AC544" t="s">
        <v>10530</v>
      </c>
      <c r="AD544" t="s">
        <v>10531</v>
      </c>
      <c r="AE544" t="s">
        <v>10532</v>
      </c>
      <c r="AF544" t="s">
        <v>74</v>
      </c>
      <c r="AG544">
        <v>128</v>
      </c>
      <c r="AH544">
        <v>1</v>
      </c>
      <c r="AI544">
        <v>1</v>
      </c>
      <c r="AJ544">
        <v>1</v>
      </c>
      <c r="AK544">
        <v>1</v>
      </c>
      <c r="AL544" t="s">
        <v>1838</v>
      </c>
      <c r="AM544" t="s">
        <v>1839</v>
      </c>
      <c r="AN544" t="s">
        <v>1840</v>
      </c>
      <c r="AO544" t="s">
        <v>1841</v>
      </c>
      <c r="AP544" t="s">
        <v>1842</v>
      </c>
      <c r="AQ544" t="s">
        <v>74</v>
      </c>
      <c r="AR544" t="s">
        <v>1843</v>
      </c>
      <c r="AS544" t="s">
        <v>1844</v>
      </c>
      <c r="AT544" t="s">
        <v>10516</v>
      </c>
      <c r="AU544">
        <v>2023</v>
      </c>
      <c r="AV544">
        <v>16</v>
      </c>
      <c r="AW544">
        <v>21</v>
      </c>
      <c r="AX544" t="s">
        <v>74</v>
      </c>
      <c r="AY544" t="s">
        <v>74</v>
      </c>
      <c r="AZ544" t="s">
        <v>74</v>
      </c>
      <c r="BA544" t="s">
        <v>74</v>
      </c>
      <c r="BB544">
        <v>6127</v>
      </c>
      <c r="BC544">
        <v>6159</v>
      </c>
      <c r="BD544" t="s">
        <v>74</v>
      </c>
      <c r="BE544" t="s">
        <v>10533</v>
      </c>
      <c r="BF544" t="str">
        <f>HYPERLINK("http://dx.doi.org/10.5194/gmd-16-6127-2023","http://dx.doi.org/10.5194/gmd-16-6127-2023")</f>
        <v>http://dx.doi.org/10.5194/gmd-16-6127-2023</v>
      </c>
      <c r="BG544" t="s">
        <v>74</v>
      </c>
      <c r="BH544" t="s">
        <v>74</v>
      </c>
      <c r="BI544">
        <v>33</v>
      </c>
      <c r="BJ544" t="s">
        <v>535</v>
      </c>
      <c r="BK544" t="s">
        <v>100</v>
      </c>
      <c r="BL544" t="s">
        <v>536</v>
      </c>
      <c r="BM544" t="s">
        <v>10534</v>
      </c>
      <c r="BN544" t="s">
        <v>74</v>
      </c>
      <c r="BO544" t="s">
        <v>349</v>
      </c>
      <c r="BP544" t="s">
        <v>74</v>
      </c>
      <c r="BQ544" t="s">
        <v>74</v>
      </c>
      <c r="BR544" t="s">
        <v>104</v>
      </c>
      <c r="BS544" t="s">
        <v>10535</v>
      </c>
      <c r="BT544" t="str">
        <f>HYPERLINK("https%3A%2F%2Fwww.webofscience.com%2Fwos%2Fwoscc%2Ffull-record%2FWOS:001169003900001","View Full Record in Web of Science")</f>
        <v>View Full Record in Web of Science</v>
      </c>
    </row>
    <row r="545" spans="1:72" x14ac:dyDescent="0.15">
      <c r="A545" t="s">
        <v>72</v>
      </c>
      <c r="B545" t="s">
        <v>10536</v>
      </c>
      <c r="C545" t="s">
        <v>74</v>
      </c>
      <c r="D545" t="s">
        <v>74</v>
      </c>
      <c r="E545" t="s">
        <v>74</v>
      </c>
      <c r="F545" t="s">
        <v>10537</v>
      </c>
      <c r="G545" t="s">
        <v>74</v>
      </c>
      <c r="H545" t="s">
        <v>74</v>
      </c>
      <c r="I545" t="s">
        <v>10538</v>
      </c>
      <c r="J545" t="s">
        <v>3384</v>
      </c>
      <c r="K545" t="s">
        <v>74</v>
      </c>
      <c r="L545" t="s">
        <v>74</v>
      </c>
      <c r="M545" t="s">
        <v>78</v>
      </c>
      <c r="N545" t="s">
        <v>79</v>
      </c>
      <c r="O545" t="s">
        <v>74</v>
      </c>
      <c r="P545" t="s">
        <v>74</v>
      </c>
      <c r="Q545" t="s">
        <v>74</v>
      </c>
      <c r="R545" t="s">
        <v>74</v>
      </c>
      <c r="S545" t="s">
        <v>74</v>
      </c>
      <c r="T545" t="s">
        <v>74</v>
      </c>
      <c r="U545" t="s">
        <v>10539</v>
      </c>
      <c r="V545" t="s">
        <v>10540</v>
      </c>
      <c r="W545" t="s">
        <v>10541</v>
      </c>
      <c r="X545" t="s">
        <v>10542</v>
      </c>
      <c r="Y545" t="s">
        <v>10543</v>
      </c>
      <c r="Z545" t="s">
        <v>10544</v>
      </c>
      <c r="AA545" t="s">
        <v>74</v>
      </c>
      <c r="AB545" t="s">
        <v>10545</v>
      </c>
      <c r="AC545" t="s">
        <v>10546</v>
      </c>
      <c r="AD545" t="s">
        <v>10547</v>
      </c>
      <c r="AE545" t="s">
        <v>10548</v>
      </c>
      <c r="AF545" t="s">
        <v>74</v>
      </c>
      <c r="AG545">
        <v>68</v>
      </c>
      <c r="AH545">
        <v>0</v>
      </c>
      <c r="AI545">
        <v>0</v>
      </c>
      <c r="AJ545">
        <v>1</v>
      </c>
      <c r="AK545">
        <v>1</v>
      </c>
      <c r="AL545" t="s">
        <v>3057</v>
      </c>
      <c r="AM545" t="s">
        <v>3058</v>
      </c>
      <c r="AN545" t="s">
        <v>3059</v>
      </c>
      <c r="AO545" t="s">
        <v>74</v>
      </c>
      <c r="AP545" t="s">
        <v>3396</v>
      </c>
      <c r="AQ545" t="s">
        <v>74</v>
      </c>
      <c r="AR545" t="s">
        <v>3397</v>
      </c>
      <c r="AS545" t="s">
        <v>3398</v>
      </c>
      <c r="AT545" t="s">
        <v>10516</v>
      </c>
      <c r="AU545">
        <v>2023</v>
      </c>
      <c r="AV545">
        <v>14</v>
      </c>
      <c r="AW545">
        <v>1</v>
      </c>
      <c r="AX545" t="s">
        <v>74</v>
      </c>
      <c r="AY545" t="s">
        <v>74</v>
      </c>
      <c r="AZ545" t="s">
        <v>74</v>
      </c>
      <c r="BA545" t="s">
        <v>74</v>
      </c>
      <c r="BB545" t="s">
        <v>74</v>
      </c>
      <c r="BC545" t="s">
        <v>74</v>
      </c>
      <c r="BD545">
        <v>6984</v>
      </c>
      <c r="BE545" t="s">
        <v>10549</v>
      </c>
      <c r="BF545" t="str">
        <f>HYPERLINK("http://dx.doi.org/10.1038/s41467-023-42673-w","http://dx.doi.org/10.1038/s41467-023-42673-w")</f>
        <v>http://dx.doi.org/10.1038/s41467-023-42673-w</v>
      </c>
      <c r="BG545" t="s">
        <v>74</v>
      </c>
      <c r="BH545" t="s">
        <v>74</v>
      </c>
      <c r="BI545">
        <v>15</v>
      </c>
      <c r="BJ545" t="s">
        <v>1035</v>
      </c>
      <c r="BK545" t="s">
        <v>100</v>
      </c>
      <c r="BL545" t="s">
        <v>1036</v>
      </c>
      <c r="BM545" t="s">
        <v>10550</v>
      </c>
      <c r="BN545">
        <v>37914695</v>
      </c>
      <c r="BO545" t="s">
        <v>200</v>
      </c>
      <c r="BP545" t="s">
        <v>74</v>
      </c>
      <c r="BQ545" t="s">
        <v>74</v>
      </c>
      <c r="BR545" t="s">
        <v>104</v>
      </c>
      <c r="BS545" t="s">
        <v>10551</v>
      </c>
      <c r="BT545" t="str">
        <f>HYPERLINK("https%3A%2F%2Fwww.webofscience.com%2Fwos%2Fwoscc%2Ffull-record%2FWOS:001127178400023","View Full Record in Web of Science")</f>
        <v>View Full Record in Web of Science</v>
      </c>
    </row>
    <row r="546" spans="1:72" x14ac:dyDescent="0.15">
      <c r="A546" t="s">
        <v>72</v>
      </c>
      <c r="B546" t="s">
        <v>10552</v>
      </c>
      <c r="C546" t="s">
        <v>74</v>
      </c>
      <c r="D546" t="s">
        <v>74</v>
      </c>
      <c r="E546" t="s">
        <v>74</v>
      </c>
      <c r="F546" t="s">
        <v>10553</v>
      </c>
      <c r="G546" t="s">
        <v>74</v>
      </c>
      <c r="H546" t="s">
        <v>74</v>
      </c>
      <c r="I546" t="s">
        <v>10554</v>
      </c>
      <c r="J546" t="s">
        <v>5307</v>
      </c>
      <c r="K546" t="s">
        <v>74</v>
      </c>
      <c r="L546" t="s">
        <v>74</v>
      </c>
      <c r="M546" t="s">
        <v>78</v>
      </c>
      <c r="N546" t="s">
        <v>441</v>
      </c>
      <c r="O546" t="s">
        <v>74</v>
      </c>
      <c r="P546" t="s">
        <v>74</v>
      </c>
      <c r="Q546" t="s">
        <v>74</v>
      </c>
      <c r="R546" t="s">
        <v>74</v>
      </c>
      <c r="S546" t="s">
        <v>74</v>
      </c>
      <c r="T546" t="s">
        <v>10555</v>
      </c>
      <c r="U546" t="s">
        <v>10556</v>
      </c>
      <c r="V546" t="s">
        <v>10557</v>
      </c>
      <c r="W546" t="s">
        <v>10558</v>
      </c>
      <c r="X546" t="s">
        <v>10559</v>
      </c>
      <c r="Y546" t="s">
        <v>10560</v>
      </c>
      <c r="Z546" t="s">
        <v>10561</v>
      </c>
      <c r="AA546" t="s">
        <v>74</v>
      </c>
      <c r="AB546" t="s">
        <v>10562</v>
      </c>
      <c r="AC546" t="s">
        <v>10563</v>
      </c>
      <c r="AD546" t="s">
        <v>10564</v>
      </c>
      <c r="AE546" t="s">
        <v>10565</v>
      </c>
      <c r="AF546" t="s">
        <v>74</v>
      </c>
      <c r="AG546">
        <v>77</v>
      </c>
      <c r="AH546">
        <v>0</v>
      </c>
      <c r="AI546">
        <v>0</v>
      </c>
      <c r="AJ546">
        <v>1</v>
      </c>
      <c r="AK546">
        <v>1</v>
      </c>
      <c r="AL546" t="s">
        <v>975</v>
      </c>
      <c r="AM546" t="s">
        <v>976</v>
      </c>
      <c r="AN546" t="s">
        <v>977</v>
      </c>
      <c r="AO546" t="s">
        <v>5318</v>
      </c>
      <c r="AP546" t="s">
        <v>5319</v>
      </c>
      <c r="AQ546" t="s">
        <v>74</v>
      </c>
      <c r="AR546" t="s">
        <v>5320</v>
      </c>
      <c r="AS546" t="s">
        <v>5321</v>
      </c>
      <c r="AT546" t="s">
        <v>4525</v>
      </c>
      <c r="AU546">
        <v>2023</v>
      </c>
      <c r="AV546">
        <v>218</v>
      </c>
      <c r="AW546" t="s">
        <v>74</v>
      </c>
      <c r="AX546" t="s">
        <v>74</v>
      </c>
      <c r="AY546" t="s">
        <v>74</v>
      </c>
      <c r="AZ546" t="s">
        <v>74</v>
      </c>
      <c r="BA546" t="s">
        <v>74</v>
      </c>
      <c r="BB546" t="s">
        <v>74</v>
      </c>
      <c r="BC546" t="s">
        <v>74</v>
      </c>
      <c r="BD546">
        <v>103117</v>
      </c>
      <c r="BE546" t="s">
        <v>10566</v>
      </c>
      <c r="BF546" t="str">
        <f>HYPERLINK("http://dx.doi.org/10.1016/j.pocean.2023.103117","http://dx.doi.org/10.1016/j.pocean.2023.103117")</f>
        <v>http://dx.doi.org/10.1016/j.pocean.2023.103117</v>
      </c>
      <c r="BG546" t="s">
        <v>74</v>
      </c>
      <c r="BH546" t="s">
        <v>74</v>
      </c>
      <c r="BI546">
        <v>12</v>
      </c>
      <c r="BJ546" t="s">
        <v>5060</v>
      </c>
      <c r="BK546" t="s">
        <v>100</v>
      </c>
      <c r="BL546" t="s">
        <v>5060</v>
      </c>
      <c r="BM546" t="s">
        <v>10567</v>
      </c>
      <c r="BN546" t="s">
        <v>74</v>
      </c>
      <c r="BO546" t="s">
        <v>74</v>
      </c>
      <c r="BP546" t="s">
        <v>74</v>
      </c>
      <c r="BQ546" t="s">
        <v>74</v>
      </c>
      <c r="BR546" t="s">
        <v>104</v>
      </c>
      <c r="BS546" t="s">
        <v>10568</v>
      </c>
      <c r="BT546" t="str">
        <f>HYPERLINK("https%3A%2F%2Fwww.webofscience.com%2Fwos%2Fwoscc%2Ffull-record%2FWOS:001141476100001","View Full Record in Web of Science")</f>
        <v>View Full Record in Web of Science</v>
      </c>
    </row>
    <row r="547" spans="1:72" x14ac:dyDescent="0.15">
      <c r="A547" t="s">
        <v>72</v>
      </c>
      <c r="B547" t="s">
        <v>10569</v>
      </c>
      <c r="C547" t="s">
        <v>74</v>
      </c>
      <c r="D547" t="s">
        <v>74</v>
      </c>
      <c r="E547" t="s">
        <v>74</v>
      </c>
      <c r="F547" t="s">
        <v>10570</v>
      </c>
      <c r="G547" t="s">
        <v>74</v>
      </c>
      <c r="H547" t="s">
        <v>74</v>
      </c>
      <c r="I547" t="s">
        <v>10571</v>
      </c>
      <c r="J547" t="s">
        <v>5175</v>
      </c>
      <c r="K547" t="s">
        <v>74</v>
      </c>
      <c r="L547" t="s">
        <v>74</v>
      </c>
      <c r="M547" t="s">
        <v>78</v>
      </c>
      <c r="N547" t="s">
        <v>79</v>
      </c>
      <c r="O547" t="s">
        <v>74</v>
      </c>
      <c r="P547" t="s">
        <v>74</v>
      </c>
      <c r="Q547" t="s">
        <v>74</v>
      </c>
      <c r="R547" t="s">
        <v>74</v>
      </c>
      <c r="S547" t="s">
        <v>74</v>
      </c>
      <c r="T547" t="s">
        <v>10572</v>
      </c>
      <c r="U547" t="s">
        <v>10573</v>
      </c>
      <c r="V547" t="s">
        <v>10574</v>
      </c>
      <c r="W547" t="s">
        <v>10575</v>
      </c>
      <c r="X547" t="s">
        <v>5180</v>
      </c>
      <c r="Y547" t="s">
        <v>10576</v>
      </c>
      <c r="Z547" t="s">
        <v>10577</v>
      </c>
      <c r="AA547" t="s">
        <v>74</v>
      </c>
      <c r="AB547" t="s">
        <v>74</v>
      </c>
      <c r="AC547" t="s">
        <v>10578</v>
      </c>
      <c r="AD547" t="s">
        <v>1450</v>
      </c>
      <c r="AE547" t="s">
        <v>10579</v>
      </c>
      <c r="AF547" t="s">
        <v>74</v>
      </c>
      <c r="AG547">
        <v>44</v>
      </c>
      <c r="AH547">
        <v>0</v>
      </c>
      <c r="AI547">
        <v>0</v>
      </c>
      <c r="AJ547">
        <v>1</v>
      </c>
      <c r="AK547">
        <v>1</v>
      </c>
      <c r="AL547" t="s">
        <v>5183</v>
      </c>
      <c r="AM547" t="s">
        <v>1076</v>
      </c>
      <c r="AN547" t="s">
        <v>5184</v>
      </c>
      <c r="AO547" t="s">
        <v>5185</v>
      </c>
      <c r="AP547" t="s">
        <v>5186</v>
      </c>
      <c r="AQ547" t="s">
        <v>74</v>
      </c>
      <c r="AR547" t="s">
        <v>5187</v>
      </c>
      <c r="AS547" t="s">
        <v>5188</v>
      </c>
      <c r="AT547" t="s">
        <v>4525</v>
      </c>
      <c r="AU547">
        <v>2023</v>
      </c>
      <c r="AV547">
        <v>59</v>
      </c>
      <c r="AW547" t="s">
        <v>5419</v>
      </c>
      <c r="AX547" t="s">
        <v>74</v>
      </c>
      <c r="AY547">
        <v>2</v>
      </c>
      <c r="AZ547" t="s">
        <v>74</v>
      </c>
      <c r="BA547" t="s">
        <v>74</v>
      </c>
      <c r="BB547" t="s">
        <v>10580</v>
      </c>
      <c r="BC547" t="s">
        <v>10581</v>
      </c>
      <c r="BD547" t="s">
        <v>74</v>
      </c>
      <c r="BE547" t="s">
        <v>10582</v>
      </c>
      <c r="BF547" t="str">
        <f>HYPERLINK("http://dx.doi.org/10.1134/S0001433823140025","http://dx.doi.org/10.1134/S0001433823140025")</f>
        <v>http://dx.doi.org/10.1134/S0001433823140025</v>
      </c>
      <c r="BG547" t="s">
        <v>74</v>
      </c>
      <c r="BH547" t="s">
        <v>74</v>
      </c>
      <c r="BI547">
        <v>8</v>
      </c>
      <c r="BJ547" t="s">
        <v>1417</v>
      </c>
      <c r="BK547" t="s">
        <v>100</v>
      </c>
      <c r="BL547" t="s">
        <v>1417</v>
      </c>
      <c r="BM547" t="s">
        <v>10583</v>
      </c>
      <c r="BN547" t="s">
        <v>74</v>
      </c>
      <c r="BO547" t="s">
        <v>74</v>
      </c>
      <c r="BP547" t="s">
        <v>74</v>
      </c>
      <c r="BQ547" t="s">
        <v>74</v>
      </c>
      <c r="BR547" t="s">
        <v>104</v>
      </c>
      <c r="BS547" t="s">
        <v>10584</v>
      </c>
      <c r="BT547" t="str">
        <f>HYPERLINK("https%3A%2F%2Fwww.webofscience.com%2Fwos%2Fwoscc%2Ffull-record%2FWOS:001116458500009","View Full Record in Web of Science")</f>
        <v>View Full Record in Web of Science</v>
      </c>
    </row>
    <row r="548" spans="1:72" x14ac:dyDescent="0.15">
      <c r="A548" t="s">
        <v>72</v>
      </c>
      <c r="B548" t="s">
        <v>10585</v>
      </c>
      <c r="C548" t="s">
        <v>74</v>
      </c>
      <c r="D548" t="s">
        <v>74</v>
      </c>
      <c r="E548" t="s">
        <v>74</v>
      </c>
      <c r="F548" t="s">
        <v>10586</v>
      </c>
      <c r="G548" t="s">
        <v>74</v>
      </c>
      <c r="H548" t="s">
        <v>74</v>
      </c>
      <c r="I548" t="s">
        <v>10587</v>
      </c>
      <c r="J548" t="s">
        <v>5175</v>
      </c>
      <c r="K548" t="s">
        <v>74</v>
      </c>
      <c r="L548" t="s">
        <v>74</v>
      </c>
      <c r="M548" t="s">
        <v>78</v>
      </c>
      <c r="N548" t="s">
        <v>79</v>
      </c>
      <c r="O548" t="s">
        <v>74</v>
      </c>
      <c r="P548" t="s">
        <v>74</v>
      </c>
      <c r="Q548" t="s">
        <v>74</v>
      </c>
      <c r="R548" t="s">
        <v>74</v>
      </c>
      <c r="S548" t="s">
        <v>74</v>
      </c>
      <c r="T548" t="s">
        <v>10588</v>
      </c>
      <c r="U548" t="s">
        <v>74</v>
      </c>
      <c r="V548" t="s">
        <v>10589</v>
      </c>
      <c r="W548" t="s">
        <v>10590</v>
      </c>
      <c r="X548" t="s">
        <v>5180</v>
      </c>
      <c r="Y548" t="s">
        <v>10576</v>
      </c>
      <c r="Z548" t="s">
        <v>10577</v>
      </c>
      <c r="AA548" t="s">
        <v>74</v>
      </c>
      <c r="AB548" t="s">
        <v>74</v>
      </c>
      <c r="AC548" t="s">
        <v>10591</v>
      </c>
      <c r="AD548" t="s">
        <v>5506</v>
      </c>
      <c r="AE548" t="s">
        <v>10592</v>
      </c>
      <c r="AF548" t="s">
        <v>74</v>
      </c>
      <c r="AG548">
        <v>18</v>
      </c>
      <c r="AH548">
        <v>0</v>
      </c>
      <c r="AI548">
        <v>0</v>
      </c>
      <c r="AJ548">
        <v>0</v>
      </c>
      <c r="AK548">
        <v>0</v>
      </c>
      <c r="AL548" t="s">
        <v>5183</v>
      </c>
      <c r="AM548" t="s">
        <v>1076</v>
      </c>
      <c r="AN548" t="s">
        <v>5184</v>
      </c>
      <c r="AO548" t="s">
        <v>5185</v>
      </c>
      <c r="AP548" t="s">
        <v>5186</v>
      </c>
      <c r="AQ548" t="s">
        <v>74</v>
      </c>
      <c r="AR548" t="s">
        <v>5187</v>
      </c>
      <c r="AS548" t="s">
        <v>5188</v>
      </c>
      <c r="AT548" t="s">
        <v>4525</v>
      </c>
      <c r="AU548">
        <v>2023</v>
      </c>
      <c r="AV548">
        <v>59</v>
      </c>
      <c r="AW548" t="s">
        <v>5419</v>
      </c>
      <c r="AX548" t="s">
        <v>74</v>
      </c>
      <c r="AY548">
        <v>2</v>
      </c>
      <c r="AZ548" t="s">
        <v>74</v>
      </c>
      <c r="BA548" t="s">
        <v>74</v>
      </c>
      <c r="BB548" t="s">
        <v>10593</v>
      </c>
      <c r="BC548" t="s">
        <v>10594</v>
      </c>
      <c r="BD548" t="s">
        <v>74</v>
      </c>
      <c r="BE548" t="s">
        <v>10595</v>
      </c>
      <c r="BF548" t="str">
        <f>HYPERLINK("http://dx.doi.org/10.1134/S0001433823140013","http://dx.doi.org/10.1134/S0001433823140013")</f>
        <v>http://dx.doi.org/10.1134/S0001433823140013</v>
      </c>
      <c r="BG548" t="s">
        <v>74</v>
      </c>
      <c r="BH548" t="s">
        <v>74</v>
      </c>
      <c r="BI548">
        <v>6</v>
      </c>
      <c r="BJ548" t="s">
        <v>1417</v>
      </c>
      <c r="BK548" t="s">
        <v>100</v>
      </c>
      <c r="BL548" t="s">
        <v>1417</v>
      </c>
      <c r="BM548" t="s">
        <v>10583</v>
      </c>
      <c r="BN548" t="s">
        <v>74</v>
      </c>
      <c r="BO548" t="s">
        <v>74</v>
      </c>
      <c r="BP548" t="s">
        <v>74</v>
      </c>
      <c r="BQ548" t="s">
        <v>74</v>
      </c>
      <c r="BR548" t="s">
        <v>104</v>
      </c>
      <c r="BS548" t="s">
        <v>10596</v>
      </c>
      <c r="BT548" t="str">
        <f>HYPERLINK("https%3A%2F%2Fwww.webofscience.com%2Fwos%2Fwoscc%2Ffull-record%2FWOS:001116458500001","View Full Record in Web of Science")</f>
        <v>View Full Record in Web of Science</v>
      </c>
    </row>
    <row r="549" spans="1:72" x14ac:dyDescent="0.15">
      <c r="A549" t="s">
        <v>72</v>
      </c>
      <c r="B549" t="s">
        <v>10597</v>
      </c>
      <c r="C549" t="s">
        <v>74</v>
      </c>
      <c r="D549" t="s">
        <v>74</v>
      </c>
      <c r="E549" t="s">
        <v>74</v>
      </c>
      <c r="F549" t="s">
        <v>10598</v>
      </c>
      <c r="G549" t="s">
        <v>74</v>
      </c>
      <c r="H549" t="s">
        <v>74</v>
      </c>
      <c r="I549" t="s">
        <v>10599</v>
      </c>
      <c r="J549" t="s">
        <v>10600</v>
      </c>
      <c r="K549" t="s">
        <v>74</v>
      </c>
      <c r="L549" t="s">
        <v>74</v>
      </c>
      <c r="M549" t="s">
        <v>78</v>
      </c>
      <c r="N549" t="s">
        <v>79</v>
      </c>
      <c r="O549" t="s">
        <v>74</v>
      </c>
      <c r="P549" t="s">
        <v>74</v>
      </c>
      <c r="Q549" t="s">
        <v>74</v>
      </c>
      <c r="R549" t="s">
        <v>74</v>
      </c>
      <c r="S549" t="s">
        <v>74</v>
      </c>
      <c r="T549" t="s">
        <v>10601</v>
      </c>
      <c r="U549" t="s">
        <v>10602</v>
      </c>
      <c r="V549" t="s">
        <v>10603</v>
      </c>
      <c r="W549" t="s">
        <v>10604</v>
      </c>
      <c r="X549" t="s">
        <v>10605</v>
      </c>
      <c r="Y549" t="s">
        <v>10606</v>
      </c>
      <c r="Z549" t="s">
        <v>10607</v>
      </c>
      <c r="AA549" t="s">
        <v>74</v>
      </c>
      <c r="AB549" t="s">
        <v>74</v>
      </c>
      <c r="AC549" t="s">
        <v>10608</v>
      </c>
      <c r="AD549" t="s">
        <v>10609</v>
      </c>
      <c r="AE549" t="s">
        <v>10610</v>
      </c>
      <c r="AF549" t="s">
        <v>74</v>
      </c>
      <c r="AG549">
        <v>153</v>
      </c>
      <c r="AH549">
        <v>0</v>
      </c>
      <c r="AI549">
        <v>0</v>
      </c>
      <c r="AJ549">
        <v>6</v>
      </c>
      <c r="AK549">
        <v>6</v>
      </c>
      <c r="AL549" t="s">
        <v>1101</v>
      </c>
      <c r="AM549" t="s">
        <v>1102</v>
      </c>
      <c r="AN549" t="s">
        <v>1103</v>
      </c>
      <c r="AO549" t="s">
        <v>10611</v>
      </c>
      <c r="AP549" t="s">
        <v>10612</v>
      </c>
      <c r="AQ549" t="s">
        <v>74</v>
      </c>
      <c r="AR549" t="s">
        <v>10613</v>
      </c>
      <c r="AS549" t="s">
        <v>10614</v>
      </c>
      <c r="AT549" t="s">
        <v>4525</v>
      </c>
      <c r="AU549">
        <v>2023</v>
      </c>
      <c r="AV549">
        <v>34</v>
      </c>
      <c r="AW549">
        <v>6</v>
      </c>
      <c r="AX549" t="s">
        <v>74</v>
      </c>
      <c r="AY549" t="s">
        <v>74</v>
      </c>
      <c r="AZ549" t="s">
        <v>74</v>
      </c>
      <c r="BA549" t="s">
        <v>74</v>
      </c>
      <c r="BB549" t="s">
        <v>74</v>
      </c>
      <c r="BC549" t="s">
        <v>74</v>
      </c>
      <c r="BD549" t="s">
        <v>10615</v>
      </c>
      <c r="BE549" t="s">
        <v>10616</v>
      </c>
      <c r="BF549" t="str">
        <f>HYPERLINK("http://dx.doi.org/10.1111/jvs.13217","http://dx.doi.org/10.1111/jvs.13217")</f>
        <v>http://dx.doi.org/10.1111/jvs.13217</v>
      </c>
      <c r="BG549" t="s">
        <v>74</v>
      </c>
      <c r="BH549" t="s">
        <v>74</v>
      </c>
      <c r="BI549">
        <v>17</v>
      </c>
      <c r="BJ549" t="s">
        <v>10617</v>
      </c>
      <c r="BK549" t="s">
        <v>100</v>
      </c>
      <c r="BL549" t="s">
        <v>10618</v>
      </c>
      <c r="BM549" t="s">
        <v>10619</v>
      </c>
      <c r="BN549" t="s">
        <v>74</v>
      </c>
      <c r="BO549" t="s">
        <v>322</v>
      </c>
      <c r="BP549" t="s">
        <v>74</v>
      </c>
      <c r="BQ549" t="s">
        <v>74</v>
      </c>
      <c r="BR549" t="s">
        <v>104</v>
      </c>
      <c r="BS549" t="s">
        <v>10620</v>
      </c>
      <c r="BT549" t="str">
        <f>HYPERLINK("https%3A%2F%2Fwww.webofscience.com%2Fwos%2Fwoscc%2Ffull-record%2FWOS:001127504800001","View Full Record in Web of Science")</f>
        <v>View Full Record in Web of Science</v>
      </c>
    </row>
    <row r="550" spans="1:72" x14ac:dyDescent="0.15">
      <c r="A550" t="s">
        <v>72</v>
      </c>
      <c r="B550" t="s">
        <v>10621</v>
      </c>
      <c r="C550" t="s">
        <v>74</v>
      </c>
      <c r="D550" t="s">
        <v>74</v>
      </c>
      <c r="E550" t="s">
        <v>74</v>
      </c>
      <c r="F550" t="s">
        <v>10622</v>
      </c>
      <c r="G550" t="s">
        <v>74</v>
      </c>
      <c r="H550" t="s">
        <v>74</v>
      </c>
      <c r="I550" t="s">
        <v>10623</v>
      </c>
      <c r="J550" t="s">
        <v>10624</v>
      </c>
      <c r="K550" t="s">
        <v>74</v>
      </c>
      <c r="L550" t="s">
        <v>74</v>
      </c>
      <c r="M550" t="s">
        <v>78</v>
      </c>
      <c r="N550" t="s">
        <v>79</v>
      </c>
      <c r="O550" t="s">
        <v>74</v>
      </c>
      <c r="P550" t="s">
        <v>74</v>
      </c>
      <c r="Q550" t="s">
        <v>74</v>
      </c>
      <c r="R550" t="s">
        <v>74</v>
      </c>
      <c r="S550" t="s">
        <v>74</v>
      </c>
      <c r="T550" t="s">
        <v>10625</v>
      </c>
      <c r="U550" t="s">
        <v>10626</v>
      </c>
      <c r="V550" t="s">
        <v>10627</v>
      </c>
      <c r="W550" t="s">
        <v>10628</v>
      </c>
      <c r="X550" t="s">
        <v>10629</v>
      </c>
      <c r="Y550" t="s">
        <v>10630</v>
      </c>
      <c r="Z550" t="s">
        <v>10631</v>
      </c>
      <c r="AA550" t="s">
        <v>10632</v>
      </c>
      <c r="AB550" t="s">
        <v>10633</v>
      </c>
      <c r="AC550" t="s">
        <v>10634</v>
      </c>
      <c r="AD550" t="s">
        <v>10635</v>
      </c>
      <c r="AE550" t="s">
        <v>10636</v>
      </c>
      <c r="AF550" t="s">
        <v>74</v>
      </c>
      <c r="AG550">
        <v>277</v>
      </c>
      <c r="AH550">
        <v>0</v>
      </c>
      <c r="AI550">
        <v>0</v>
      </c>
      <c r="AJ550">
        <v>5</v>
      </c>
      <c r="AK550">
        <v>5</v>
      </c>
      <c r="AL550" t="s">
        <v>1101</v>
      </c>
      <c r="AM550" t="s">
        <v>1102</v>
      </c>
      <c r="AN550" t="s">
        <v>6210</v>
      </c>
      <c r="AO550" t="s">
        <v>10637</v>
      </c>
      <c r="AP550" t="s">
        <v>10638</v>
      </c>
      <c r="AQ550" t="s">
        <v>74</v>
      </c>
      <c r="AR550" t="s">
        <v>10639</v>
      </c>
      <c r="AS550" t="s">
        <v>10640</v>
      </c>
      <c r="AT550" t="s">
        <v>4525</v>
      </c>
      <c r="AU550">
        <v>2023</v>
      </c>
      <c r="AV550">
        <v>9</v>
      </c>
      <c r="AW550">
        <v>6</v>
      </c>
      <c r="AX550" t="s">
        <v>74</v>
      </c>
      <c r="AY550" t="s">
        <v>74</v>
      </c>
      <c r="AZ550" t="s">
        <v>74</v>
      </c>
      <c r="BA550" t="s">
        <v>74</v>
      </c>
      <c r="BB550" t="s">
        <v>74</v>
      </c>
      <c r="BC550" t="s">
        <v>74</v>
      </c>
      <c r="BD550" t="s">
        <v>10641</v>
      </c>
      <c r="BE550" t="s">
        <v>10642</v>
      </c>
      <c r="BF550" t="str">
        <f>HYPERLINK("http://dx.doi.org/10.1002/spp2.1536","http://dx.doi.org/10.1002/spp2.1536")</f>
        <v>http://dx.doi.org/10.1002/spp2.1536</v>
      </c>
      <c r="BG550" t="s">
        <v>74</v>
      </c>
      <c r="BH550" t="s">
        <v>74</v>
      </c>
      <c r="BI550">
        <v>45</v>
      </c>
      <c r="BJ550" t="s">
        <v>2844</v>
      </c>
      <c r="BK550" t="s">
        <v>100</v>
      </c>
      <c r="BL550" t="s">
        <v>2844</v>
      </c>
      <c r="BM550" t="s">
        <v>10643</v>
      </c>
      <c r="BN550" t="s">
        <v>74</v>
      </c>
      <c r="BO550" t="s">
        <v>74</v>
      </c>
      <c r="BP550" t="s">
        <v>74</v>
      </c>
      <c r="BQ550" t="s">
        <v>74</v>
      </c>
      <c r="BR550" t="s">
        <v>104</v>
      </c>
      <c r="BS550" t="s">
        <v>10644</v>
      </c>
      <c r="BT550" t="str">
        <f>HYPERLINK("https%3A%2F%2Fwww.webofscience.com%2Fwos%2Fwoscc%2Ffull-record%2FWOS:001124575800001","View Full Record in Web of Science")</f>
        <v>View Full Record in Web of Science</v>
      </c>
    </row>
    <row r="551" spans="1:72" x14ac:dyDescent="0.15">
      <c r="A551" t="s">
        <v>72</v>
      </c>
      <c r="B551" t="s">
        <v>10645</v>
      </c>
      <c r="C551" t="s">
        <v>74</v>
      </c>
      <c r="D551" t="s">
        <v>74</v>
      </c>
      <c r="E551" t="s">
        <v>74</v>
      </c>
      <c r="F551" t="s">
        <v>10646</v>
      </c>
      <c r="G551" t="s">
        <v>74</v>
      </c>
      <c r="H551" t="s">
        <v>74</v>
      </c>
      <c r="I551" t="s">
        <v>10647</v>
      </c>
      <c r="J551" t="s">
        <v>1167</v>
      </c>
      <c r="K551" t="s">
        <v>74</v>
      </c>
      <c r="L551" t="s">
        <v>74</v>
      </c>
      <c r="M551" t="s">
        <v>78</v>
      </c>
      <c r="N551" t="s">
        <v>79</v>
      </c>
      <c r="O551" t="s">
        <v>74</v>
      </c>
      <c r="P551" t="s">
        <v>74</v>
      </c>
      <c r="Q551" t="s">
        <v>74</v>
      </c>
      <c r="R551" t="s">
        <v>74</v>
      </c>
      <c r="S551" t="s">
        <v>74</v>
      </c>
      <c r="T551" t="s">
        <v>10648</v>
      </c>
      <c r="U551" t="s">
        <v>10649</v>
      </c>
      <c r="V551" t="s">
        <v>10650</v>
      </c>
      <c r="W551" t="s">
        <v>10651</v>
      </c>
      <c r="X551" t="s">
        <v>10652</v>
      </c>
      <c r="Y551" t="s">
        <v>10653</v>
      </c>
      <c r="Z551" t="s">
        <v>116</v>
      </c>
      <c r="AA551" t="s">
        <v>74</v>
      </c>
      <c r="AB551" t="s">
        <v>10654</v>
      </c>
      <c r="AC551" t="s">
        <v>10655</v>
      </c>
      <c r="AD551" t="s">
        <v>10655</v>
      </c>
      <c r="AE551" t="s">
        <v>10656</v>
      </c>
      <c r="AF551" t="s">
        <v>74</v>
      </c>
      <c r="AG551">
        <v>61</v>
      </c>
      <c r="AH551">
        <v>0</v>
      </c>
      <c r="AI551">
        <v>0</v>
      </c>
      <c r="AJ551">
        <v>0</v>
      </c>
      <c r="AK551">
        <v>0</v>
      </c>
      <c r="AL551" t="s">
        <v>1180</v>
      </c>
      <c r="AM551" t="s">
        <v>1181</v>
      </c>
      <c r="AN551" t="s">
        <v>1182</v>
      </c>
      <c r="AO551" t="s">
        <v>1183</v>
      </c>
      <c r="AP551" t="s">
        <v>1184</v>
      </c>
      <c r="AQ551" t="s">
        <v>74</v>
      </c>
      <c r="AR551" t="s">
        <v>1167</v>
      </c>
      <c r="AS551" t="s">
        <v>1185</v>
      </c>
      <c r="AT551" t="s">
        <v>10516</v>
      </c>
      <c r="AU551">
        <v>2023</v>
      </c>
      <c r="AV551">
        <v>23</v>
      </c>
      <c r="AW551">
        <v>11</v>
      </c>
      <c r="AX551" t="s">
        <v>74</v>
      </c>
      <c r="AY551" t="s">
        <v>74</v>
      </c>
      <c r="AZ551" t="s">
        <v>74</v>
      </c>
      <c r="BA551" t="s">
        <v>74</v>
      </c>
      <c r="BB551">
        <v>1165</v>
      </c>
      <c r="BC551">
        <v>1178</v>
      </c>
      <c r="BD551" t="s">
        <v>74</v>
      </c>
      <c r="BE551" t="s">
        <v>10657</v>
      </c>
      <c r="BF551" t="str">
        <f>HYPERLINK("http://dx.doi.org/10.1089/ast.2021.0102","http://dx.doi.org/10.1089/ast.2021.0102")</f>
        <v>http://dx.doi.org/10.1089/ast.2021.0102</v>
      </c>
      <c r="BG551" t="s">
        <v>74</v>
      </c>
      <c r="BH551" t="s">
        <v>74</v>
      </c>
      <c r="BI551">
        <v>14</v>
      </c>
      <c r="BJ551" t="s">
        <v>1188</v>
      </c>
      <c r="BK551" t="s">
        <v>100</v>
      </c>
      <c r="BL551" t="s">
        <v>1189</v>
      </c>
      <c r="BM551" t="s">
        <v>10658</v>
      </c>
      <c r="BN551">
        <v>37962840</v>
      </c>
      <c r="BO551" t="s">
        <v>74</v>
      </c>
      <c r="BP551" t="s">
        <v>74</v>
      </c>
      <c r="BQ551" t="s">
        <v>74</v>
      </c>
      <c r="BR551" t="s">
        <v>104</v>
      </c>
      <c r="BS551" t="s">
        <v>10659</v>
      </c>
      <c r="BT551" t="str">
        <f>HYPERLINK("https%3A%2F%2Fwww.webofscience.com%2Fwos%2Fwoscc%2Ffull-record%2FWOS:001101842900003","View Full Record in Web of Science")</f>
        <v>View Full Record in Web of Science</v>
      </c>
    </row>
    <row r="552" spans="1:72" x14ac:dyDescent="0.15">
      <c r="A552" t="s">
        <v>72</v>
      </c>
      <c r="B552" t="s">
        <v>10660</v>
      </c>
      <c r="C552" t="s">
        <v>74</v>
      </c>
      <c r="D552" t="s">
        <v>74</v>
      </c>
      <c r="E552" t="s">
        <v>74</v>
      </c>
      <c r="F552" t="s">
        <v>10661</v>
      </c>
      <c r="G552" t="s">
        <v>74</v>
      </c>
      <c r="H552" t="s">
        <v>74</v>
      </c>
      <c r="I552" t="s">
        <v>10662</v>
      </c>
      <c r="J552" t="s">
        <v>5795</v>
      </c>
      <c r="K552" t="s">
        <v>74</v>
      </c>
      <c r="L552" t="s">
        <v>74</v>
      </c>
      <c r="M552" t="s">
        <v>78</v>
      </c>
      <c r="N552" t="s">
        <v>79</v>
      </c>
      <c r="O552" t="s">
        <v>74</v>
      </c>
      <c r="P552" t="s">
        <v>74</v>
      </c>
      <c r="Q552" t="s">
        <v>74</v>
      </c>
      <c r="R552" t="s">
        <v>74</v>
      </c>
      <c r="S552" t="s">
        <v>74</v>
      </c>
      <c r="T552" t="s">
        <v>10663</v>
      </c>
      <c r="U552" t="s">
        <v>10664</v>
      </c>
      <c r="V552" t="s">
        <v>10665</v>
      </c>
      <c r="W552" t="s">
        <v>10666</v>
      </c>
      <c r="X552" t="s">
        <v>10667</v>
      </c>
      <c r="Y552" t="s">
        <v>10668</v>
      </c>
      <c r="Z552" t="s">
        <v>10669</v>
      </c>
      <c r="AA552" t="s">
        <v>10670</v>
      </c>
      <c r="AB552" t="s">
        <v>10671</v>
      </c>
      <c r="AC552" t="s">
        <v>10672</v>
      </c>
      <c r="AD552" t="s">
        <v>10672</v>
      </c>
      <c r="AE552" t="s">
        <v>2553</v>
      </c>
      <c r="AF552" t="s">
        <v>74</v>
      </c>
      <c r="AG552">
        <v>61</v>
      </c>
      <c r="AH552">
        <v>0</v>
      </c>
      <c r="AI552">
        <v>0</v>
      </c>
      <c r="AJ552">
        <v>3</v>
      </c>
      <c r="AK552">
        <v>3</v>
      </c>
      <c r="AL552" t="s">
        <v>5695</v>
      </c>
      <c r="AM552" t="s">
        <v>5696</v>
      </c>
      <c r="AN552" t="s">
        <v>5697</v>
      </c>
      <c r="AO552" t="s">
        <v>74</v>
      </c>
      <c r="AP552" t="s">
        <v>5805</v>
      </c>
      <c r="AQ552" t="s">
        <v>74</v>
      </c>
      <c r="AR552" t="s">
        <v>5806</v>
      </c>
      <c r="AS552" t="s">
        <v>5807</v>
      </c>
      <c r="AT552" t="s">
        <v>4525</v>
      </c>
      <c r="AU552">
        <v>2023</v>
      </c>
      <c r="AV552">
        <v>14</v>
      </c>
      <c r="AW552">
        <v>11</v>
      </c>
      <c r="AX552" t="s">
        <v>74</v>
      </c>
      <c r="AY552" t="s">
        <v>74</v>
      </c>
      <c r="AZ552" t="s">
        <v>74</v>
      </c>
      <c r="BA552" t="s">
        <v>74</v>
      </c>
      <c r="BB552" t="s">
        <v>74</v>
      </c>
      <c r="BC552" t="s">
        <v>74</v>
      </c>
      <c r="BD552">
        <v>1659</v>
      </c>
      <c r="BE552" t="s">
        <v>10673</v>
      </c>
      <c r="BF552" t="str">
        <f>HYPERLINK("http://dx.doi.org/10.3390/atmos14111659","http://dx.doi.org/10.3390/atmos14111659")</f>
        <v>http://dx.doi.org/10.3390/atmos14111659</v>
      </c>
      <c r="BG552" t="s">
        <v>74</v>
      </c>
      <c r="BH552" t="s">
        <v>74</v>
      </c>
      <c r="BI552">
        <v>21</v>
      </c>
      <c r="BJ552" t="s">
        <v>2382</v>
      </c>
      <c r="BK552" t="s">
        <v>100</v>
      </c>
      <c r="BL552" t="s">
        <v>2383</v>
      </c>
      <c r="BM552" t="s">
        <v>10674</v>
      </c>
      <c r="BN552" t="s">
        <v>74</v>
      </c>
      <c r="BO552" t="s">
        <v>131</v>
      </c>
      <c r="BP552" t="s">
        <v>74</v>
      </c>
      <c r="BQ552" t="s">
        <v>74</v>
      </c>
      <c r="BR552" t="s">
        <v>104</v>
      </c>
      <c r="BS552" t="s">
        <v>10675</v>
      </c>
      <c r="BT552" t="str">
        <f>HYPERLINK("https%3A%2F%2Fwww.webofscience.com%2Fwos%2Fwoscc%2Ffull-record%2FWOS:001120701200001","View Full Record in Web of Science")</f>
        <v>View Full Record in Web of Science</v>
      </c>
    </row>
    <row r="553" spans="1:72" x14ac:dyDescent="0.15">
      <c r="A553" t="s">
        <v>72</v>
      </c>
      <c r="B553" t="s">
        <v>10676</v>
      </c>
      <c r="C553" t="s">
        <v>74</v>
      </c>
      <c r="D553" t="s">
        <v>74</v>
      </c>
      <c r="E553" t="s">
        <v>74</v>
      </c>
      <c r="F553" t="s">
        <v>10677</v>
      </c>
      <c r="G553" t="s">
        <v>74</v>
      </c>
      <c r="H553" t="s">
        <v>74</v>
      </c>
      <c r="I553" t="s">
        <v>10678</v>
      </c>
      <c r="J553" t="s">
        <v>10679</v>
      </c>
      <c r="K553" t="s">
        <v>74</v>
      </c>
      <c r="L553" t="s">
        <v>74</v>
      </c>
      <c r="M553" t="s">
        <v>78</v>
      </c>
      <c r="N553" t="s">
        <v>79</v>
      </c>
      <c r="O553" t="s">
        <v>74</v>
      </c>
      <c r="P553" t="s">
        <v>74</v>
      </c>
      <c r="Q553" t="s">
        <v>74</v>
      </c>
      <c r="R553" t="s">
        <v>74</v>
      </c>
      <c r="S553" t="s">
        <v>74</v>
      </c>
      <c r="T553" t="s">
        <v>10680</v>
      </c>
      <c r="U553" t="s">
        <v>10681</v>
      </c>
      <c r="V553" t="s">
        <v>10682</v>
      </c>
      <c r="W553" t="s">
        <v>10683</v>
      </c>
      <c r="X553" t="s">
        <v>10684</v>
      </c>
      <c r="Y553" t="s">
        <v>10685</v>
      </c>
      <c r="Z553" t="s">
        <v>10686</v>
      </c>
      <c r="AA553" t="s">
        <v>10687</v>
      </c>
      <c r="AB553" t="s">
        <v>10688</v>
      </c>
      <c r="AC553" t="s">
        <v>10689</v>
      </c>
      <c r="AD553" t="s">
        <v>10689</v>
      </c>
      <c r="AE553" t="s">
        <v>2553</v>
      </c>
      <c r="AF553" t="s">
        <v>74</v>
      </c>
      <c r="AG553">
        <v>80</v>
      </c>
      <c r="AH553">
        <v>0</v>
      </c>
      <c r="AI553">
        <v>0</v>
      </c>
      <c r="AJ553">
        <v>5</v>
      </c>
      <c r="AK553">
        <v>5</v>
      </c>
      <c r="AL553" t="s">
        <v>5695</v>
      </c>
      <c r="AM553" t="s">
        <v>5696</v>
      </c>
      <c r="AN553" t="s">
        <v>5697</v>
      </c>
      <c r="AO553" t="s">
        <v>74</v>
      </c>
      <c r="AP553" t="s">
        <v>10690</v>
      </c>
      <c r="AQ553" t="s">
        <v>74</v>
      </c>
      <c r="AR553" t="s">
        <v>10691</v>
      </c>
      <c r="AS553" t="s">
        <v>10692</v>
      </c>
      <c r="AT553" t="s">
        <v>4525</v>
      </c>
      <c r="AU553">
        <v>2023</v>
      </c>
      <c r="AV553">
        <v>9</v>
      </c>
      <c r="AW553">
        <v>11</v>
      </c>
      <c r="AX553" t="s">
        <v>74</v>
      </c>
      <c r="AY553" t="s">
        <v>74</v>
      </c>
      <c r="AZ553" t="s">
        <v>74</v>
      </c>
      <c r="BA553" t="s">
        <v>74</v>
      </c>
      <c r="BB553" t="s">
        <v>74</v>
      </c>
      <c r="BC553" t="s">
        <v>74</v>
      </c>
      <c r="BD553">
        <v>1095</v>
      </c>
      <c r="BE553" t="s">
        <v>10693</v>
      </c>
      <c r="BF553" t="str">
        <f>HYPERLINK("http://dx.doi.org/10.3390/jof9111095","http://dx.doi.org/10.3390/jof9111095")</f>
        <v>http://dx.doi.org/10.3390/jof9111095</v>
      </c>
      <c r="BG553" t="s">
        <v>74</v>
      </c>
      <c r="BH553" t="s">
        <v>74</v>
      </c>
      <c r="BI553">
        <v>19</v>
      </c>
      <c r="BJ553" t="s">
        <v>10694</v>
      </c>
      <c r="BK553" t="s">
        <v>100</v>
      </c>
      <c r="BL553" t="s">
        <v>10694</v>
      </c>
      <c r="BM553" t="s">
        <v>10695</v>
      </c>
      <c r="BN553">
        <v>37998900</v>
      </c>
      <c r="BO553" t="s">
        <v>265</v>
      </c>
      <c r="BP553" t="s">
        <v>74</v>
      </c>
      <c r="BQ553" t="s">
        <v>74</v>
      </c>
      <c r="BR553" t="s">
        <v>104</v>
      </c>
      <c r="BS553" t="s">
        <v>10696</v>
      </c>
      <c r="BT553" t="str">
        <f>HYPERLINK("https%3A%2F%2Fwww.webofscience.com%2Fwos%2Fwoscc%2Ffull-record%2FWOS:001120276600001","View Full Record in Web of Science")</f>
        <v>View Full Record in Web of Science</v>
      </c>
    </row>
    <row r="554" spans="1:72" x14ac:dyDescent="0.15">
      <c r="A554" t="s">
        <v>72</v>
      </c>
      <c r="B554" t="s">
        <v>10697</v>
      </c>
      <c r="C554" t="s">
        <v>74</v>
      </c>
      <c r="D554" t="s">
        <v>74</v>
      </c>
      <c r="E554" t="s">
        <v>74</v>
      </c>
      <c r="F554" t="s">
        <v>10698</v>
      </c>
      <c r="G554" t="s">
        <v>74</v>
      </c>
      <c r="H554" t="s">
        <v>74</v>
      </c>
      <c r="I554" t="s">
        <v>10699</v>
      </c>
      <c r="J554" t="s">
        <v>5706</v>
      </c>
      <c r="K554" t="s">
        <v>74</v>
      </c>
      <c r="L554" t="s">
        <v>74</v>
      </c>
      <c r="M554" t="s">
        <v>78</v>
      </c>
      <c r="N554" t="s">
        <v>79</v>
      </c>
      <c r="O554" t="s">
        <v>74</v>
      </c>
      <c r="P554" t="s">
        <v>74</v>
      </c>
      <c r="Q554" t="s">
        <v>74</v>
      </c>
      <c r="R554" t="s">
        <v>74</v>
      </c>
      <c r="S554" t="s">
        <v>74</v>
      </c>
      <c r="T554" t="s">
        <v>10700</v>
      </c>
      <c r="U554" t="s">
        <v>10701</v>
      </c>
      <c r="V554" t="s">
        <v>10702</v>
      </c>
      <c r="W554" t="s">
        <v>10703</v>
      </c>
      <c r="X554" t="s">
        <v>10704</v>
      </c>
      <c r="Y554" t="s">
        <v>10705</v>
      </c>
      <c r="Z554" t="s">
        <v>10706</v>
      </c>
      <c r="AA554" t="s">
        <v>10707</v>
      </c>
      <c r="AB554" t="s">
        <v>10708</v>
      </c>
      <c r="AC554" t="s">
        <v>10709</v>
      </c>
      <c r="AD554" t="s">
        <v>10710</v>
      </c>
      <c r="AE554" t="s">
        <v>10711</v>
      </c>
      <c r="AF554" t="s">
        <v>74</v>
      </c>
      <c r="AG554">
        <v>101</v>
      </c>
      <c r="AH554">
        <v>0</v>
      </c>
      <c r="AI554">
        <v>0</v>
      </c>
      <c r="AJ554">
        <v>1</v>
      </c>
      <c r="AK554">
        <v>1</v>
      </c>
      <c r="AL554" t="s">
        <v>5695</v>
      </c>
      <c r="AM554" t="s">
        <v>5696</v>
      </c>
      <c r="AN554" t="s">
        <v>5697</v>
      </c>
      <c r="AO554" t="s">
        <v>74</v>
      </c>
      <c r="AP554" t="s">
        <v>5719</v>
      </c>
      <c r="AQ554" t="s">
        <v>74</v>
      </c>
      <c r="AR554" t="s">
        <v>5720</v>
      </c>
      <c r="AS554" t="s">
        <v>5721</v>
      </c>
      <c r="AT554" t="s">
        <v>4525</v>
      </c>
      <c r="AU554">
        <v>2023</v>
      </c>
      <c r="AV554">
        <v>15</v>
      </c>
      <c r="AW554">
        <v>22</v>
      </c>
      <c r="AX554" t="s">
        <v>74</v>
      </c>
      <c r="AY554" t="s">
        <v>74</v>
      </c>
      <c r="AZ554" t="s">
        <v>74</v>
      </c>
      <c r="BA554" t="s">
        <v>74</v>
      </c>
      <c r="BB554" t="s">
        <v>74</v>
      </c>
      <c r="BC554" t="s">
        <v>74</v>
      </c>
      <c r="BD554">
        <v>5430</v>
      </c>
      <c r="BE554" t="s">
        <v>10712</v>
      </c>
      <c r="BF554" t="str">
        <f>HYPERLINK("http://dx.doi.org/10.3390/rs15225430","http://dx.doi.org/10.3390/rs15225430")</f>
        <v>http://dx.doi.org/10.3390/rs15225430</v>
      </c>
      <c r="BG554" t="s">
        <v>74</v>
      </c>
      <c r="BH554" t="s">
        <v>74</v>
      </c>
      <c r="BI554">
        <v>30</v>
      </c>
      <c r="BJ554" t="s">
        <v>5723</v>
      </c>
      <c r="BK554" t="s">
        <v>100</v>
      </c>
      <c r="BL554" t="s">
        <v>5724</v>
      </c>
      <c r="BM554" t="s">
        <v>10713</v>
      </c>
      <c r="BN554" t="s">
        <v>74</v>
      </c>
      <c r="BO554" t="s">
        <v>131</v>
      </c>
      <c r="BP554" t="s">
        <v>74</v>
      </c>
      <c r="BQ554" t="s">
        <v>74</v>
      </c>
      <c r="BR554" t="s">
        <v>104</v>
      </c>
      <c r="BS554" t="s">
        <v>10714</v>
      </c>
      <c r="BT554" t="str">
        <f>HYPERLINK("https%3A%2F%2Fwww.webofscience.com%2Fwos%2Fwoscc%2Ffull-record%2FWOS:001114557100001","View Full Record in Web of Science")</f>
        <v>View Full Record in Web of Science</v>
      </c>
    </row>
    <row r="555" spans="1:72" x14ac:dyDescent="0.15">
      <c r="A555" t="s">
        <v>72</v>
      </c>
      <c r="B555" t="s">
        <v>10715</v>
      </c>
      <c r="C555" t="s">
        <v>74</v>
      </c>
      <c r="D555" t="s">
        <v>74</v>
      </c>
      <c r="E555" t="s">
        <v>74</v>
      </c>
      <c r="F555" t="s">
        <v>10716</v>
      </c>
      <c r="G555" t="s">
        <v>74</v>
      </c>
      <c r="H555" t="s">
        <v>74</v>
      </c>
      <c r="I555" t="s">
        <v>10717</v>
      </c>
      <c r="J555" t="s">
        <v>5995</v>
      </c>
      <c r="K555" t="s">
        <v>74</v>
      </c>
      <c r="L555" t="s">
        <v>74</v>
      </c>
      <c r="M555" t="s">
        <v>78</v>
      </c>
      <c r="N555" t="s">
        <v>79</v>
      </c>
      <c r="O555" t="s">
        <v>74</v>
      </c>
      <c r="P555" t="s">
        <v>74</v>
      </c>
      <c r="Q555" t="s">
        <v>74</v>
      </c>
      <c r="R555" t="s">
        <v>74</v>
      </c>
      <c r="S555" t="s">
        <v>74</v>
      </c>
      <c r="T555" t="s">
        <v>10718</v>
      </c>
      <c r="U555" t="s">
        <v>10719</v>
      </c>
      <c r="V555" t="s">
        <v>10720</v>
      </c>
      <c r="W555" t="s">
        <v>10721</v>
      </c>
      <c r="X555" t="s">
        <v>10722</v>
      </c>
      <c r="Y555" t="s">
        <v>10723</v>
      </c>
      <c r="Z555" t="s">
        <v>10724</v>
      </c>
      <c r="AA555" t="s">
        <v>74</v>
      </c>
      <c r="AB555" t="s">
        <v>10725</v>
      </c>
      <c r="AC555" t="s">
        <v>10726</v>
      </c>
      <c r="AD555" t="s">
        <v>10727</v>
      </c>
      <c r="AE555" t="s">
        <v>10728</v>
      </c>
      <c r="AF555" t="s">
        <v>74</v>
      </c>
      <c r="AG555">
        <v>88</v>
      </c>
      <c r="AH555">
        <v>0</v>
      </c>
      <c r="AI555">
        <v>0</v>
      </c>
      <c r="AJ555">
        <v>1</v>
      </c>
      <c r="AK555">
        <v>1</v>
      </c>
      <c r="AL555" t="s">
        <v>5695</v>
      </c>
      <c r="AM555" t="s">
        <v>5696</v>
      </c>
      <c r="AN555" t="s">
        <v>5697</v>
      </c>
      <c r="AO555" t="s">
        <v>74</v>
      </c>
      <c r="AP555" t="s">
        <v>6005</v>
      </c>
      <c r="AQ555" t="s">
        <v>74</v>
      </c>
      <c r="AR555" t="s">
        <v>5995</v>
      </c>
      <c r="AS555" t="s">
        <v>6006</v>
      </c>
      <c r="AT555" t="s">
        <v>4525</v>
      </c>
      <c r="AU555">
        <v>2023</v>
      </c>
      <c r="AV555">
        <v>15</v>
      </c>
      <c r="AW555">
        <v>11</v>
      </c>
      <c r="AX555" t="s">
        <v>74</v>
      </c>
      <c r="AY555" t="s">
        <v>74</v>
      </c>
      <c r="AZ555" t="s">
        <v>74</v>
      </c>
      <c r="BA555" t="s">
        <v>74</v>
      </c>
      <c r="BB555" t="s">
        <v>74</v>
      </c>
      <c r="BC555" t="s">
        <v>74</v>
      </c>
      <c r="BD555">
        <v>1129</v>
      </c>
      <c r="BE555" t="s">
        <v>10729</v>
      </c>
      <c r="BF555" t="str">
        <f>HYPERLINK("http://dx.doi.org/10.3390/d15111129","http://dx.doi.org/10.3390/d15111129")</f>
        <v>http://dx.doi.org/10.3390/d15111129</v>
      </c>
      <c r="BG555" t="s">
        <v>74</v>
      </c>
      <c r="BH555" t="s">
        <v>74</v>
      </c>
      <c r="BI555">
        <v>17</v>
      </c>
      <c r="BJ555" t="s">
        <v>1261</v>
      </c>
      <c r="BK555" t="s">
        <v>100</v>
      </c>
      <c r="BL555" t="s">
        <v>913</v>
      </c>
      <c r="BM555" t="s">
        <v>10730</v>
      </c>
      <c r="BN555" t="s">
        <v>74</v>
      </c>
      <c r="BO555" t="s">
        <v>131</v>
      </c>
      <c r="BP555" t="s">
        <v>74</v>
      </c>
      <c r="BQ555" t="s">
        <v>74</v>
      </c>
      <c r="BR555" t="s">
        <v>104</v>
      </c>
      <c r="BS555" t="s">
        <v>10731</v>
      </c>
      <c r="BT555" t="str">
        <f>HYPERLINK("https%3A%2F%2Fwww.webofscience.com%2Fwos%2Fwoscc%2Ffull-record%2FWOS:001108186800001","View Full Record in Web of Science")</f>
        <v>View Full Record in Web of Science</v>
      </c>
    </row>
    <row r="556" spans="1:72" x14ac:dyDescent="0.15">
      <c r="A556" t="s">
        <v>72</v>
      </c>
      <c r="B556" t="s">
        <v>10732</v>
      </c>
      <c r="C556" t="s">
        <v>74</v>
      </c>
      <c r="D556" t="s">
        <v>74</v>
      </c>
      <c r="E556" t="s">
        <v>74</v>
      </c>
      <c r="F556" t="s">
        <v>10733</v>
      </c>
      <c r="G556" t="s">
        <v>74</v>
      </c>
      <c r="H556" t="s">
        <v>74</v>
      </c>
      <c r="I556" t="s">
        <v>10734</v>
      </c>
      <c r="J556" t="s">
        <v>5941</v>
      </c>
      <c r="K556" t="s">
        <v>74</v>
      </c>
      <c r="L556" t="s">
        <v>74</v>
      </c>
      <c r="M556" t="s">
        <v>78</v>
      </c>
      <c r="N556" t="s">
        <v>79</v>
      </c>
      <c r="O556" t="s">
        <v>74</v>
      </c>
      <c r="P556" t="s">
        <v>74</v>
      </c>
      <c r="Q556" t="s">
        <v>74</v>
      </c>
      <c r="R556" t="s">
        <v>74</v>
      </c>
      <c r="S556" t="s">
        <v>74</v>
      </c>
      <c r="T556" t="s">
        <v>10735</v>
      </c>
      <c r="U556" t="s">
        <v>10736</v>
      </c>
      <c r="V556" t="s">
        <v>10737</v>
      </c>
      <c r="W556" t="s">
        <v>10738</v>
      </c>
      <c r="X556" t="s">
        <v>2696</v>
      </c>
      <c r="Y556" t="s">
        <v>10739</v>
      </c>
      <c r="Z556" t="s">
        <v>10740</v>
      </c>
      <c r="AA556" t="s">
        <v>10741</v>
      </c>
      <c r="AB556" t="s">
        <v>10742</v>
      </c>
      <c r="AC556" t="s">
        <v>10743</v>
      </c>
      <c r="AD556" t="s">
        <v>10744</v>
      </c>
      <c r="AE556" t="s">
        <v>10745</v>
      </c>
      <c r="AF556" t="s">
        <v>74</v>
      </c>
      <c r="AG556">
        <v>25</v>
      </c>
      <c r="AH556">
        <v>0</v>
      </c>
      <c r="AI556">
        <v>0</v>
      </c>
      <c r="AJ556">
        <v>2</v>
      </c>
      <c r="AK556">
        <v>2</v>
      </c>
      <c r="AL556" t="s">
        <v>5695</v>
      </c>
      <c r="AM556" t="s">
        <v>5696</v>
      </c>
      <c r="AN556" t="s">
        <v>5697</v>
      </c>
      <c r="AO556" t="s">
        <v>74</v>
      </c>
      <c r="AP556" t="s">
        <v>5952</v>
      </c>
      <c r="AQ556" t="s">
        <v>74</v>
      </c>
      <c r="AR556" t="s">
        <v>5953</v>
      </c>
      <c r="AS556" t="s">
        <v>5954</v>
      </c>
      <c r="AT556" t="s">
        <v>4525</v>
      </c>
      <c r="AU556">
        <v>2023</v>
      </c>
      <c r="AV556">
        <v>8</v>
      </c>
      <c r="AW556">
        <v>11</v>
      </c>
      <c r="AX556" t="s">
        <v>74</v>
      </c>
      <c r="AY556" t="s">
        <v>74</v>
      </c>
      <c r="AZ556" t="s">
        <v>74</v>
      </c>
      <c r="BA556" t="s">
        <v>74</v>
      </c>
      <c r="BB556" t="s">
        <v>74</v>
      </c>
      <c r="BC556" t="s">
        <v>74</v>
      </c>
      <c r="BD556">
        <v>553</v>
      </c>
      <c r="BE556" t="s">
        <v>10746</v>
      </c>
      <c r="BF556" t="str">
        <f>HYPERLINK("http://dx.doi.org/10.3390/fishes8110553","http://dx.doi.org/10.3390/fishes8110553")</f>
        <v>http://dx.doi.org/10.3390/fishes8110553</v>
      </c>
      <c r="BG556" t="s">
        <v>74</v>
      </c>
      <c r="BH556" t="s">
        <v>74</v>
      </c>
      <c r="BI556">
        <v>12</v>
      </c>
      <c r="BJ556" t="s">
        <v>2141</v>
      </c>
      <c r="BK556" t="s">
        <v>100</v>
      </c>
      <c r="BL556" t="s">
        <v>2141</v>
      </c>
      <c r="BM556" t="s">
        <v>10747</v>
      </c>
      <c r="BN556" t="s">
        <v>74</v>
      </c>
      <c r="BO556" t="s">
        <v>131</v>
      </c>
      <c r="BP556" t="s">
        <v>74</v>
      </c>
      <c r="BQ556" t="s">
        <v>74</v>
      </c>
      <c r="BR556" t="s">
        <v>104</v>
      </c>
      <c r="BS556" t="s">
        <v>10748</v>
      </c>
      <c r="BT556" t="str">
        <f>HYPERLINK("https%3A%2F%2Fwww.webofscience.com%2Fwos%2Fwoscc%2Ffull-record%2FWOS:001109427900001","View Full Record in Web of Science")</f>
        <v>View Full Record in Web of Science</v>
      </c>
    </row>
    <row r="557" spans="1:72" x14ac:dyDescent="0.15">
      <c r="A557" t="s">
        <v>72</v>
      </c>
      <c r="B557" t="s">
        <v>10749</v>
      </c>
      <c r="C557" t="s">
        <v>74</v>
      </c>
      <c r="D557" t="s">
        <v>74</v>
      </c>
      <c r="E557" t="s">
        <v>74</v>
      </c>
      <c r="F557" t="s">
        <v>10750</v>
      </c>
      <c r="G557" t="s">
        <v>74</v>
      </c>
      <c r="H557" t="s">
        <v>74</v>
      </c>
      <c r="I557" t="s">
        <v>10751</v>
      </c>
      <c r="J557" t="s">
        <v>6538</v>
      </c>
      <c r="K557" t="s">
        <v>74</v>
      </c>
      <c r="L557" t="s">
        <v>74</v>
      </c>
      <c r="M557" t="s">
        <v>78</v>
      </c>
      <c r="N557" t="s">
        <v>79</v>
      </c>
      <c r="O557" t="s">
        <v>74</v>
      </c>
      <c r="P557" t="s">
        <v>74</v>
      </c>
      <c r="Q557" t="s">
        <v>74</v>
      </c>
      <c r="R557" t="s">
        <v>74</v>
      </c>
      <c r="S557" t="s">
        <v>74</v>
      </c>
      <c r="T557" t="s">
        <v>10752</v>
      </c>
      <c r="U557" t="s">
        <v>10753</v>
      </c>
      <c r="V557" t="s">
        <v>10754</v>
      </c>
      <c r="W557" t="s">
        <v>10755</v>
      </c>
      <c r="X557" t="s">
        <v>10756</v>
      </c>
      <c r="Y557" t="s">
        <v>10757</v>
      </c>
      <c r="Z557" t="s">
        <v>10758</v>
      </c>
      <c r="AA557" t="s">
        <v>74</v>
      </c>
      <c r="AB557" t="s">
        <v>10759</v>
      </c>
      <c r="AC557" t="s">
        <v>10760</v>
      </c>
      <c r="AD557" t="s">
        <v>10760</v>
      </c>
      <c r="AE557" t="s">
        <v>10761</v>
      </c>
      <c r="AF557" t="s">
        <v>74</v>
      </c>
      <c r="AG557">
        <v>131</v>
      </c>
      <c r="AH557">
        <v>0</v>
      </c>
      <c r="AI557">
        <v>0</v>
      </c>
      <c r="AJ557">
        <v>17</v>
      </c>
      <c r="AK557">
        <v>17</v>
      </c>
      <c r="AL557" t="s">
        <v>1208</v>
      </c>
      <c r="AM557" t="s">
        <v>1209</v>
      </c>
      <c r="AN557" t="s">
        <v>1210</v>
      </c>
      <c r="AO557" t="s">
        <v>6551</v>
      </c>
      <c r="AP557" t="s">
        <v>6552</v>
      </c>
      <c r="AQ557" t="s">
        <v>74</v>
      </c>
      <c r="AR557" t="s">
        <v>6553</v>
      </c>
      <c r="AS557" t="s">
        <v>6554</v>
      </c>
      <c r="AT557" t="s">
        <v>4525</v>
      </c>
      <c r="AU557">
        <v>2023</v>
      </c>
      <c r="AV557">
        <v>37</v>
      </c>
      <c r="AW557">
        <v>11</v>
      </c>
      <c r="AX557" t="s">
        <v>74</v>
      </c>
      <c r="AY557" t="s">
        <v>74</v>
      </c>
      <c r="AZ557" t="s">
        <v>74</v>
      </c>
      <c r="BA557" t="s">
        <v>74</v>
      </c>
      <c r="BB557" t="s">
        <v>74</v>
      </c>
      <c r="BC557" t="s">
        <v>74</v>
      </c>
      <c r="BD557" t="s">
        <v>10762</v>
      </c>
      <c r="BE557" t="s">
        <v>10763</v>
      </c>
      <c r="BF557" t="str">
        <f>HYPERLINK("http://dx.doi.org/10.1029/2023GB007754","http://dx.doi.org/10.1029/2023GB007754")</f>
        <v>http://dx.doi.org/10.1029/2023GB007754</v>
      </c>
      <c r="BG557" t="s">
        <v>74</v>
      </c>
      <c r="BH557" t="s">
        <v>74</v>
      </c>
      <c r="BI557">
        <v>21</v>
      </c>
      <c r="BJ557" t="s">
        <v>2535</v>
      </c>
      <c r="BK557" t="s">
        <v>100</v>
      </c>
      <c r="BL557" t="s">
        <v>2536</v>
      </c>
      <c r="BM557" t="s">
        <v>10764</v>
      </c>
      <c r="BN557" t="s">
        <v>74</v>
      </c>
      <c r="BO557" t="s">
        <v>7493</v>
      </c>
      <c r="BP557" t="s">
        <v>74</v>
      </c>
      <c r="BQ557" t="s">
        <v>74</v>
      </c>
      <c r="BR557" t="s">
        <v>104</v>
      </c>
      <c r="BS557" t="s">
        <v>10765</v>
      </c>
      <c r="BT557" t="str">
        <f>HYPERLINK("https%3A%2F%2Fwww.webofscience.com%2Fwos%2Fwoscc%2Ffull-record%2FWOS:001106040600001","View Full Record in Web of Science")</f>
        <v>View Full Record in Web of Science</v>
      </c>
    </row>
    <row r="558" spans="1:72" x14ac:dyDescent="0.15">
      <c r="A558" t="s">
        <v>72</v>
      </c>
      <c r="B558" t="s">
        <v>10766</v>
      </c>
      <c r="C558" t="s">
        <v>74</v>
      </c>
      <c r="D558" t="s">
        <v>74</v>
      </c>
      <c r="E558" t="s">
        <v>74</v>
      </c>
      <c r="F558" t="s">
        <v>10767</v>
      </c>
      <c r="G558" t="s">
        <v>74</v>
      </c>
      <c r="H558" t="s">
        <v>74</v>
      </c>
      <c r="I558" t="s">
        <v>10768</v>
      </c>
      <c r="J558" t="s">
        <v>10769</v>
      </c>
      <c r="K558" t="s">
        <v>74</v>
      </c>
      <c r="L558" t="s">
        <v>74</v>
      </c>
      <c r="M558" t="s">
        <v>78</v>
      </c>
      <c r="N558" t="s">
        <v>79</v>
      </c>
      <c r="O558" t="s">
        <v>74</v>
      </c>
      <c r="P558" t="s">
        <v>74</v>
      </c>
      <c r="Q558" t="s">
        <v>74</v>
      </c>
      <c r="R558" t="s">
        <v>74</v>
      </c>
      <c r="S558" t="s">
        <v>74</v>
      </c>
      <c r="T558" t="s">
        <v>10770</v>
      </c>
      <c r="U558" t="s">
        <v>10771</v>
      </c>
      <c r="V558" t="s">
        <v>10772</v>
      </c>
      <c r="W558" t="s">
        <v>10773</v>
      </c>
      <c r="X558" t="s">
        <v>10774</v>
      </c>
      <c r="Y558" t="s">
        <v>10775</v>
      </c>
      <c r="Z558" t="s">
        <v>10776</v>
      </c>
      <c r="AA558" t="s">
        <v>10777</v>
      </c>
      <c r="AB558" t="s">
        <v>10778</v>
      </c>
      <c r="AC558" t="s">
        <v>10779</v>
      </c>
      <c r="AD558" t="s">
        <v>10780</v>
      </c>
      <c r="AE558" t="s">
        <v>10781</v>
      </c>
      <c r="AF558" t="s">
        <v>74</v>
      </c>
      <c r="AG558">
        <v>73</v>
      </c>
      <c r="AH558">
        <v>0</v>
      </c>
      <c r="AI558">
        <v>0</v>
      </c>
      <c r="AJ558">
        <v>2</v>
      </c>
      <c r="AK558">
        <v>2</v>
      </c>
      <c r="AL558" t="s">
        <v>1208</v>
      </c>
      <c r="AM558" t="s">
        <v>1209</v>
      </c>
      <c r="AN558" t="s">
        <v>1210</v>
      </c>
      <c r="AO558" t="s">
        <v>10782</v>
      </c>
      <c r="AP558" t="s">
        <v>10783</v>
      </c>
      <c r="AQ558" t="s">
        <v>74</v>
      </c>
      <c r="AR558" t="s">
        <v>10784</v>
      </c>
      <c r="AS558" t="s">
        <v>10785</v>
      </c>
      <c r="AT558" t="s">
        <v>4525</v>
      </c>
      <c r="AU558">
        <v>2023</v>
      </c>
      <c r="AV558">
        <v>128</v>
      </c>
      <c r="AW558">
        <v>11</v>
      </c>
      <c r="AX558" t="s">
        <v>74</v>
      </c>
      <c r="AY558" t="s">
        <v>74</v>
      </c>
      <c r="AZ558" t="s">
        <v>74</v>
      </c>
      <c r="BA558" t="s">
        <v>74</v>
      </c>
      <c r="BB558" t="s">
        <v>74</v>
      </c>
      <c r="BC558" t="s">
        <v>74</v>
      </c>
      <c r="BD558" t="s">
        <v>10786</v>
      </c>
      <c r="BE558" t="s">
        <v>10787</v>
      </c>
      <c r="BF558" t="str">
        <f>HYPERLINK("http://dx.doi.org/10.1029/2023JF007269","http://dx.doi.org/10.1029/2023JF007269")</f>
        <v>http://dx.doi.org/10.1029/2023JF007269</v>
      </c>
      <c r="BG558" t="s">
        <v>74</v>
      </c>
      <c r="BH558" t="s">
        <v>74</v>
      </c>
      <c r="BI558">
        <v>11</v>
      </c>
      <c r="BJ558" t="s">
        <v>535</v>
      </c>
      <c r="BK558" t="s">
        <v>100</v>
      </c>
      <c r="BL558" t="s">
        <v>536</v>
      </c>
      <c r="BM558" t="s">
        <v>10788</v>
      </c>
      <c r="BN558" t="s">
        <v>74</v>
      </c>
      <c r="BO558" t="s">
        <v>3040</v>
      </c>
      <c r="BP558" t="s">
        <v>74</v>
      </c>
      <c r="BQ558" t="s">
        <v>74</v>
      </c>
      <c r="BR558" t="s">
        <v>104</v>
      </c>
      <c r="BS558" t="s">
        <v>10789</v>
      </c>
      <c r="BT558" t="str">
        <f>HYPERLINK("https%3A%2F%2Fwww.webofscience.com%2Fwos%2Fwoscc%2Ffull-record%2FWOS:001108872800001","View Full Record in Web of Science")</f>
        <v>View Full Record in Web of Science</v>
      </c>
    </row>
    <row r="559" spans="1:72" x14ac:dyDescent="0.15">
      <c r="A559" t="s">
        <v>72</v>
      </c>
      <c r="B559" t="s">
        <v>10790</v>
      </c>
      <c r="C559" t="s">
        <v>74</v>
      </c>
      <c r="D559" t="s">
        <v>74</v>
      </c>
      <c r="E559" t="s">
        <v>74</v>
      </c>
      <c r="F559" t="s">
        <v>10791</v>
      </c>
      <c r="G559" t="s">
        <v>74</v>
      </c>
      <c r="H559" t="s">
        <v>74</v>
      </c>
      <c r="I559" t="s">
        <v>10792</v>
      </c>
      <c r="J559" t="s">
        <v>6632</v>
      </c>
      <c r="K559" t="s">
        <v>74</v>
      </c>
      <c r="L559" t="s">
        <v>74</v>
      </c>
      <c r="M559" t="s">
        <v>78</v>
      </c>
      <c r="N559" t="s">
        <v>79</v>
      </c>
      <c r="O559" t="s">
        <v>74</v>
      </c>
      <c r="P559" t="s">
        <v>74</v>
      </c>
      <c r="Q559" t="s">
        <v>74</v>
      </c>
      <c r="R559" t="s">
        <v>74</v>
      </c>
      <c r="S559" t="s">
        <v>74</v>
      </c>
      <c r="T559" t="s">
        <v>10793</v>
      </c>
      <c r="U559" t="s">
        <v>10794</v>
      </c>
      <c r="V559" t="s">
        <v>10795</v>
      </c>
      <c r="W559" t="s">
        <v>10796</v>
      </c>
      <c r="X559" t="s">
        <v>10797</v>
      </c>
      <c r="Y559" t="s">
        <v>10798</v>
      </c>
      <c r="Z559" t="s">
        <v>10799</v>
      </c>
      <c r="AA559" t="s">
        <v>74</v>
      </c>
      <c r="AB559" t="s">
        <v>10800</v>
      </c>
      <c r="AC559" t="s">
        <v>10801</v>
      </c>
      <c r="AD559" t="s">
        <v>10802</v>
      </c>
      <c r="AE559" t="s">
        <v>10803</v>
      </c>
      <c r="AF559" t="s">
        <v>74</v>
      </c>
      <c r="AG559">
        <v>90</v>
      </c>
      <c r="AH559">
        <v>0</v>
      </c>
      <c r="AI559">
        <v>0</v>
      </c>
      <c r="AJ559">
        <v>6</v>
      </c>
      <c r="AK559">
        <v>6</v>
      </c>
      <c r="AL559" t="s">
        <v>1208</v>
      </c>
      <c r="AM559" t="s">
        <v>1209</v>
      </c>
      <c r="AN559" t="s">
        <v>1210</v>
      </c>
      <c r="AO559" t="s">
        <v>6645</v>
      </c>
      <c r="AP559" t="s">
        <v>6646</v>
      </c>
      <c r="AQ559" t="s">
        <v>74</v>
      </c>
      <c r="AR559" t="s">
        <v>6647</v>
      </c>
      <c r="AS559" t="s">
        <v>6648</v>
      </c>
      <c r="AT559" t="s">
        <v>4525</v>
      </c>
      <c r="AU559">
        <v>2023</v>
      </c>
      <c r="AV559">
        <v>128</v>
      </c>
      <c r="AW559">
        <v>11</v>
      </c>
      <c r="AX559" t="s">
        <v>74</v>
      </c>
      <c r="AY559" t="s">
        <v>74</v>
      </c>
      <c r="AZ559" t="s">
        <v>74</v>
      </c>
      <c r="BA559" t="s">
        <v>74</v>
      </c>
      <c r="BB559" t="s">
        <v>74</v>
      </c>
      <c r="BC559" t="s">
        <v>74</v>
      </c>
      <c r="BD559" t="s">
        <v>10804</v>
      </c>
      <c r="BE559" t="s">
        <v>10805</v>
      </c>
      <c r="BF559" t="str">
        <f>HYPERLINK("http://dx.doi.org/10.1029/2023JB027741","http://dx.doi.org/10.1029/2023JB027741")</f>
        <v>http://dx.doi.org/10.1029/2023JB027741</v>
      </c>
      <c r="BG559" t="s">
        <v>74</v>
      </c>
      <c r="BH559" t="s">
        <v>74</v>
      </c>
      <c r="BI559">
        <v>20</v>
      </c>
      <c r="BJ559" t="s">
        <v>4252</v>
      </c>
      <c r="BK559" t="s">
        <v>100</v>
      </c>
      <c r="BL559" t="s">
        <v>4252</v>
      </c>
      <c r="BM559" t="s">
        <v>10806</v>
      </c>
      <c r="BN559" t="s">
        <v>74</v>
      </c>
      <c r="BO559" t="s">
        <v>74</v>
      </c>
      <c r="BP559" t="s">
        <v>74</v>
      </c>
      <c r="BQ559" t="s">
        <v>74</v>
      </c>
      <c r="BR559" t="s">
        <v>104</v>
      </c>
      <c r="BS559" t="s">
        <v>10807</v>
      </c>
      <c r="BT559" t="str">
        <f>HYPERLINK("https%3A%2F%2Fwww.webofscience.com%2Fwos%2Fwoscc%2Ffull-record%2FWOS:001108054400001","View Full Record in Web of Science")</f>
        <v>View Full Record in Web of Science</v>
      </c>
    </row>
    <row r="560" spans="1:72" x14ac:dyDescent="0.15">
      <c r="A560" t="s">
        <v>72</v>
      </c>
      <c r="B560" t="s">
        <v>10808</v>
      </c>
      <c r="C560" t="s">
        <v>74</v>
      </c>
      <c r="D560" t="s">
        <v>74</v>
      </c>
      <c r="E560" t="s">
        <v>74</v>
      </c>
      <c r="F560" t="s">
        <v>10809</v>
      </c>
      <c r="G560" t="s">
        <v>74</v>
      </c>
      <c r="H560" t="s">
        <v>74</v>
      </c>
      <c r="I560" t="s">
        <v>10810</v>
      </c>
      <c r="J560" t="s">
        <v>6632</v>
      </c>
      <c r="K560" t="s">
        <v>74</v>
      </c>
      <c r="L560" t="s">
        <v>74</v>
      </c>
      <c r="M560" t="s">
        <v>78</v>
      </c>
      <c r="N560" t="s">
        <v>79</v>
      </c>
      <c r="O560" t="s">
        <v>74</v>
      </c>
      <c r="P560" t="s">
        <v>74</v>
      </c>
      <c r="Q560" t="s">
        <v>74</v>
      </c>
      <c r="R560" t="s">
        <v>74</v>
      </c>
      <c r="S560" t="s">
        <v>74</v>
      </c>
      <c r="T560" t="s">
        <v>10811</v>
      </c>
      <c r="U560" t="s">
        <v>10812</v>
      </c>
      <c r="V560" t="s">
        <v>10813</v>
      </c>
      <c r="W560" t="s">
        <v>10814</v>
      </c>
      <c r="X560" t="s">
        <v>10815</v>
      </c>
      <c r="Y560" t="s">
        <v>10816</v>
      </c>
      <c r="Z560" t="s">
        <v>10817</v>
      </c>
      <c r="AA560" t="s">
        <v>10818</v>
      </c>
      <c r="AB560" t="s">
        <v>10819</v>
      </c>
      <c r="AC560" t="s">
        <v>10820</v>
      </c>
      <c r="AD560" t="s">
        <v>10821</v>
      </c>
      <c r="AE560" t="s">
        <v>10822</v>
      </c>
      <c r="AF560" t="s">
        <v>74</v>
      </c>
      <c r="AG560">
        <v>78</v>
      </c>
      <c r="AH560">
        <v>0</v>
      </c>
      <c r="AI560">
        <v>0</v>
      </c>
      <c r="AJ560">
        <v>1</v>
      </c>
      <c r="AK560">
        <v>1</v>
      </c>
      <c r="AL560" t="s">
        <v>1208</v>
      </c>
      <c r="AM560" t="s">
        <v>1209</v>
      </c>
      <c r="AN560" t="s">
        <v>1210</v>
      </c>
      <c r="AO560" t="s">
        <v>6645</v>
      </c>
      <c r="AP560" t="s">
        <v>6646</v>
      </c>
      <c r="AQ560" t="s">
        <v>74</v>
      </c>
      <c r="AR560" t="s">
        <v>6647</v>
      </c>
      <c r="AS560" t="s">
        <v>6648</v>
      </c>
      <c r="AT560" t="s">
        <v>4525</v>
      </c>
      <c r="AU560">
        <v>2023</v>
      </c>
      <c r="AV560">
        <v>128</v>
      </c>
      <c r="AW560">
        <v>11</v>
      </c>
      <c r="AX560" t="s">
        <v>74</v>
      </c>
      <c r="AY560" t="s">
        <v>74</v>
      </c>
      <c r="AZ560" t="s">
        <v>74</v>
      </c>
      <c r="BA560" t="s">
        <v>74</v>
      </c>
      <c r="BB560" t="s">
        <v>74</v>
      </c>
      <c r="BC560" t="s">
        <v>74</v>
      </c>
      <c r="BD560" t="s">
        <v>10823</v>
      </c>
      <c r="BE560" t="s">
        <v>10824</v>
      </c>
      <c r="BF560" t="str">
        <f>HYPERLINK("http://dx.doi.org/10.1029/2023JB027245","http://dx.doi.org/10.1029/2023JB027245")</f>
        <v>http://dx.doi.org/10.1029/2023JB027245</v>
      </c>
      <c r="BG560" t="s">
        <v>74</v>
      </c>
      <c r="BH560" t="s">
        <v>74</v>
      </c>
      <c r="BI560">
        <v>18</v>
      </c>
      <c r="BJ560" t="s">
        <v>4252</v>
      </c>
      <c r="BK560" t="s">
        <v>100</v>
      </c>
      <c r="BL560" t="s">
        <v>4252</v>
      </c>
      <c r="BM560" t="s">
        <v>10825</v>
      </c>
      <c r="BN560" t="s">
        <v>74</v>
      </c>
      <c r="BO560" t="s">
        <v>1717</v>
      </c>
      <c r="BP560" t="s">
        <v>74</v>
      </c>
      <c r="BQ560" t="s">
        <v>74</v>
      </c>
      <c r="BR560" t="s">
        <v>104</v>
      </c>
      <c r="BS560" t="s">
        <v>10826</v>
      </c>
      <c r="BT560" t="str">
        <f>HYPERLINK("https%3A%2F%2Fwww.webofscience.com%2Fwos%2Fwoscc%2Ffull-record%2FWOS:001109483800001","View Full Record in Web of Science")</f>
        <v>View Full Record in Web of Science</v>
      </c>
    </row>
    <row r="561" spans="1:72" x14ac:dyDescent="0.15">
      <c r="A561" t="s">
        <v>72</v>
      </c>
      <c r="B561" t="s">
        <v>10827</v>
      </c>
      <c r="C561" t="s">
        <v>74</v>
      </c>
      <c r="D561" t="s">
        <v>74</v>
      </c>
      <c r="E561" t="s">
        <v>74</v>
      </c>
      <c r="F561" t="s">
        <v>10828</v>
      </c>
      <c r="G561" t="s">
        <v>74</v>
      </c>
      <c r="H561" t="s">
        <v>74</v>
      </c>
      <c r="I561" t="s">
        <v>10829</v>
      </c>
      <c r="J561" t="s">
        <v>10042</v>
      </c>
      <c r="K561" t="s">
        <v>74</v>
      </c>
      <c r="L561" t="s">
        <v>74</v>
      </c>
      <c r="M561" t="s">
        <v>78</v>
      </c>
      <c r="N561" t="s">
        <v>79</v>
      </c>
      <c r="O561" t="s">
        <v>74</v>
      </c>
      <c r="P561" t="s">
        <v>74</v>
      </c>
      <c r="Q561" t="s">
        <v>74</v>
      </c>
      <c r="R561" t="s">
        <v>74</v>
      </c>
      <c r="S561" t="s">
        <v>74</v>
      </c>
      <c r="T561" t="s">
        <v>10830</v>
      </c>
      <c r="U561" t="s">
        <v>10831</v>
      </c>
      <c r="V561" t="s">
        <v>10832</v>
      </c>
      <c r="W561" t="s">
        <v>10833</v>
      </c>
      <c r="X561" t="s">
        <v>10834</v>
      </c>
      <c r="Y561" t="s">
        <v>10835</v>
      </c>
      <c r="Z561" t="s">
        <v>10836</v>
      </c>
      <c r="AA561" t="s">
        <v>10837</v>
      </c>
      <c r="AB561" t="s">
        <v>10838</v>
      </c>
      <c r="AC561" t="s">
        <v>10839</v>
      </c>
      <c r="AD561" t="s">
        <v>10840</v>
      </c>
      <c r="AE561" t="s">
        <v>10841</v>
      </c>
      <c r="AF561" t="s">
        <v>74</v>
      </c>
      <c r="AG561">
        <v>183</v>
      </c>
      <c r="AH561">
        <v>0</v>
      </c>
      <c r="AI561">
        <v>0</v>
      </c>
      <c r="AJ561">
        <v>5</v>
      </c>
      <c r="AK561">
        <v>5</v>
      </c>
      <c r="AL561" t="s">
        <v>947</v>
      </c>
      <c r="AM561" t="s">
        <v>948</v>
      </c>
      <c r="AN561" t="s">
        <v>949</v>
      </c>
      <c r="AO561" t="s">
        <v>10053</v>
      </c>
      <c r="AP561" t="s">
        <v>10054</v>
      </c>
      <c r="AQ561" t="s">
        <v>74</v>
      </c>
      <c r="AR561" t="s">
        <v>10055</v>
      </c>
      <c r="AS561" t="s">
        <v>10056</v>
      </c>
      <c r="AT561" t="s">
        <v>8300</v>
      </c>
      <c r="AU561">
        <v>2023</v>
      </c>
      <c r="AV561">
        <v>257</v>
      </c>
      <c r="AW561" t="s">
        <v>74</v>
      </c>
      <c r="AX561" t="s">
        <v>74</v>
      </c>
      <c r="AY561" t="s">
        <v>74</v>
      </c>
      <c r="AZ561" t="s">
        <v>74</v>
      </c>
      <c r="BA561" t="s">
        <v>74</v>
      </c>
      <c r="BB561" t="s">
        <v>74</v>
      </c>
      <c r="BC561" t="s">
        <v>74</v>
      </c>
      <c r="BD561">
        <v>104324</v>
      </c>
      <c r="BE561" t="s">
        <v>10842</v>
      </c>
      <c r="BF561" t="str">
        <f>HYPERLINK("http://dx.doi.org/10.1016/j.marchem.2023.104324","http://dx.doi.org/10.1016/j.marchem.2023.104324")</f>
        <v>http://dx.doi.org/10.1016/j.marchem.2023.104324</v>
      </c>
      <c r="BG561" t="s">
        <v>74</v>
      </c>
      <c r="BH561" t="s">
        <v>6982</v>
      </c>
      <c r="BI561">
        <v>25</v>
      </c>
      <c r="BJ561" t="s">
        <v>10058</v>
      </c>
      <c r="BK561" t="s">
        <v>100</v>
      </c>
      <c r="BL561" t="s">
        <v>10059</v>
      </c>
      <c r="BM561" t="s">
        <v>10843</v>
      </c>
      <c r="BN561" t="s">
        <v>74</v>
      </c>
      <c r="BO561" t="s">
        <v>10844</v>
      </c>
      <c r="BP561" t="s">
        <v>74</v>
      </c>
      <c r="BQ561" t="s">
        <v>74</v>
      </c>
      <c r="BR561" t="s">
        <v>104</v>
      </c>
      <c r="BS561" t="s">
        <v>10845</v>
      </c>
      <c r="BT561" t="str">
        <f>HYPERLINK("https%3A%2F%2Fwww.webofscience.com%2Fwos%2Fwoscc%2Ffull-record%2FWOS:001107720600001","View Full Record in Web of Science")</f>
        <v>View Full Record in Web of Science</v>
      </c>
    </row>
    <row r="562" spans="1:72" x14ac:dyDescent="0.15">
      <c r="A562" t="s">
        <v>72</v>
      </c>
      <c r="B562" t="s">
        <v>10846</v>
      </c>
      <c r="C562" t="s">
        <v>74</v>
      </c>
      <c r="D562" t="s">
        <v>74</v>
      </c>
      <c r="E562" t="s">
        <v>74</v>
      </c>
      <c r="F562" t="s">
        <v>10847</v>
      </c>
      <c r="G562" t="s">
        <v>74</v>
      </c>
      <c r="H562" t="s">
        <v>74</v>
      </c>
      <c r="I562" t="s">
        <v>10848</v>
      </c>
      <c r="J562" t="s">
        <v>10849</v>
      </c>
      <c r="K562" t="s">
        <v>74</v>
      </c>
      <c r="L562" t="s">
        <v>74</v>
      </c>
      <c r="M562" t="s">
        <v>78</v>
      </c>
      <c r="N562" t="s">
        <v>79</v>
      </c>
      <c r="O562" t="s">
        <v>74</v>
      </c>
      <c r="P562" t="s">
        <v>74</v>
      </c>
      <c r="Q562" t="s">
        <v>74</v>
      </c>
      <c r="R562" t="s">
        <v>74</v>
      </c>
      <c r="S562" t="s">
        <v>74</v>
      </c>
      <c r="T562" t="s">
        <v>10850</v>
      </c>
      <c r="U562" t="s">
        <v>10851</v>
      </c>
      <c r="V562" t="s">
        <v>10852</v>
      </c>
      <c r="W562" t="s">
        <v>10853</v>
      </c>
      <c r="X562" t="s">
        <v>10854</v>
      </c>
      <c r="Y562" t="s">
        <v>10855</v>
      </c>
      <c r="Z562" t="s">
        <v>10856</v>
      </c>
      <c r="AA562" t="s">
        <v>10857</v>
      </c>
      <c r="AB562" t="s">
        <v>10858</v>
      </c>
      <c r="AC562" t="s">
        <v>4293</v>
      </c>
      <c r="AD562" t="s">
        <v>511</v>
      </c>
      <c r="AE562" t="s">
        <v>10859</v>
      </c>
      <c r="AF562" t="s">
        <v>74</v>
      </c>
      <c r="AG562">
        <v>66</v>
      </c>
      <c r="AH562">
        <v>4</v>
      </c>
      <c r="AI562">
        <v>4</v>
      </c>
      <c r="AJ562">
        <v>15</v>
      </c>
      <c r="AK562">
        <v>15</v>
      </c>
      <c r="AL562" t="s">
        <v>5695</v>
      </c>
      <c r="AM562" t="s">
        <v>5696</v>
      </c>
      <c r="AN562" t="s">
        <v>5697</v>
      </c>
      <c r="AO562" t="s">
        <v>74</v>
      </c>
      <c r="AP562" t="s">
        <v>10860</v>
      </c>
      <c r="AQ562" t="s">
        <v>74</v>
      </c>
      <c r="AR562" t="s">
        <v>10861</v>
      </c>
      <c r="AS562" t="s">
        <v>10862</v>
      </c>
      <c r="AT562" t="s">
        <v>4525</v>
      </c>
      <c r="AU562">
        <v>2023</v>
      </c>
      <c r="AV562">
        <v>21</v>
      </c>
      <c r="AW562">
        <v>11</v>
      </c>
      <c r="AX562" t="s">
        <v>74</v>
      </c>
      <c r="AY562" t="s">
        <v>74</v>
      </c>
      <c r="AZ562" t="s">
        <v>74</v>
      </c>
      <c r="BA562" t="s">
        <v>74</v>
      </c>
      <c r="BB562" t="s">
        <v>74</v>
      </c>
      <c r="BC562" t="s">
        <v>74</v>
      </c>
      <c r="BD562">
        <v>579</v>
      </c>
      <c r="BE562" t="s">
        <v>10863</v>
      </c>
      <c r="BF562" t="str">
        <f>HYPERLINK("http://dx.doi.org/10.3390/md21110579","http://dx.doi.org/10.3390/md21110579")</f>
        <v>http://dx.doi.org/10.3390/md21110579</v>
      </c>
      <c r="BG562" t="s">
        <v>74</v>
      </c>
      <c r="BH562" t="s">
        <v>74</v>
      </c>
      <c r="BI562">
        <v>19</v>
      </c>
      <c r="BJ562" t="s">
        <v>10864</v>
      </c>
      <c r="BK562" t="s">
        <v>100</v>
      </c>
      <c r="BL562" t="s">
        <v>6934</v>
      </c>
      <c r="BM562" t="s">
        <v>10865</v>
      </c>
      <c r="BN562">
        <v>37999403</v>
      </c>
      <c r="BO562" t="s">
        <v>200</v>
      </c>
      <c r="BP562" t="s">
        <v>74</v>
      </c>
      <c r="BQ562" t="s">
        <v>74</v>
      </c>
      <c r="BR562" t="s">
        <v>104</v>
      </c>
      <c r="BS562" t="s">
        <v>10866</v>
      </c>
      <c r="BT562" t="str">
        <f>HYPERLINK("https%3A%2F%2Fwww.webofscience.com%2Fwos%2Fwoscc%2Ffull-record%2FWOS:001114432800001","View Full Record in Web of Science")</f>
        <v>View Full Record in Web of Science</v>
      </c>
    </row>
    <row r="563" spans="1:72" x14ac:dyDescent="0.15">
      <c r="A563" t="s">
        <v>72</v>
      </c>
      <c r="B563" t="s">
        <v>10867</v>
      </c>
      <c r="C563" t="s">
        <v>74</v>
      </c>
      <c r="D563" t="s">
        <v>74</v>
      </c>
      <c r="E563" t="s">
        <v>74</v>
      </c>
      <c r="F563" t="s">
        <v>10868</v>
      </c>
      <c r="G563" t="s">
        <v>74</v>
      </c>
      <c r="H563" t="s">
        <v>74</v>
      </c>
      <c r="I563" t="s">
        <v>10869</v>
      </c>
      <c r="J563" t="s">
        <v>10870</v>
      </c>
      <c r="K563" t="s">
        <v>74</v>
      </c>
      <c r="L563" t="s">
        <v>74</v>
      </c>
      <c r="M563" t="s">
        <v>78</v>
      </c>
      <c r="N563" t="s">
        <v>79</v>
      </c>
      <c r="O563" t="s">
        <v>74</v>
      </c>
      <c r="P563" t="s">
        <v>74</v>
      </c>
      <c r="Q563" t="s">
        <v>74</v>
      </c>
      <c r="R563" t="s">
        <v>74</v>
      </c>
      <c r="S563" t="s">
        <v>74</v>
      </c>
      <c r="T563" t="s">
        <v>74</v>
      </c>
      <c r="U563" t="s">
        <v>10871</v>
      </c>
      <c r="V563" t="s">
        <v>10872</v>
      </c>
      <c r="W563" t="s">
        <v>10873</v>
      </c>
      <c r="X563" t="s">
        <v>10874</v>
      </c>
      <c r="Y563" t="s">
        <v>10875</v>
      </c>
      <c r="Z563" t="s">
        <v>10876</v>
      </c>
      <c r="AA563" t="s">
        <v>10877</v>
      </c>
      <c r="AB563" t="s">
        <v>10878</v>
      </c>
      <c r="AC563" t="s">
        <v>10879</v>
      </c>
      <c r="AD563" t="s">
        <v>10880</v>
      </c>
      <c r="AE563" t="s">
        <v>10881</v>
      </c>
      <c r="AF563" t="s">
        <v>74</v>
      </c>
      <c r="AG563">
        <v>82</v>
      </c>
      <c r="AH563">
        <v>1</v>
      </c>
      <c r="AI563">
        <v>1</v>
      </c>
      <c r="AJ563">
        <v>1</v>
      </c>
      <c r="AK563">
        <v>1</v>
      </c>
      <c r="AL563" t="s">
        <v>10882</v>
      </c>
      <c r="AM563" t="s">
        <v>10883</v>
      </c>
      <c r="AN563" t="s">
        <v>10884</v>
      </c>
      <c r="AO563" t="s">
        <v>10885</v>
      </c>
      <c r="AP563" t="s">
        <v>10886</v>
      </c>
      <c r="AQ563" t="s">
        <v>74</v>
      </c>
      <c r="AR563" t="s">
        <v>10887</v>
      </c>
      <c r="AS563" t="s">
        <v>10888</v>
      </c>
      <c r="AT563" t="s">
        <v>4525</v>
      </c>
      <c r="AU563">
        <v>2023</v>
      </c>
      <c r="AV563">
        <v>154</v>
      </c>
      <c r="AW563">
        <v>5</v>
      </c>
      <c r="AX563" t="s">
        <v>74</v>
      </c>
      <c r="AY563" t="s">
        <v>74</v>
      </c>
      <c r="AZ563" t="s">
        <v>74</v>
      </c>
      <c r="BA563" t="s">
        <v>74</v>
      </c>
      <c r="BB563">
        <v>3374</v>
      </c>
      <c r="BC563">
        <v>3387</v>
      </c>
      <c r="BD563" t="s">
        <v>74</v>
      </c>
      <c r="BE563" t="s">
        <v>10889</v>
      </c>
      <c r="BF563" t="str">
        <f>HYPERLINK("http://dx.doi.org/10.1121/10.0022459","http://dx.doi.org/10.1121/10.0022459")</f>
        <v>http://dx.doi.org/10.1121/10.0022459</v>
      </c>
      <c r="BG563" t="s">
        <v>74</v>
      </c>
      <c r="BH563" t="s">
        <v>74</v>
      </c>
      <c r="BI563">
        <v>14</v>
      </c>
      <c r="BJ563" t="s">
        <v>10890</v>
      </c>
      <c r="BK563" t="s">
        <v>100</v>
      </c>
      <c r="BL563" t="s">
        <v>10890</v>
      </c>
      <c r="BM563" t="s">
        <v>10891</v>
      </c>
      <c r="BN563">
        <v>37988372</v>
      </c>
      <c r="BO563" t="s">
        <v>1717</v>
      </c>
      <c r="BP563" t="s">
        <v>74</v>
      </c>
      <c r="BQ563" t="s">
        <v>74</v>
      </c>
      <c r="BR563" t="s">
        <v>104</v>
      </c>
      <c r="BS563" t="s">
        <v>10892</v>
      </c>
      <c r="BT563" t="str">
        <f>HYPERLINK("https%3A%2F%2Fwww.webofscience.com%2Fwos%2Fwoscc%2Ffull-record%2FWOS:001108020600003","View Full Record in Web of Science")</f>
        <v>View Full Record in Web of Science</v>
      </c>
    </row>
    <row r="564" spans="1:72" x14ac:dyDescent="0.15">
      <c r="A564" t="s">
        <v>72</v>
      </c>
      <c r="B564" t="s">
        <v>10893</v>
      </c>
      <c r="C564" t="s">
        <v>74</v>
      </c>
      <c r="D564" t="s">
        <v>74</v>
      </c>
      <c r="E564" t="s">
        <v>74</v>
      </c>
      <c r="F564" t="s">
        <v>10894</v>
      </c>
      <c r="G564" t="s">
        <v>74</v>
      </c>
      <c r="H564" t="s">
        <v>74</v>
      </c>
      <c r="I564" t="s">
        <v>10895</v>
      </c>
      <c r="J564" t="s">
        <v>5995</v>
      </c>
      <c r="K564" t="s">
        <v>74</v>
      </c>
      <c r="L564" t="s">
        <v>74</v>
      </c>
      <c r="M564" t="s">
        <v>78</v>
      </c>
      <c r="N564" t="s">
        <v>441</v>
      </c>
      <c r="O564" t="s">
        <v>74</v>
      </c>
      <c r="P564" t="s">
        <v>74</v>
      </c>
      <c r="Q564" t="s">
        <v>74</v>
      </c>
      <c r="R564" t="s">
        <v>74</v>
      </c>
      <c r="S564" t="s">
        <v>74</v>
      </c>
      <c r="T564" t="s">
        <v>10896</v>
      </c>
      <c r="U564" t="s">
        <v>10897</v>
      </c>
      <c r="V564" t="s">
        <v>10898</v>
      </c>
      <c r="W564" t="s">
        <v>10899</v>
      </c>
      <c r="X564" t="s">
        <v>10900</v>
      </c>
      <c r="Y564" t="s">
        <v>10901</v>
      </c>
      <c r="Z564" t="s">
        <v>10902</v>
      </c>
      <c r="AA564" t="s">
        <v>74</v>
      </c>
      <c r="AB564" t="s">
        <v>74</v>
      </c>
      <c r="AC564" t="s">
        <v>74</v>
      </c>
      <c r="AD564" t="s">
        <v>74</v>
      </c>
      <c r="AE564" t="s">
        <v>74</v>
      </c>
      <c r="AF564" t="s">
        <v>74</v>
      </c>
      <c r="AG564">
        <v>178</v>
      </c>
      <c r="AH564">
        <v>0</v>
      </c>
      <c r="AI564">
        <v>0</v>
      </c>
      <c r="AJ564">
        <v>2</v>
      </c>
      <c r="AK564">
        <v>2</v>
      </c>
      <c r="AL564" t="s">
        <v>5695</v>
      </c>
      <c r="AM564" t="s">
        <v>5696</v>
      </c>
      <c r="AN564" t="s">
        <v>5697</v>
      </c>
      <c r="AO564" t="s">
        <v>74</v>
      </c>
      <c r="AP564" t="s">
        <v>6005</v>
      </c>
      <c r="AQ564" t="s">
        <v>74</v>
      </c>
      <c r="AR564" t="s">
        <v>5995</v>
      </c>
      <c r="AS564" t="s">
        <v>6006</v>
      </c>
      <c r="AT564" t="s">
        <v>4525</v>
      </c>
      <c r="AU564">
        <v>2023</v>
      </c>
      <c r="AV564">
        <v>15</v>
      </c>
      <c r="AW564">
        <v>11</v>
      </c>
      <c r="AX564" t="s">
        <v>74</v>
      </c>
      <c r="AY564" t="s">
        <v>74</v>
      </c>
      <c r="AZ564" t="s">
        <v>74</v>
      </c>
      <c r="BA564" t="s">
        <v>74</v>
      </c>
      <c r="BB564" t="s">
        <v>74</v>
      </c>
      <c r="BC564" t="s">
        <v>74</v>
      </c>
      <c r="BD564">
        <v>1109</v>
      </c>
      <c r="BE564" t="s">
        <v>10903</v>
      </c>
      <c r="BF564" t="str">
        <f>HYPERLINK("http://dx.doi.org/10.3390/d15111109","http://dx.doi.org/10.3390/d15111109")</f>
        <v>http://dx.doi.org/10.3390/d15111109</v>
      </c>
      <c r="BG564" t="s">
        <v>74</v>
      </c>
      <c r="BH564" t="s">
        <v>74</v>
      </c>
      <c r="BI564">
        <v>27</v>
      </c>
      <c r="BJ564" t="s">
        <v>1261</v>
      </c>
      <c r="BK564" t="s">
        <v>100</v>
      </c>
      <c r="BL564" t="s">
        <v>913</v>
      </c>
      <c r="BM564" t="s">
        <v>10904</v>
      </c>
      <c r="BN564" t="s">
        <v>74</v>
      </c>
      <c r="BO564" t="s">
        <v>131</v>
      </c>
      <c r="BP564" t="s">
        <v>74</v>
      </c>
      <c r="BQ564" t="s">
        <v>74</v>
      </c>
      <c r="BR564" t="s">
        <v>104</v>
      </c>
      <c r="BS564" t="s">
        <v>10905</v>
      </c>
      <c r="BT564" t="str">
        <f>HYPERLINK("https%3A%2F%2Fwww.webofscience.com%2Fwos%2Fwoscc%2Ffull-record%2FWOS:001108172500001","View Full Record in Web of Science")</f>
        <v>View Full Record in Web of Science</v>
      </c>
    </row>
    <row r="565" spans="1:72" x14ac:dyDescent="0.15">
      <c r="A565" t="s">
        <v>72</v>
      </c>
      <c r="B565" t="s">
        <v>10906</v>
      </c>
      <c r="C565" t="s">
        <v>74</v>
      </c>
      <c r="D565" t="s">
        <v>74</v>
      </c>
      <c r="E565" t="s">
        <v>74</v>
      </c>
      <c r="F565" t="s">
        <v>10907</v>
      </c>
      <c r="G565" t="s">
        <v>74</v>
      </c>
      <c r="H565" t="s">
        <v>74</v>
      </c>
      <c r="I565" t="s">
        <v>10908</v>
      </c>
      <c r="J565" t="s">
        <v>10909</v>
      </c>
      <c r="K565" t="s">
        <v>74</v>
      </c>
      <c r="L565" t="s">
        <v>74</v>
      </c>
      <c r="M565" t="s">
        <v>78</v>
      </c>
      <c r="N565" t="s">
        <v>79</v>
      </c>
      <c r="O565" t="s">
        <v>74</v>
      </c>
      <c r="P565" t="s">
        <v>74</v>
      </c>
      <c r="Q565" t="s">
        <v>74</v>
      </c>
      <c r="R565" t="s">
        <v>74</v>
      </c>
      <c r="S565" t="s">
        <v>74</v>
      </c>
      <c r="T565" t="s">
        <v>10910</v>
      </c>
      <c r="U565" t="s">
        <v>10911</v>
      </c>
      <c r="V565" t="s">
        <v>10912</v>
      </c>
      <c r="W565" t="s">
        <v>10913</v>
      </c>
      <c r="X565" t="s">
        <v>10914</v>
      </c>
      <c r="Y565" t="s">
        <v>10915</v>
      </c>
      <c r="Z565" t="s">
        <v>10916</v>
      </c>
      <c r="AA565" t="s">
        <v>74</v>
      </c>
      <c r="AB565" t="s">
        <v>74</v>
      </c>
      <c r="AC565" t="s">
        <v>74</v>
      </c>
      <c r="AD565" t="s">
        <v>74</v>
      </c>
      <c r="AE565" t="s">
        <v>74</v>
      </c>
      <c r="AF565" t="s">
        <v>74</v>
      </c>
      <c r="AG565">
        <v>42</v>
      </c>
      <c r="AH565">
        <v>0</v>
      </c>
      <c r="AI565">
        <v>0</v>
      </c>
      <c r="AJ565">
        <v>2</v>
      </c>
      <c r="AK565">
        <v>2</v>
      </c>
      <c r="AL565" t="s">
        <v>947</v>
      </c>
      <c r="AM565" t="s">
        <v>948</v>
      </c>
      <c r="AN565" t="s">
        <v>949</v>
      </c>
      <c r="AO565" t="s">
        <v>10917</v>
      </c>
      <c r="AP565" t="s">
        <v>10918</v>
      </c>
      <c r="AQ565" t="s">
        <v>74</v>
      </c>
      <c r="AR565" t="s">
        <v>10919</v>
      </c>
      <c r="AS565" t="s">
        <v>10920</v>
      </c>
      <c r="AT565" t="s">
        <v>3263</v>
      </c>
      <c r="AU565">
        <v>2023</v>
      </c>
      <c r="AV565">
        <v>624</v>
      </c>
      <c r="AW565" t="s">
        <v>74</v>
      </c>
      <c r="AX565" t="s">
        <v>74</v>
      </c>
      <c r="AY565" t="s">
        <v>74</v>
      </c>
      <c r="AZ565" t="s">
        <v>74</v>
      </c>
      <c r="BA565" t="s">
        <v>74</v>
      </c>
      <c r="BB565" t="s">
        <v>74</v>
      </c>
      <c r="BC565" t="s">
        <v>74</v>
      </c>
      <c r="BD565">
        <v>118444</v>
      </c>
      <c r="BE565" t="s">
        <v>10921</v>
      </c>
      <c r="BF565" t="str">
        <f>HYPERLINK("http://dx.doi.org/10.1016/j.epsl.2023.118444","http://dx.doi.org/10.1016/j.epsl.2023.118444")</f>
        <v>http://dx.doi.org/10.1016/j.epsl.2023.118444</v>
      </c>
      <c r="BG565" t="s">
        <v>74</v>
      </c>
      <c r="BH565" t="s">
        <v>6982</v>
      </c>
      <c r="BI565">
        <v>8</v>
      </c>
      <c r="BJ565" t="s">
        <v>4252</v>
      </c>
      <c r="BK565" t="s">
        <v>100</v>
      </c>
      <c r="BL565" t="s">
        <v>4252</v>
      </c>
      <c r="BM565" t="s">
        <v>10922</v>
      </c>
      <c r="BN565" t="s">
        <v>74</v>
      </c>
      <c r="BO565" t="s">
        <v>74</v>
      </c>
      <c r="BP565" t="s">
        <v>74</v>
      </c>
      <c r="BQ565" t="s">
        <v>74</v>
      </c>
      <c r="BR565" t="s">
        <v>104</v>
      </c>
      <c r="BS565" t="s">
        <v>10923</v>
      </c>
      <c r="BT565" t="str">
        <f>HYPERLINK("https%3A%2F%2Fwww.webofscience.com%2Fwos%2Fwoscc%2Ffull-record%2FWOS:001105982300001","View Full Record in Web of Science")</f>
        <v>View Full Record in Web of Science</v>
      </c>
    </row>
    <row r="566" spans="1:72" x14ac:dyDescent="0.15">
      <c r="A566" t="s">
        <v>72</v>
      </c>
      <c r="B566" t="s">
        <v>10924</v>
      </c>
      <c r="C566" t="s">
        <v>74</v>
      </c>
      <c r="D566" t="s">
        <v>74</v>
      </c>
      <c r="E566" t="s">
        <v>74</v>
      </c>
      <c r="F566" t="s">
        <v>10925</v>
      </c>
      <c r="G566" t="s">
        <v>74</v>
      </c>
      <c r="H566" t="s">
        <v>74</v>
      </c>
      <c r="I566" t="s">
        <v>10926</v>
      </c>
      <c r="J566" t="s">
        <v>10927</v>
      </c>
      <c r="K566" t="s">
        <v>74</v>
      </c>
      <c r="L566" t="s">
        <v>74</v>
      </c>
      <c r="M566" t="s">
        <v>78</v>
      </c>
      <c r="N566" t="s">
        <v>79</v>
      </c>
      <c r="O566" t="s">
        <v>74</v>
      </c>
      <c r="P566" t="s">
        <v>74</v>
      </c>
      <c r="Q566" t="s">
        <v>74</v>
      </c>
      <c r="R566" t="s">
        <v>74</v>
      </c>
      <c r="S566" t="s">
        <v>74</v>
      </c>
      <c r="T566" t="s">
        <v>10928</v>
      </c>
      <c r="U566" t="s">
        <v>10929</v>
      </c>
      <c r="V566" t="s">
        <v>10930</v>
      </c>
      <c r="W566" t="s">
        <v>10931</v>
      </c>
      <c r="X566" t="s">
        <v>10932</v>
      </c>
      <c r="Y566" t="s">
        <v>10933</v>
      </c>
      <c r="Z566" t="s">
        <v>10934</v>
      </c>
      <c r="AA566" t="s">
        <v>10935</v>
      </c>
      <c r="AB566" t="s">
        <v>74</v>
      </c>
      <c r="AC566" t="s">
        <v>10936</v>
      </c>
      <c r="AD566" t="s">
        <v>10936</v>
      </c>
      <c r="AE566" t="s">
        <v>10937</v>
      </c>
      <c r="AF566" t="s">
        <v>74</v>
      </c>
      <c r="AG566">
        <v>38</v>
      </c>
      <c r="AH566">
        <v>0</v>
      </c>
      <c r="AI566">
        <v>0</v>
      </c>
      <c r="AJ566">
        <v>2</v>
      </c>
      <c r="AK566">
        <v>2</v>
      </c>
      <c r="AL566" t="s">
        <v>975</v>
      </c>
      <c r="AM566" t="s">
        <v>976</v>
      </c>
      <c r="AN566" t="s">
        <v>977</v>
      </c>
      <c r="AO566" t="s">
        <v>10938</v>
      </c>
      <c r="AP566" t="s">
        <v>10939</v>
      </c>
      <c r="AQ566" t="s">
        <v>74</v>
      </c>
      <c r="AR566" t="s">
        <v>10940</v>
      </c>
      <c r="AS566" t="s">
        <v>10941</v>
      </c>
      <c r="AT566" t="s">
        <v>954</v>
      </c>
      <c r="AU566">
        <v>2024</v>
      </c>
      <c r="AV566">
        <v>157</v>
      </c>
      <c r="AW566" t="s">
        <v>74</v>
      </c>
      <c r="AX566" t="s">
        <v>74</v>
      </c>
      <c r="AY566" t="s">
        <v>74</v>
      </c>
      <c r="AZ566" t="s">
        <v>74</v>
      </c>
      <c r="BA566" t="s">
        <v>74</v>
      </c>
      <c r="BB566" t="s">
        <v>74</v>
      </c>
      <c r="BC566" t="s">
        <v>74</v>
      </c>
      <c r="BD566">
        <v>105825</v>
      </c>
      <c r="BE566" t="s">
        <v>10942</v>
      </c>
      <c r="BF566" t="str">
        <f>HYPERLINK("http://dx.doi.org/10.1016/j.archoralbio.2023.105825","http://dx.doi.org/10.1016/j.archoralbio.2023.105825")</f>
        <v>http://dx.doi.org/10.1016/j.archoralbio.2023.105825</v>
      </c>
      <c r="BG566" t="s">
        <v>74</v>
      </c>
      <c r="BH566" t="s">
        <v>6982</v>
      </c>
      <c r="BI566">
        <v>9</v>
      </c>
      <c r="BJ566" t="s">
        <v>10943</v>
      </c>
      <c r="BK566" t="s">
        <v>100</v>
      </c>
      <c r="BL566" t="s">
        <v>10943</v>
      </c>
      <c r="BM566" t="s">
        <v>10944</v>
      </c>
      <c r="BN566">
        <v>37918302</v>
      </c>
      <c r="BO566" t="s">
        <v>74</v>
      </c>
      <c r="BP566" t="s">
        <v>74</v>
      </c>
      <c r="BQ566" t="s">
        <v>74</v>
      </c>
      <c r="BR566" t="s">
        <v>104</v>
      </c>
      <c r="BS566" t="s">
        <v>10945</v>
      </c>
      <c r="BT566" t="str">
        <f>HYPERLINK("https%3A%2F%2Fwww.webofscience.com%2Fwos%2Fwoscc%2Ffull-record%2FWOS:001105434200001","View Full Record in Web of Science")</f>
        <v>View Full Record in Web of Science</v>
      </c>
    </row>
    <row r="567" spans="1:72" x14ac:dyDescent="0.15">
      <c r="A567" t="s">
        <v>72</v>
      </c>
      <c r="B567" t="s">
        <v>10946</v>
      </c>
      <c r="C567" t="s">
        <v>74</v>
      </c>
      <c r="D567" t="s">
        <v>74</v>
      </c>
      <c r="E567" t="s">
        <v>74</v>
      </c>
      <c r="F567" t="s">
        <v>10947</v>
      </c>
      <c r="G567" t="s">
        <v>74</v>
      </c>
      <c r="H567" t="s">
        <v>74</v>
      </c>
      <c r="I567" t="s">
        <v>10948</v>
      </c>
      <c r="J567" t="s">
        <v>6236</v>
      </c>
      <c r="K567" t="s">
        <v>74</v>
      </c>
      <c r="L567" t="s">
        <v>74</v>
      </c>
      <c r="M567" t="s">
        <v>78</v>
      </c>
      <c r="N567" t="s">
        <v>79</v>
      </c>
      <c r="O567" t="s">
        <v>74</v>
      </c>
      <c r="P567" t="s">
        <v>74</v>
      </c>
      <c r="Q567" t="s">
        <v>74</v>
      </c>
      <c r="R567" t="s">
        <v>74</v>
      </c>
      <c r="S567" t="s">
        <v>74</v>
      </c>
      <c r="T567" t="s">
        <v>10949</v>
      </c>
      <c r="U567" t="s">
        <v>10950</v>
      </c>
      <c r="V567" t="s">
        <v>10951</v>
      </c>
      <c r="W567" t="s">
        <v>10952</v>
      </c>
      <c r="X567" t="s">
        <v>10953</v>
      </c>
      <c r="Y567" t="s">
        <v>10954</v>
      </c>
      <c r="Z567" t="s">
        <v>10955</v>
      </c>
      <c r="AA567" t="s">
        <v>10956</v>
      </c>
      <c r="AB567" t="s">
        <v>10957</v>
      </c>
      <c r="AC567" t="s">
        <v>10958</v>
      </c>
      <c r="AD567" t="s">
        <v>10959</v>
      </c>
      <c r="AE567" t="s">
        <v>10960</v>
      </c>
      <c r="AF567" t="s">
        <v>74</v>
      </c>
      <c r="AG567">
        <v>31</v>
      </c>
      <c r="AH567">
        <v>0</v>
      </c>
      <c r="AI567">
        <v>0</v>
      </c>
      <c r="AJ567">
        <v>2</v>
      </c>
      <c r="AK567">
        <v>2</v>
      </c>
      <c r="AL567" t="s">
        <v>1208</v>
      </c>
      <c r="AM567" t="s">
        <v>1209</v>
      </c>
      <c r="AN567" t="s">
        <v>1210</v>
      </c>
      <c r="AO567" t="s">
        <v>74</v>
      </c>
      <c r="AP567" t="s">
        <v>6249</v>
      </c>
      <c r="AQ567" t="s">
        <v>74</v>
      </c>
      <c r="AR567" t="s">
        <v>6250</v>
      </c>
      <c r="AS567" t="s">
        <v>6251</v>
      </c>
      <c r="AT567" t="s">
        <v>4525</v>
      </c>
      <c r="AU567">
        <v>2023</v>
      </c>
      <c r="AV567">
        <v>21</v>
      </c>
      <c r="AW567">
        <v>11</v>
      </c>
      <c r="AX567" t="s">
        <v>74</v>
      </c>
      <c r="AY567" t="s">
        <v>74</v>
      </c>
      <c r="AZ567" t="s">
        <v>74</v>
      </c>
      <c r="BA567" t="s">
        <v>74</v>
      </c>
      <c r="BB567" t="s">
        <v>74</v>
      </c>
      <c r="BC567" t="s">
        <v>74</v>
      </c>
      <c r="BD567" t="s">
        <v>10961</v>
      </c>
      <c r="BE567" t="s">
        <v>10962</v>
      </c>
      <c r="BF567" t="str">
        <f>HYPERLINK("http://dx.doi.org/10.1029/2023SW003533","http://dx.doi.org/10.1029/2023SW003533")</f>
        <v>http://dx.doi.org/10.1029/2023SW003533</v>
      </c>
      <c r="BG567" t="s">
        <v>74</v>
      </c>
      <c r="BH567" t="s">
        <v>74</v>
      </c>
      <c r="BI567">
        <v>18</v>
      </c>
      <c r="BJ567" t="s">
        <v>6254</v>
      </c>
      <c r="BK567" t="s">
        <v>100</v>
      </c>
      <c r="BL567" t="s">
        <v>6254</v>
      </c>
      <c r="BM567" t="s">
        <v>10963</v>
      </c>
      <c r="BN567" t="s">
        <v>74</v>
      </c>
      <c r="BO567" t="s">
        <v>2452</v>
      </c>
      <c r="BP567" t="s">
        <v>74</v>
      </c>
      <c r="BQ567" t="s">
        <v>74</v>
      </c>
      <c r="BR567" t="s">
        <v>104</v>
      </c>
      <c r="BS567" t="s">
        <v>10964</v>
      </c>
      <c r="BT567" t="str">
        <f>HYPERLINK("https%3A%2F%2Fwww.webofscience.com%2Fwos%2Fwoscc%2Ffull-record%2FWOS:001108872300001","View Full Record in Web of Science")</f>
        <v>View Full Record in Web of Science</v>
      </c>
    </row>
    <row r="568" spans="1:72" x14ac:dyDescent="0.15">
      <c r="A568" t="s">
        <v>72</v>
      </c>
      <c r="B568" t="s">
        <v>10965</v>
      </c>
      <c r="C568" t="s">
        <v>74</v>
      </c>
      <c r="D568" t="s">
        <v>74</v>
      </c>
      <c r="E568" t="s">
        <v>74</v>
      </c>
      <c r="F568" t="s">
        <v>10966</v>
      </c>
      <c r="G568" t="s">
        <v>74</v>
      </c>
      <c r="H568" t="s">
        <v>74</v>
      </c>
      <c r="I568" t="s">
        <v>10967</v>
      </c>
      <c r="J568" t="s">
        <v>10968</v>
      </c>
      <c r="K568" t="s">
        <v>74</v>
      </c>
      <c r="L568" t="s">
        <v>74</v>
      </c>
      <c r="M568" t="s">
        <v>78</v>
      </c>
      <c r="N568" t="s">
        <v>79</v>
      </c>
      <c r="O568" t="s">
        <v>74</v>
      </c>
      <c r="P568" t="s">
        <v>74</v>
      </c>
      <c r="Q568" t="s">
        <v>74</v>
      </c>
      <c r="R568" t="s">
        <v>74</v>
      </c>
      <c r="S568" t="s">
        <v>74</v>
      </c>
      <c r="T568" t="s">
        <v>10969</v>
      </c>
      <c r="U568" t="s">
        <v>10970</v>
      </c>
      <c r="V568" t="s">
        <v>10971</v>
      </c>
      <c r="W568" t="s">
        <v>10972</v>
      </c>
      <c r="X568" t="s">
        <v>10973</v>
      </c>
      <c r="Y568" t="s">
        <v>10974</v>
      </c>
      <c r="Z568" t="s">
        <v>10975</v>
      </c>
      <c r="AA568" t="s">
        <v>74</v>
      </c>
      <c r="AB568" t="s">
        <v>10976</v>
      </c>
      <c r="AC568" t="s">
        <v>10977</v>
      </c>
      <c r="AD568" t="s">
        <v>10978</v>
      </c>
      <c r="AE568" t="s">
        <v>10979</v>
      </c>
      <c r="AF568" t="s">
        <v>74</v>
      </c>
      <c r="AG568">
        <v>56</v>
      </c>
      <c r="AH568">
        <v>1</v>
      </c>
      <c r="AI568">
        <v>1</v>
      </c>
      <c r="AJ568">
        <v>5</v>
      </c>
      <c r="AK568">
        <v>5</v>
      </c>
      <c r="AL568" t="s">
        <v>5695</v>
      </c>
      <c r="AM568" t="s">
        <v>5696</v>
      </c>
      <c r="AN568" t="s">
        <v>5697</v>
      </c>
      <c r="AO568" t="s">
        <v>10980</v>
      </c>
      <c r="AP568" t="s">
        <v>74</v>
      </c>
      <c r="AQ568" t="s">
        <v>74</v>
      </c>
      <c r="AR568" t="s">
        <v>10981</v>
      </c>
      <c r="AS568" t="s">
        <v>10982</v>
      </c>
      <c r="AT568" t="s">
        <v>4525</v>
      </c>
      <c r="AU568">
        <v>2023</v>
      </c>
      <c r="AV568">
        <v>13</v>
      </c>
      <c r="AW568">
        <v>22</v>
      </c>
      <c r="AX568" t="s">
        <v>74</v>
      </c>
      <c r="AY568" t="s">
        <v>74</v>
      </c>
      <c r="AZ568" t="s">
        <v>74</v>
      </c>
      <c r="BA568" t="s">
        <v>74</v>
      </c>
      <c r="BB568" t="s">
        <v>74</v>
      </c>
      <c r="BC568" t="s">
        <v>74</v>
      </c>
      <c r="BD568">
        <v>3562</v>
      </c>
      <c r="BE568" t="s">
        <v>10983</v>
      </c>
      <c r="BF568" t="str">
        <f>HYPERLINK("http://dx.doi.org/10.3390/ani13223562","http://dx.doi.org/10.3390/ani13223562")</f>
        <v>http://dx.doi.org/10.3390/ani13223562</v>
      </c>
      <c r="BG568" t="s">
        <v>74</v>
      </c>
      <c r="BH568" t="s">
        <v>74</v>
      </c>
      <c r="BI568">
        <v>13</v>
      </c>
      <c r="BJ568" t="s">
        <v>10984</v>
      </c>
      <c r="BK568" t="s">
        <v>100</v>
      </c>
      <c r="BL568" t="s">
        <v>10985</v>
      </c>
      <c r="BM568" t="s">
        <v>10986</v>
      </c>
      <c r="BN568">
        <v>38003180</v>
      </c>
      <c r="BO568" t="s">
        <v>265</v>
      </c>
      <c r="BP568" t="s">
        <v>74</v>
      </c>
      <c r="BQ568" t="s">
        <v>74</v>
      </c>
      <c r="BR568" t="s">
        <v>104</v>
      </c>
      <c r="BS568" t="s">
        <v>10987</v>
      </c>
      <c r="BT568" t="str">
        <f>HYPERLINK("https%3A%2F%2Fwww.webofscience.com%2Fwos%2Fwoscc%2Ffull-record%2FWOS:001109590200001","View Full Record in Web of Science")</f>
        <v>View Full Record in Web of Science</v>
      </c>
    </row>
    <row r="569" spans="1:72" x14ac:dyDescent="0.15">
      <c r="A569" t="s">
        <v>72</v>
      </c>
      <c r="B569" t="s">
        <v>10988</v>
      </c>
      <c r="C569" t="s">
        <v>74</v>
      </c>
      <c r="D569" t="s">
        <v>74</v>
      </c>
      <c r="E569" t="s">
        <v>74</v>
      </c>
      <c r="F569" t="s">
        <v>10989</v>
      </c>
      <c r="G569" t="s">
        <v>74</v>
      </c>
      <c r="H569" t="s">
        <v>74</v>
      </c>
      <c r="I569" t="s">
        <v>10990</v>
      </c>
      <c r="J569" t="s">
        <v>10991</v>
      </c>
      <c r="K569" t="s">
        <v>74</v>
      </c>
      <c r="L569" t="s">
        <v>74</v>
      </c>
      <c r="M569" t="s">
        <v>78</v>
      </c>
      <c r="N569" t="s">
        <v>79</v>
      </c>
      <c r="O569" t="s">
        <v>74</v>
      </c>
      <c r="P569" t="s">
        <v>74</v>
      </c>
      <c r="Q569" t="s">
        <v>74</v>
      </c>
      <c r="R569" t="s">
        <v>74</v>
      </c>
      <c r="S569" t="s">
        <v>74</v>
      </c>
      <c r="T569" t="s">
        <v>10992</v>
      </c>
      <c r="U569" t="s">
        <v>10993</v>
      </c>
      <c r="V569" t="s">
        <v>10994</v>
      </c>
      <c r="W569" t="s">
        <v>10995</v>
      </c>
      <c r="X569" t="s">
        <v>10996</v>
      </c>
      <c r="Y569" t="s">
        <v>10997</v>
      </c>
      <c r="Z569" t="s">
        <v>10998</v>
      </c>
      <c r="AA569" t="s">
        <v>74</v>
      </c>
      <c r="AB569" t="s">
        <v>74</v>
      </c>
      <c r="AC569" t="s">
        <v>10999</v>
      </c>
      <c r="AD569" t="s">
        <v>11000</v>
      </c>
      <c r="AE569" t="s">
        <v>11001</v>
      </c>
      <c r="AF569" t="s">
        <v>74</v>
      </c>
      <c r="AG569">
        <v>62</v>
      </c>
      <c r="AH569">
        <v>0</v>
      </c>
      <c r="AI569">
        <v>0</v>
      </c>
      <c r="AJ569">
        <v>3</v>
      </c>
      <c r="AK569">
        <v>3</v>
      </c>
      <c r="AL569" t="s">
        <v>5117</v>
      </c>
      <c r="AM569" t="s">
        <v>5118</v>
      </c>
      <c r="AN569" t="s">
        <v>5119</v>
      </c>
      <c r="AO569" t="s">
        <v>11002</v>
      </c>
      <c r="AP569" t="s">
        <v>11003</v>
      </c>
      <c r="AQ569" t="s">
        <v>74</v>
      </c>
      <c r="AR569" t="s">
        <v>11004</v>
      </c>
      <c r="AS569" t="s">
        <v>11005</v>
      </c>
      <c r="AT569" t="s">
        <v>4525</v>
      </c>
      <c r="AU569">
        <v>2023</v>
      </c>
      <c r="AV569">
        <v>40</v>
      </c>
      <c r="AW569">
        <v>11</v>
      </c>
      <c r="AX569" t="s">
        <v>74</v>
      </c>
      <c r="AY569" t="s">
        <v>74</v>
      </c>
      <c r="AZ569" t="s">
        <v>74</v>
      </c>
      <c r="BA569" t="s">
        <v>74</v>
      </c>
      <c r="BB569">
        <v>1475</v>
      </c>
      <c r="BC569">
        <v>1491</v>
      </c>
      <c r="BD569" t="s">
        <v>74</v>
      </c>
      <c r="BE569" t="s">
        <v>11006</v>
      </c>
      <c r="BF569" t="str">
        <f>HYPERLINK("http://dx.doi.org/10.1175/JTECH-D-23-0007.1","http://dx.doi.org/10.1175/JTECH-D-23-0007.1")</f>
        <v>http://dx.doi.org/10.1175/JTECH-D-23-0007.1</v>
      </c>
      <c r="BG569" t="s">
        <v>74</v>
      </c>
      <c r="BH569" t="s">
        <v>74</v>
      </c>
      <c r="BI569">
        <v>17</v>
      </c>
      <c r="BJ569" t="s">
        <v>11007</v>
      </c>
      <c r="BK569" t="s">
        <v>100</v>
      </c>
      <c r="BL569" t="s">
        <v>11008</v>
      </c>
      <c r="BM569" t="s">
        <v>11009</v>
      </c>
      <c r="BN569" t="s">
        <v>74</v>
      </c>
      <c r="BO569" t="s">
        <v>74</v>
      </c>
      <c r="BP569" t="s">
        <v>74</v>
      </c>
      <c r="BQ569" t="s">
        <v>74</v>
      </c>
      <c r="BR569" t="s">
        <v>104</v>
      </c>
      <c r="BS569" t="s">
        <v>11010</v>
      </c>
      <c r="BT569" t="str">
        <f>HYPERLINK("https%3A%2F%2Fwww.webofscience.com%2Fwos%2Fwoscc%2Ffull-record%2FWOS:001105038500001","View Full Record in Web of Science")</f>
        <v>View Full Record in Web of Science</v>
      </c>
    </row>
    <row r="570" spans="1:72" x14ac:dyDescent="0.15">
      <c r="A570" t="s">
        <v>72</v>
      </c>
      <c r="B570" t="s">
        <v>11011</v>
      </c>
      <c r="C570" t="s">
        <v>74</v>
      </c>
      <c r="D570" t="s">
        <v>74</v>
      </c>
      <c r="E570" t="s">
        <v>74</v>
      </c>
      <c r="F570" t="s">
        <v>11012</v>
      </c>
      <c r="G570" t="s">
        <v>74</v>
      </c>
      <c r="H570" t="s">
        <v>74</v>
      </c>
      <c r="I570" t="s">
        <v>11013</v>
      </c>
      <c r="J570" t="s">
        <v>11014</v>
      </c>
      <c r="K570" t="s">
        <v>74</v>
      </c>
      <c r="L570" t="s">
        <v>74</v>
      </c>
      <c r="M570" t="s">
        <v>78</v>
      </c>
      <c r="N570" t="s">
        <v>79</v>
      </c>
      <c r="O570" t="s">
        <v>74</v>
      </c>
      <c r="P570" t="s">
        <v>74</v>
      </c>
      <c r="Q570" t="s">
        <v>74</v>
      </c>
      <c r="R570" t="s">
        <v>74</v>
      </c>
      <c r="S570" t="s">
        <v>74</v>
      </c>
      <c r="T570" t="s">
        <v>11015</v>
      </c>
      <c r="U570" t="s">
        <v>11016</v>
      </c>
      <c r="V570" t="s">
        <v>11017</v>
      </c>
      <c r="W570" t="s">
        <v>11018</v>
      </c>
      <c r="X570" t="s">
        <v>11019</v>
      </c>
      <c r="Y570" t="s">
        <v>11020</v>
      </c>
      <c r="Z570" t="s">
        <v>11021</v>
      </c>
      <c r="AA570" t="s">
        <v>11022</v>
      </c>
      <c r="AB570" t="s">
        <v>11023</v>
      </c>
      <c r="AC570" t="s">
        <v>11024</v>
      </c>
      <c r="AD570" t="s">
        <v>11025</v>
      </c>
      <c r="AE570" t="s">
        <v>11026</v>
      </c>
      <c r="AF570" t="s">
        <v>74</v>
      </c>
      <c r="AG570">
        <v>29</v>
      </c>
      <c r="AH570">
        <v>0</v>
      </c>
      <c r="AI570">
        <v>0</v>
      </c>
      <c r="AJ570">
        <v>8</v>
      </c>
      <c r="AK570">
        <v>8</v>
      </c>
      <c r="AL570" t="s">
        <v>89</v>
      </c>
      <c r="AM570" t="s">
        <v>976</v>
      </c>
      <c r="AN570" t="s">
        <v>11027</v>
      </c>
      <c r="AO570" t="s">
        <v>11028</v>
      </c>
      <c r="AP570" t="s">
        <v>11029</v>
      </c>
      <c r="AQ570" t="s">
        <v>74</v>
      </c>
      <c r="AR570" t="s">
        <v>11030</v>
      </c>
      <c r="AS570" t="s">
        <v>11031</v>
      </c>
      <c r="AT570" t="s">
        <v>4525</v>
      </c>
      <c r="AU570">
        <v>2023</v>
      </c>
      <c r="AV570">
        <v>134</v>
      </c>
      <c r="AW570" t="s">
        <v>74</v>
      </c>
      <c r="AX570">
        <v>1</v>
      </c>
      <c r="AY570" t="s">
        <v>74</v>
      </c>
      <c r="AZ570" t="s">
        <v>74</v>
      </c>
      <c r="BA570" t="s">
        <v>74</v>
      </c>
      <c r="BB570">
        <v>363</v>
      </c>
      <c r="BC570">
        <v>369</v>
      </c>
      <c r="BD570" t="s">
        <v>74</v>
      </c>
      <c r="BE570" t="s">
        <v>11032</v>
      </c>
      <c r="BF570" t="str">
        <f>HYPERLINK("http://dx.doi.org/10.1016/j.procbio.2023.10.014","http://dx.doi.org/10.1016/j.procbio.2023.10.014")</f>
        <v>http://dx.doi.org/10.1016/j.procbio.2023.10.014</v>
      </c>
      <c r="BG570" t="s">
        <v>74</v>
      </c>
      <c r="BH570" t="s">
        <v>6982</v>
      </c>
      <c r="BI570">
        <v>7</v>
      </c>
      <c r="BJ570" t="s">
        <v>11033</v>
      </c>
      <c r="BK570" t="s">
        <v>100</v>
      </c>
      <c r="BL570" t="s">
        <v>11034</v>
      </c>
      <c r="BM570" t="s">
        <v>11035</v>
      </c>
      <c r="BN570" t="s">
        <v>74</v>
      </c>
      <c r="BO570" t="s">
        <v>74</v>
      </c>
      <c r="BP570" t="s">
        <v>74</v>
      </c>
      <c r="BQ570" t="s">
        <v>74</v>
      </c>
      <c r="BR570" t="s">
        <v>104</v>
      </c>
      <c r="BS570" t="s">
        <v>11036</v>
      </c>
      <c r="BT570" t="str">
        <f>HYPERLINK("https%3A%2F%2Fwww.webofscience.com%2Fwos%2Fwoscc%2Ffull-record%2FWOS:001109239600001","View Full Record in Web of Science")</f>
        <v>View Full Record in Web of Science</v>
      </c>
    </row>
    <row r="571" spans="1:72" x14ac:dyDescent="0.15">
      <c r="A571" t="s">
        <v>72</v>
      </c>
      <c r="B571" t="s">
        <v>11037</v>
      </c>
      <c r="C571" t="s">
        <v>74</v>
      </c>
      <c r="D571" t="s">
        <v>74</v>
      </c>
      <c r="E571" t="s">
        <v>74</v>
      </c>
      <c r="F571" t="s">
        <v>11038</v>
      </c>
      <c r="G571" t="s">
        <v>74</v>
      </c>
      <c r="H571" t="s">
        <v>74</v>
      </c>
      <c r="I571" t="s">
        <v>11039</v>
      </c>
      <c r="J571" t="s">
        <v>11040</v>
      </c>
      <c r="K571" t="s">
        <v>74</v>
      </c>
      <c r="L571" t="s">
        <v>74</v>
      </c>
      <c r="M571" t="s">
        <v>78</v>
      </c>
      <c r="N571" t="s">
        <v>79</v>
      </c>
      <c r="O571" t="s">
        <v>74</v>
      </c>
      <c r="P571" t="s">
        <v>74</v>
      </c>
      <c r="Q571" t="s">
        <v>74</v>
      </c>
      <c r="R571" t="s">
        <v>74</v>
      </c>
      <c r="S571" t="s">
        <v>74</v>
      </c>
      <c r="T571" t="s">
        <v>74</v>
      </c>
      <c r="U571" t="s">
        <v>11041</v>
      </c>
      <c r="V571" t="s">
        <v>11042</v>
      </c>
      <c r="W571" t="s">
        <v>11043</v>
      </c>
      <c r="X571" t="s">
        <v>11044</v>
      </c>
      <c r="Y571" t="s">
        <v>11045</v>
      </c>
      <c r="Z571" t="s">
        <v>74</v>
      </c>
      <c r="AA571" t="s">
        <v>74</v>
      </c>
      <c r="AB571" t="s">
        <v>11046</v>
      </c>
      <c r="AC571" t="s">
        <v>11047</v>
      </c>
      <c r="AD571" t="s">
        <v>11048</v>
      </c>
      <c r="AE571" t="s">
        <v>11049</v>
      </c>
      <c r="AF571" t="s">
        <v>74</v>
      </c>
      <c r="AG571">
        <v>25</v>
      </c>
      <c r="AH571">
        <v>0</v>
      </c>
      <c r="AI571">
        <v>0</v>
      </c>
      <c r="AJ571">
        <v>2</v>
      </c>
      <c r="AK571">
        <v>2</v>
      </c>
      <c r="AL571" t="s">
        <v>6807</v>
      </c>
      <c r="AM571" t="s">
        <v>6808</v>
      </c>
      <c r="AN571" t="s">
        <v>6809</v>
      </c>
      <c r="AO571" t="s">
        <v>11050</v>
      </c>
      <c r="AP571" t="s">
        <v>11051</v>
      </c>
      <c r="AQ571" t="s">
        <v>74</v>
      </c>
      <c r="AR571" t="s">
        <v>11052</v>
      </c>
      <c r="AS571" t="s">
        <v>11053</v>
      </c>
      <c r="AT571" t="s">
        <v>10516</v>
      </c>
      <c r="AU571">
        <v>2023</v>
      </c>
      <c r="AV571">
        <v>958</v>
      </c>
      <c r="AW571">
        <v>1</v>
      </c>
      <c r="AX571" t="s">
        <v>74</v>
      </c>
      <c r="AY571" t="s">
        <v>74</v>
      </c>
      <c r="AZ571" t="s">
        <v>74</v>
      </c>
      <c r="BA571" t="s">
        <v>74</v>
      </c>
      <c r="BB571" t="s">
        <v>74</v>
      </c>
      <c r="BC571" t="s">
        <v>74</v>
      </c>
      <c r="BD571">
        <v>80</v>
      </c>
      <c r="BE571" t="s">
        <v>11054</v>
      </c>
      <c r="BF571" t="str">
        <f>HYPERLINK("http://dx.doi.org/10.3847/1538-4357/ad02f1","http://dx.doi.org/10.3847/1538-4357/ad02f1")</f>
        <v>http://dx.doi.org/10.3847/1538-4357/ad02f1</v>
      </c>
      <c r="BG571" t="s">
        <v>74</v>
      </c>
      <c r="BH571" t="s">
        <v>74</v>
      </c>
      <c r="BI571">
        <v>10</v>
      </c>
      <c r="BJ571" t="s">
        <v>4706</v>
      </c>
      <c r="BK571" t="s">
        <v>100</v>
      </c>
      <c r="BL571" t="s">
        <v>4706</v>
      </c>
      <c r="BM571" t="s">
        <v>11055</v>
      </c>
      <c r="BN571" t="s">
        <v>74</v>
      </c>
      <c r="BO571" t="s">
        <v>183</v>
      </c>
      <c r="BP571" t="s">
        <v>74</v>
      </c>
      <c r="BQ571" t="s">
        <v>74</v>
      </c>
      <c r="BR571" t="s">
        <v>104</v>
      </c>
      <c r="BS571" t="s">
        <v>11056</v>
      </c>
      <c r="BT571" t="str">
        <f>HYPERLINK("https%3A%2F%2Fwww.webofscience.com%2Fwos%2Fwoscc%2Ffull-record%2FWOS:001101837400001","View Full Record in Web of Science")</f>
        <v>View Full Record in Web of Science</v>
      </c>
    </row>
    <row r="572" spans="1:72" x14ac:dyDescent="0.15">
      <c r="A572" t="s">
        <v>72</v>
      </c>
      <c r="B572" t="s">
        <v>11057</v>
      </c>
      <c r="C572" t="s">
        <v>74</v>
      </c>
      <c r="D572" t="s">
        <v>74</v>
      </c>
      <c r="E572" t="s">
        <v>74</v>
      </c>
      <c r="F572" t="s">
        <v>11058</v>
      </c>
      <c r="G572" t="s">
        <v>74</v>
      </c>
      <c r="H572" t="s">
        <v>74</v>
      </c>
      <c r="I572" t="s">
        <v>11059</v>
      </c>
      <c r="J572" t="s">
        <v>11060</v>
      </c>
      <c r="K572" t="s">
        <v>74</v>
      </c>
      <c r="L572" t="s">
        <v>74</v>
      </c>
      <c r="M572" t="s">
        <v>78</v>
      </c>
      <c r="N572" t="s">
        <v>79</v>
      </c>
      <c r="O572" t="s">
        <v>74</v>
      </c>
      <c r="P572" t="s">
        <v>74</v>
      </c>
      <c r="Q572" t="s">
        <v>74</v>
      </c>
      <c r="R572" t="s">
        <v>74</v>
      </c>
      <c r="S572" t="s">
        <v>74</v>
      </c>
      <c r="T572" t="s">
        <v>11061</v>
      </c>
      <c r="U572" t="s">
        <v>11062</v>
      </c>
      <c r="V572" t="s">
        <v>11063</v>
      </c>
      <c r="W572" t="s">
        <v>11064</v>
      </c>
      <c r="X572" t="s">
        <v>11065</v>
      </c>
      <c r="Y572" t="s">
        <v>11066</v>
      </c>
      <c r="Z572" t="s">
        <v>11067</v>
      </c>
      <c r="AA572" t="s">
        <v>11068</v>
      </c>
      <c r="AB572" t="s">
        <v>11069</v>
      </c>
      <c r="AC572" t="s">
        <v>11070</v>
      </c>
      <c r="AD572" t="s">
        <v>11071</v>
      </c>
      <c r="AE572" t="s">
        <v>11072</v>
      </c>
      <c r="AF572" t="s">
        <v>74</v>
      </c>
      <c r="AG572">
        <v>72</v>
      </c>
      <c r="AH572">
        <v>0</v>
      </c>
      <c r="AI572">
        <v>0</v>
      </c>
      <c r="AJ572">
        <v>3</v>
      </c>
      <c r="AK572">
        <v>3</v>
      </c>
      <c r="AL572" t="s">
        <v>1758</v>
      </c>
      <c r="AM572" t="s">
        <v>1759</v>
      </c>
      <c r="AN572" t="s">
        <v>1760</v>
      </c>
      <c r="AO572" t="s">
        <v>74</v>
      </c>
      <c r="AP572" t="s">
        <v>11073</v>
      </c>
      <c r="AQ572" t="s">
        <v>74</v>
      </c>
      <c r="AR572" t="s">
        <v>11074</v>
      </c>
      <c r="AS572" t="s">
        <v>11075</v>
      </c>
      <c r="AT572" t="s">
        <v>10516</v>
      </c>
      <c r="AU572">
        <v>2023</v>
      </c>
      <c r="AV572">
        <v>14</v>
      </c>
      <c r="AW572" t="s">
        <v>74</v>
      </c>
      <c r="AX572" t="s">
        <v>74</v>
      </c>
      <c r="AY572" t="s">
        <v>74</v>
      </c>
      <c r="AZ572" t="s">
        <v>74</v>
      </c>
      <c r="BA572" t="s">
        <v>74</v>
      </c>
      <c r="BB572" t="s">
        <v>74</v>
      </c>
      <c r="BC572" t="s">
        <v>74</v>
      </c>
      <c r="BD572">
        <v>1251856</v>
      </c>
      <c r="BE572" t="s">
        <v>11076</v>
      </c>
      <c r="BF572" t="str">
        <f>HYPERLINK("http://dx.doi.org/10.3389/fphar.2023.1251856","http://dx.doi.org/10.3389/fphar.2023.1251856")</f>
        <v>http://dx.doi.org/10.3389/fphar.2023.1251856</v>
      </c>
      <c r="BG572" t="s">
        <v>74</v>
      </c>
      <c r="BH572" t="s">
        <v>74</v>
      </c>
      <c r="BI572">
        <v>19</v>
      </c>
      <c r="BJ572" t="s">
        <v>6934</v>
      </c>
      <c r="BK572" t="s">
        <v>100</v>
      </c>
      <c r="BL572" t="s">
        <v>6934</v>
      </c>
      <c r="BM572" t="s">
        <v>11077</v>
      </c>
      <c r="BN572">
        <v>38026927</v>
      </c>
      <c r="BO572" t="s">
        <v>200</v>
      </c>
      <c r="BP572" t="s">
        <v>74</v>
      </c>
      <c r="BQ572" t="s">
        <v>74</v>
      </c>
      <c r="BR572" t="s">
        <v>104</v>
      </c>
      <c r="BS572" t="s">
        <v>11078</v>
      </c>
      <c r="BT572" t="str">
        <f>HYPERLINK("https%3A%2F%2Fwww.webofscience.com%2Fwos%2Fwoscc%2Ffull-record%2FWOS:001104669100001","View Full Record in Web of Science")</f>
        <v>View Full Record in Web of Science</v>
      </c>
    </row>
    <row r="573" spans="1:72" x14ac:dyDescent="0.15">
      <c r="A573" t="s">
        <v>72</v>
      </c>
      <c r="B573" t="s">
        <v>11079</v>
      </c>
      <c r="C573" t="s">
        <v>74</v>
      </c>
      <c r="D573" t="s">
        <v>74</v>
      </c>
      <c r="E573" t="s">
        <v>74</v>
      </c>
      <c r="F573" t="s">
        <v>11080</v>
      </c>
      <c r="G573" t="s">
        <v>74</v>
      </c>
      <c r="H573" t="s">
        <v>74</v>
      </c>
      <c r="I573" t="s">
        <v>11081</v>
      </c>
      <c r="J573" t="s">
        <v>6632</v>
      </c>
      <c r="K573" t="s">
        <v>74</v>
      </c>
      <c r="L573" t="s">
        <v>74</v>
      </c>
      <c r="M573" t="s">
        <v>78</v>
      </c>
      <c r="N573" t="s">
        <v>79</v>
      </c>
      <c r="O573" t="s">
        <v>74</v>
      </c>
      <c r="P573" t="s">
        <v>74</v>
      </c>
      <c r="Q573" t="s">
        <v>74</v>
      </c>
      <c r="R573" t="s">
        <v>74</v>
      </c>
      <c r="S573" t="s">
        <v>74</v>
      </c>
      <c r="T573" t="s">
        <v>11082</v>
      </c>
      <c r="U573" t="s">
        <v>11083</v>
      </c>
      <c r="V573" t="s">
        <v>11084</v>
      </c>
      <c r="W573" t="s">
        <v>11085</v>
      </c>
      <c r="X573" t="s">
        <v>11086</v>
      </c>
      <c r="Y573" t="s">
        <v>11087</v>
      </c>
      <c r="Z573" t="s">
        <v>11088</v>
      </c>
      <c r="AA573" t="s">
        <v>74</v>
      </c>
      <c r="AB573" t="s">
        <v>74</v>
      </c>
      <c r="AC573" t="s">
        <v>11089</v>
      </c>
      <c r="AD573" t="s">
        <v>11090</v>
      </c>
      <c r="AE573" t="s">
        <v>11091</v>
      </c>
      <c r="AF573" t="s">
        <v>74</v>
      </c>
      <c r="AG573">
        <v>105</v>
      </c>
      <c r="AH573">
        <v>0</v>
      </c>
      <c r="AI573">
        <v>0</v>
      </c>
      <c r="AJ573">
        <v>18</v>
      </c>
      <c r="AK573">
        <v>18</v>
      </c>
      <c r="AL573" t="s">
        <v>1208</v>
      </c>
      <c r="AM573" t="s">
        <v>1209</v>
      </c>
      <c r="AN573" t="s">
        <v>1210</v>
      </c>
      <c r="AO573" t="s">
        <v>6645</v>
      </c>
      <c r="AP573" t="s">
        <v>6646</v>
      </c>
      <c r="AQ573" t="s">
        <v>74</v>
      </c>
      <c r="AR573" t="s">
        <v>6647</v>
      </c>
      <c r="AS573" t="s">
        <v>6648</v>
      </c>
      <c r="AT573" t="s">
        <v>4525</v>
      </c>
      <c r="AU573">
        <v>2023</v>
      </c>
      <c r="AV573">
        <v>128</v>
      </c>
      <c r="AW573">
        <v>11</v>
      </c>
      <c r="AX573" t="s">
        <v>74</v>
      </c>
      <c r="AY573" t="s">
        <v>74</v>
      </c>
      <c r="AZ573" t="s">
        <v>74</v>
      </c>
      <c r="BA573" t="s">
        <v>74</v>
      </c>
      <c r="BB573" t="s">
        <v>74</v>
      </c>
      <c r="BC573" t="s">
        <v>74</v>
      </c>
      <c r="BD573" t="s">
        <v>11092</v>
      </c>
      <c r="BE573" t="s">
        <v>11093</v>
      </c>
      <c r="BF573" t="str">
        <f>HYPERLINK("http://dx.doi.org/10.1029/2023JB026908","http://dx.doi.org/10.1029/2023JB026908")</f>
        <v>http://dx.doi.org/10.1029/2023JB026908</v>
      </c>
      <c r="BG573" t="s">
        <v>74</v>
      </c>
      <c r="BH573" t="s">
        <v>74</v>
      </c>
      <c r="BI573">
        <v>25</v>
      </c>
      <c r="BJ573" t="s">
        <v>4252</v>
      </c>
      <c r="BK573" t="s">
        <v>100</v>
      </c>
      <c r="BL573" t="s">
        <v>4252</v>
      </c>
      <c r="BM573" t="s">
        <v>11094</v>
      </c>
      <c r="BN573" t="s">
        <v>74</v>
      </c>
      <c r="BO573" t="s">
        <v>74</v>
      </c>
      <c r="BP573" t="s">
        <v>74</v>
      </c>
      <c r="BQ573" t="s">
        <v>74</v>
      </c>
      <c r="BR573" t="s">
        <v>104</v>
      </c>
      <c r="BS573" t="s">
        <v>11095</v>
      </c>
      <c r="BT573" t="str">
        <f>HYPERLINK("https%3A%2F%2Fwww.webofscience.com%2Fwos%2Fwoscc%2Ffull-record%2FWOS:001096369300001","View Full Record in Web of Science")</f>
        <v>View Full Record in Web of Science</v>
      </c>
    </row>
    <row r="574" spans="1:72" x14ac:dyDescent="0.15">
      <c r="A574" t="s">
        <v>72</v>
      </c>
      <c r="B574" t="s">
        <v>11096</v>
      </c>
      <c r="C574" t="s">
        <v>74</v>
      </c>
      <c r="D574" t="s">
        <v>74</v>
      </c>
      <c r="E574" t="s">
        <v>74</v>
      </c>
      <c r="F574" t="s">
        <v>11097</v>
      </c>
      <c r="G574" t="s">
        <v>74</v>
      </c>
      <c r="H574" t="s">
        <v>74</v>
      </c>
      <c r="I574" t="s">
        <v>11098</v>
      </c>
      <c r="J574" t="s">
        <v>11099</v>
      </c>
      <c r="K574" t="s">
        <v>74</v>
      </c>
      <c r="L574" t="s">
        <v>74</v>
      </c>
      <c r="M574" t="s">
        <v>78</v>
      </c>
      <c r="N574" t="s">
        <v>79</v>
      </c>
      <c r="O574" t="s">
        <v>74</v>
      </c>
      <c r="P574" t="s">
        <v>74</v>
      </c>
      <c r="Q574" t="s">
        <v>74</v>
      </c>
      <c r="R574" t="s">
        <v>74</v>
      </c>
      <c r="S574" t="s">
        <v>74</v>
      </c>
      <c r="T574" t="s">
        <v>11100</v>
      </c>
      <c r="U574" t="s">
        <v>11101</v>
      </c>
      <c r="V574" t="s">
        <v>11102</v>
      </c>
      <c r="W574" t="s">
        <v>11103</v>
      </c>
      <c r="X574" t="s">
        <v>11104</v>
      </c>
      <c r="Y574" t="s">
        <v>11105</v>
      </c>
      <c r="Z574" t="s">
        <v>11106</v>
      </c>
      <c r="AA574" t="s">
        <v>11107</v>
      </c>
      <c r="AB574" t="s">
        <v>11108</v>
      </c>
      <c r="AC574" t="s">
        <v>11109</v>
      </c>
      <c r="AD574" t="s">
        <v>11110</v>
      </c>
      <c r="AE574" t="s">
        <v>11111</v>
      </c>
      <c r="AF574" t="s">
        <v>74</v>
      </c>
      <c r="AG574">
        <v>61</v>
      </c>
      <c r="AH574">
        <v>0</v>
      </c>
      <c r="AI574">
        <v>0</v>
      </c>
      <c r="AJ574">
        <v>0</v>
      </c>
      <c r="AK574">
        <v>0</v>
      </c>
      <c r="AL574" t="s">
        <v>1101</v>
      </c>
      <c r="AM574" t="s">
        <v>1102</v>
      </c>
      <c r="AN574" t="s">
        <v>1103</v>
      </c>
      <c r="AO574" t="s">
        <v>11112</v>
      </c>
      <c r="AP574" t="s">
        <v>11113</v>
      </c>
      <c r="AQ574" t="s">
        <v>74</v>
      </c>
      <c r="AR574" t="s">
        <v>11114</v>
      </c>
      <c r="AS574" t="s">
        <v>11115</v>
      </c>
      <c r="AT574" t="s">
        <v>954</v>
      </c>
      <c r="AU574">
        <v>2024</v>
      </c>
      <c r="AV574">
        <v>33</v>
      </c>
      <c r="AW574">
        <v>1</v>
      </c>
      <c r="AX574" t="s">
        <v>74</v>
      </c>
      <c r="AY574" t="s">
        <v>74</v>
      </c>
      <c r="AZ574" t="s">
        <v>74</v>
      </c>
      <c r="BA574" t="s">
        <v>74</v>
      </c>
      <c r="BB574" t="s">
        <v>74</v>
      </c>
      <c r="BC574" t="s">
        <v>74</v>
      </c>
      <c r="BD574" t="s">
        <v>74</v>
      </c>
      <c r="BE574" t="s">
        <v>11116</v>
      </c>
      <c r="BF574" t="str">
        <f>HYPERLINK("http://dx.doi.org/10.1111/mec.17189","http://dx.doi.org/10.1111/mec.17189")</f>
        <v>http://dx.doi.org/10.1111/mec.17189</v>
      </c>
      <c r="BG574" t="s">
        <v>74</v>
      </c>
      <c r="BH574" t="s">
        <v>6982</v>
      </c>
      <c r="BI574">
        <v>13</v>
      </c>
      <c r="BJ574" t="s">
        <v>11117</v>
      </c>
      <c r="BK574" t="s">
        <v>100</v>
      </c>
      <c r="BL574" t="s">
        <v>11118</v>
      </c>
      <c r="BM574" t="s">
        <v>11119</v>
      </c>
      <c r="BN574">
        <v>37909659</v>
      </c>
      <c r="BO574" t="s">
        <v>103</v>
      </c>
      <c r="BP574" t="s">
        <v>74</v>
      </c>
      <c r="BQ574" t="s">
        <v>74</v>
      </c>
      <c r="BR574" t="s">
        <v>104</v>
      </c>
      <c r="BS574" t="s">
        <v>11120</v>
      </c>
      <c r="BT574" t="str">
        <f>HYPERLINK("https%3A%2F%2Fwww.webofscience.com%2Fwos%2Fwoscc%2Ffull-record%2FWOS:001096230700001","View Full Record in Web of Science")</f>
        <v>View Full Record in Web of Science</v>
      </c>
    </row>
    <row r="575" spans="1:72" x14ac:dyDescent="0.15">
      <c r="A575" t="s">
        <v>72</v>
      </c>
      <c r="B575" t="s">
        <v>11121</v>
      </c>
      <c r="C575" t="s">
        <v>74</v>
      </c>
      <c r="D575" t="s">
        <v>74</v>
      </c>
      <c r="E575" t="s">
        <v>74</v>
      </c>
      <c r="F575" t="s">
        <v>11122</v>
      </c>
      <c r="G575" t="s">
        <v>74</v>
      </c>
      <c r="H575" t="s">
        <v>74</v>
      </c>
      <c r="I575" t="s">
        <v>11123</v>
      </c>
      <c r="J575" t="s">
        <v>11124</v>
      </c>
      <c r="K575" t="s">
        <v>74</v>
      </c>
      <c r="L575" t="s">
        <v>74</v>
      </c>
      <c r="M575" t="s">
        <v>78</v>
      </c>
      <c r="N575" t="s">
        <v>79</v>
      </c>
      <c r="O575" t="s">
        <v>74</v>
      </c>
      <c r="P575" t="s">
        <v>74</v>
      </c>
      <c r="Q575" t="s">
        <v>74</v>
      </c>
      <c r="R575" t="s">
        <v>74</v>
      </c>
      <c r="S575" t="s">
        <v>74</v>
      </c>
      <c r="T575" t="s">
        <v>11125</v>
      </c>
      <c r="U575" t="s">
        <v>11126</v>
      </c>
      <c r="V575" t="s">
        <v>11127</v>
      </c>
      <c r="W575" t="s">
        <v>11128</v>
      </c>
      <c r="X575" t="s">
        <v>11129</v>
      </c>
      <c r="Y575" t="s">
        <v>11130</v>
      </c>
      <c r="Z575" t="s">
        <v>11131</v>
      </c>
      <c r="AA575" t="s">
        <v>74</v>
      </c>
      <c r="AB575" t="s">
        <v>11132</v>
      </c>
      <c r="AC575" t="s">
        <v>11133</v>
      </c>
      <c r="AD575" t="s">
        <v>11134</v>
      </c>
      <c r="AE575" t="s">
        <v>11135</v>
      </c>
      <c r="AF575" t="s">
        <v>74</v>
      </c>
      <c r="AG575">
        <v>63</v>
      </c>
      <c r="AH575">
        <v>0</v>
      </c>
      <c r="AI575">
        <v>0</v>
      </c>
      <c r="AJ575">
        <v>3</v>
      </c>
      <c r="AK575">
        <v>3</v>
      </c>
      <c r="AL575" t="s">
        <v>5695</v>
      </c>
      <c r="AM575" t="s">
        <v>5696</v>
      </c>
      <c r="AN575" t="s">
        <v>5697</v>
      </c>
      <c r="AO575" t="s">
        <v>74</v>
      </c>
      <c r="AP575" t="s">
        <v>11136</v>
      </c>
      <c r="AQ575" t="s">
        <v>74</v>
      </c>
      <c r="AR575" t="s">
        <v>11124</v>
      </c>
      <c r="AS575" t="s">
        <v>11137</v>
      </c>
      <c r="AT575" t="s">
        <v>4525</v>
      </c>
      <c r="AU575">
        <v>2023</v>
      </c>
      <c r="AV575">
        <v>28</v>
      </c>
      <c r="AW575">
        <v>21</v>
      </c>
      <c r="AX575" t="s">
        <v>74</v>
      </c>
      <c r="AY575" t="s">
        <v>74</v>
      </c>
      <c r="AZ575" t="s">
        <v>74</v>
      </c>
      <c r="BA575" t="s">
        <v>74</v>
      </c>
      <c r="BB575" t="s">
        <v>74</v>
      </c>
      <c r="BC575" t="s">
        <v>74</v>
      </c>
      <c r="BD575">
        <v>7317</v>
      </c>
      <c r="BE575" t="s">
        <v>11138</v>
      </c>
      <c r="BF575" t="str">
        <f>HYPERLINK("http://dx.doi.org/10.3390/molecules28217317","http://dx.doi.org/10.3390/molecules28217317")</f>
        <v>http://dx.doi.org/10.3390/molecules28217317</v>
      </c>
      <c r="BG575" t="s">
        <v>74</v>
      </c>
      <c r="BH575" t="s">
        <v>74</v>
      </c>
      <c r="BI575">
        <v>17</v>
      </c>
      <c r="BJ575" t="s">
        <v>6163</v>
      </c>
      <c r="BK575" t="s">
        <v>100</v>
      </c>
      <c r="BL575" t="s">
        <v>6164</v>
      </c>
      <c r="BM575" t="s">
        <v>11139</v>
      </c>
      <c r="BN575">
        <v>37959736</v>
      </c>
      <c r="BO575" t="s">
        <v>265</v>
      </c>
      <c r="BP575" t="s">
        <v>74</v>
      </c>
      <c r="BQ575" t="s">
        <v>74</v>
      </c>
      <c r="BR575" t="s">
        <v>104</v>
      </c>
      <c r="BS575" t="s">
        <v>11140</v>
      </c>
      <c r="BT575" t="str">
        <f>HYPERLINK("https%3A%2F%2Fwww.webofscience.com%2Fwos%2Fwoscc%2Ffull-record%2FWOS:001103382400001","View Full Record in Web of Science")</f>
        <v>View Full Record in Web of Science</v>
      </c>
    </row>
    <row r="576" spans="1:72" x14ac:dyDescent="0.15">
      <c r="A576" t="s">
        <v>72</v>
      </c>
      <c r="B576" t="s">
        <v>11141</v>
      </c>
      <c r="C576" t="s">
        <v>74</v>
      </c>
      <c r="D576" t="s">
        <v>74</v>
      </c>
      <c r="E576" t="s">
        <v>74</v>
      </c>
      <c r="F576" t="s">
        <v>11142</v>
      </c>
      <c r="G576" t="s">
        <v>74</v>
      </c>
      <c r="H576" t="s">
        <v>74</v>
      </c>
      <c r="I576" t="s">
        <v>11143</v>
      </c>
      <c r="J576" t="s">
        <v>5749</v>
      </c>
      <c r="K576" t="s">
        <v>74</v>
      </c>
      <c r="L576" t="s">
        <v>74</v>
      </c>
      <c r="M576" t="s">
        <v>78</v>
      </c>
      <c r="N576" t="s">
        <v>79</v>
      </c>
      <c r="O576" t="s">
        <v>74</v>
      </c>
      <c r="P576" t="s">
        <v>74</v>
      </c>
      <c r="Q576" t="s">
        <v>74</v>
      </c>
      <c r="R576" t="s">
        <v>74</v>
      </c>
      <c r="S576" t="s">
        <v>74</v>
      </c>
      <c r="T576" t="s">
        <v>11144</v>
      </c>
      <c r="U576" t="s">
        <v>11145</v>
      </c>
      <c r="V576" t="s">
        <v>11146</v>
      </c>
      <c r="W576" t="s">
        <v>11147</v>
      </c>
      <c r="X576" t="s">
        <v>11148</v>
      </c>
      <c r="Y576" t="s">
        <v>11149</v>
      </c>
      <c r="Z576" t="s">
        <v>11150</v>
      </c>
      <c r="AA576" t="s">
        <v>11151</v>
      </c>
      <c r="AB576" t="s">
        <v>11152</v>
      </c>
      <c r="AC576" t="s">
        <v>11153</v>
      </c>
      <c r="AD576" t="s">
        <v>11154</v>
      </c>
      <c r="AE576" t="s">
        <v>11155</v>
      </c>
      <c r="AF576" t="s">
        <v>74</v>
      </c>
      <c r="AG576">
        <v>62</v>
      </c>
      <c r="AH576">
        <v>0</v>
      </c>
      <c r="AI576">
        <v>0</v>
      </c>
      <c r="AJ576">
        <v>5</v>
      </c>
      <c r="AK576">
        <v>5</v>
      </c>
      <c r="AL576" t="s">
        <v>1208</v>
      </c>
      <c r="AM576" t="s">
        <v>1209</v>
      </c>
      <c r="AN576" t="s">
        <v>1210</v>
      </c>
      <c r="AO576" t="s">
        <v>5762</v>
      </c>
      <c r="AP576" t="s">
        <v>5763</v>
      </c>
      <c r="AQ576" t="s">
        <v>74</v>
      </c>
      <c r="AR576" t="s">
        <v>5764</v>
      </c>
      <c r="AS576" t="s">
        <v>5765</v>
      </c>
      <c r="AT576" t="s">
        <v>4525</v>
      </c>
      <c r="AU576">
        <v>2023</v>
      </c>
      <c r="AV576">
        <v>128</v>
      </c>
      <c r="AW576">
        <v>11</v>
      </c>
      <c r="AX576" t="s">
        <v>74</v>
      </c>
      <c r="AY576" t="s">
        <v>74</v>
      </c>
      <c r="AZ576" t="s">
        <v>74</v>
      </c>
      <c r="BA576" t="s">
        <v>74</v>
      </c>
      <c r="BB576" t="s">
        <v>74</v>
      </c>
      <c r="BC576" t="s">
        <v>74</v>
      </c>
      <c r="BD576" t="s">
        <v>11156</v>
      </c>
      <c r="BE576" t="s">
        <v>11157</v>
      </c>
      <c r="BF576" t="str">
        <f>HYPERLINK("http://dx.doi.org/10.1029/2023JC019882","http://dx.doi.org/10.1029/2023JC019882")</f>
        <v>http://dx.doi.org/10.1029/2023JC019882</v>
      </c>
      <c r="BG576" t="s">
        <v>74</v>
      </c>
      <c r="BH576" t="s">
        <v>74</v>
      </c>
      <c r="BI576">
        <v>22</v>
      </c>
      <c r="BJ576" t="s">
        <v>5060</v>
      </c>
      <c r="BK576" t="s">
        <v>100</v>
      </c>
      <c r="BL576" t="s">
        <v>5060</v>
      </c>
      <c r="BM576" t="s">
        <v>11158</v>
      </c>
      <c r="BN576" t="s">
        <v>74</v>
      </c>
      <c r="BO576" t="s">
        <v>103</v>
      </c>
      <c r="BP576" t="s">
        <v>74</v>
      </c>
      <c r="BQ576" t="s">
        <v>74</v>
      </c>
      <c r="BR576" t="s">
        <v>104</v>
      </c>
      <c r="BS576" t="s">
        <v>11159</v>
      </c>
      <c r="BT576" t="str">
        <f>HYPERLINK("https%3A%2F%2Fwww.webofscience.com%2Fwos%2Fwoscc%2Ffull-record%2FWOS:001098892900001","View Full Record in Web of Science")</f>
        <v>View Full Record in Web of Science</v>
      </c>
    </row>
    <row r="577" spans="1:72" x14ac:dyDescent="0.15">
      <c r="A577" t="s">
        <v>72</v>
      </c>
      <c r="B577" t="s">
        <v>11160</v>
      </c>
      <c r="C577" t="s">
        <v>74</v>
      </c>
      <c r="D577" t="s">
        <v>74</v>
      </c>
      <c r="E577" t="s">
        <v>74</v>
      </c>
      <c r="F577" t="s">
        <v>11161</v>
      </c>
      <c r="G577" t="s">
        <v>74</v>
      </c>
      <c r="H577" t="s">
        <v>74</v>
      </c>
      <c r="I577" t="s">
        <v>11162</v>
      </c>
      <c r="J577" t="s">
        <v>5853</v>
      </c>
      <c r="K577" t="s">
        <v>74</v>
      </c>
      <c r="L577" t="s">
        <v>74</v>
      </c>
      <c r="M577" t="s">
        <v>78</v>
      </c>
      <c r="N577" t="s">
        <v>79</v>
      </c>
      <c r="O577" t="s">
        <v>74</v>
      </c>
      <c r="P577" t="s">
        <v>74</v>
      </c>
      <c r="Q577" t="s">
        <v>74</v>
      </c>
      <c r="R577" t="s">
        <v>74</v>
      </c>
      <c r="S577" t="s">
        <v>74</v>
      </c>
      <c r="T577" t="s">
        <v>11163</v>
      </c>
      <c r="U577" t="s">
        <v>11164</v>
      </c>
      <c r="V577" t="s">
        <v>11165</v>
      </c>
      <c r="W577" t="s">
        <v>11166</v>
      </c>
      <c r="X577" t="s">
        <v>11167</v>
      </c>
      <c r="Y577" t="s">
        <v>11168</v>
      </c>
      <c r="Z577" t="s">
        <v>11169</v>
      </c>
      <c r="AA577" t="s">
        <v>11170</v>
      </c>
      <c r="AB577" t="s">
        <v>11171</v>
      </c>
      <c r="AC577" t="s">
        <v>11172</v>
      </c>
      <c r="AD577" t="s">
        <v>11173</v>
      </c>
      <c r="AE577" t="s">
        <v>11174</v>
      </c>
      <c r="AF577" t="s">
        <v>74</v>
      </c>
      <c r="AG577">
        <v>68</v>
      </c>
      <c r="AH577">
        <v>0</v>
      </c>
      <c r="AI577">
        <v>0</v>
      </c>
      <c r="AJ577">
        <v>1</v>
      </c>
      <c r="AK577">
        <v>1</v>
      </c>
      <c r="AL577" t="s">
        <v>5117</v>
      </c>
      <c r="AM577" t="s">
        <v>5118</v>
      </c>
      <c r="AN577" t="s">
        <v>5119</v>
      </c>
      <c r="AO577" t="s">
        <v>5864</v>
      </c>
      <c r="AP577" t="s">
        <v>5865</v>
      </c>
      <c r="AQ577" t="s">
        <v>74</v>
      </c>
      <c r="AR577" t="s">
        <v>5866</v>
      </c>
      <c r="AS577" t="s">
        <v>5867</v>
      </c>
      <c r="AT577" t="s">
        <v>4525</v>
      </c>
      <c r="AU577">
        <v>2023</v>
      </c>
      <c r="AV577">
        <v>53</v>
      </c>
      <c r="AW577">
        <v>11</v>
      </c>
      <c r="AX577" t="s">
        <v>74</v>
      </c>
      <c r="AY577" t="s">
        <v>74</v>
      </c>
      <c r="AZ577" t="s">
        <v>74</v>
      </c>
      <c r="BA577" t="s">
        <v>74</v>
      </c>
      <c r="BB577">
        <v>2559</v>
      </c>
      <c r="BC577">
        <v>2574</v>
      </c>
      <c r="BD577" t="s">
        <v>74</v>
      </c>
      <c r="BE577" t="s">
        <v>11175</v>
      </c>
      <c r="BF577" t="str">
        <f>HYPERLINK("http://dx.doi.org/10.1175/JPO-D-22-0252.1","http://dx.doi.org/10.1175/JPO-D-22-0252.1")</f>
        <v>http://dx.doi.org/10.1175/JPO-D-22-0252.1</v>
      </c>
      <c r="BG577" t="s">
        <v>74</v>
      </c>
      <c r="BH577" t="s">
        <v>74</v>
      </c>
      <c r="BI577">
        <v>16</v>
      </c>
      <c r="BJ577" t="s">
        <v>5060</v>
      </c>
      <c r="BK577" t="s">
        <v>100</v>
      </c>
      <c r="BL577" t="s">
        <v>5060</v>
      </c>
      <c r="BM577" t="s">
        <v>11176</v>
      </c>
      <c r="BN577" t="s">
        <v>74</v>
      </c>
      <c r="BO577" t="s">
        <v>1794</v>
      </c>
      <c r="BP577" t="s">
        <v>74</v>
      </c>
      <c r="BQ577" t="s">
        <v>74</v>
      </c>
      <c r="BR577" t="s">
        <v>104</v>
      </c>
      <c r="BS577" t="s">
        <v>11177</v>
      </c>
      <c r="BT577" t="str">
        <f>HYPERLINK("https%3A%2F%2Fwww.webofscience.com%2Fwos%2Fwoscc%2Ffull-record%2FWOS:001096571400001","View Full Record in Web of Science")</f>
        <v>View Full Record in Web of Science</v>
      </c>
    </row>
    <row r="578" spans="1:72" x14ac:dyDescent="0.15">
      <c r="A578" t="s">
        <v>72</v>
      </c>
      <c r="B578" t="s">
        <v>11178</v>
      </c>
      <c r="C578" t="s">
        <v>74</v>
      </c>
      <c r="D578" t="s">
        <v>74</v>
      </c>
      <c r="E578" t="s">
        <v>74</v>
      </c>
      <c r="F578" t="s">
        <v>11179</v>
      </c>
      <c r="G578" t="s">
        <v>74</v>
      </c>
      <c r="H578" t="s">
        <v>74</v>
      </c>
      <c r="I578" t="s">
        <v>11180</v>
      </c>
      <c r="J578" t="s">
        <v>11181</v>
      </c>
      <c r="K578" t="s">
        <v>74</v>
      </c>
      <c r="L578" t="s">
        <v>74</v>
      </c>
      <c r="M578" t="s">
        <v>78</v>
      </c>
      <c r="N578" t="s">
        <v>441</v>
      </c>
      <c r="O578" t="s">
        <v>74</v>
      </c>
      <c r="P578" t="s">
        <v>74</v>
      </c>
      <c r="Q578" t="s">
        <v>74</v>
      </c>
      <c r="R578" t="s">
        <v>74</v>
      </c>
      <c r="S578" t="s">
        <v>74</v>
      </c>
      <c r="T578" t="s">
        <v>11182</v>
      </c>
      <c r="U578" t="s">
        <v>11183</v>
      </c>
      <c r="V578" t="s">
        <v>11184</v>
      </c>
      <c r="W578" t="s">
        <v>11185</v>
      </c>
      <c r="X578" t="s">
        <v>11186</v>
      </c>
      <c r="Y578" t="s">
        <v>11187</v>
      </c>
      <c r="Z578" t="s">
        <v>11188</v>
      </c>
      <c r="AA578" t="s">
        <v>74</v>
      </c>
      <c r="AB578" t="s">
        <v>11189</v>
      </c>
      <c r="AC578" t="s">
        <v>11190</v>
      </c>
      <c r="AD578" t="s">
        <v>11190</v>
      </c>
      <c r="AE578" t="s">
        <v>11191</v>
      </c>
      <c r="AF578" t="s">
        <v>74</v>
      </c>
      <c r="AG578">
        <v>178</v>
      </c>
      <c r="AH578">
        <v>0</v>
      </c>
      <c r="AI578">
        <v>0</v>
      </c>
      <c r="AJ578">
        <v>6</v>
      </c>
      <c r="AK578">
        <v>6</v>
      </c>
      <c r="AL578" t="s">
        <v>3719</v>
      </c>
      <c r="AM578" t="s">
        <v>1209</v>
      </c>
      <c r="AN578" t="s">
        <v>3720</v>
      </c>
      <c r="AO578" t="s">
        <v>11192</v>
      </c>
      <c r="AP578" t="s">
        <v>11193</v>
      </c>
      <c r="AQ578" t="s">
        <v>74</v>
      </c>
      <c r="AR578" t="s">
        <v>11194</v>
      </c>
      <c r="AS578" t="s">
        <v>11195</v>
      </c>
      <c r="AT578" t="s">
        <v>2358</v>
      </c>
      <c r="AU578">
        <v>2023</v>
      </c>
      <c r="AV578">
        <v>87</v>
      </c>
      <c r="AW578">
        <v>4</v>
      </c>
      <c r="AX578" t="s">
        <v>74</v>
      </c>
      <c r="AY578" t="s">
        <v>74</v>
      </c>
      <c r="AZ578" t="s">
        <v>74</v>
      </c>
      <c r="BA578" t="s">
        <v>74</v>
      </c>
      <c r="BB578" t="s">
        <v>74</v>
      </c>
      <c r="BC578" t="s">
        <v>74</v>
      </c>
      <c r="BD578" t="s">
        <v>74</v>
      </c>
      <c r="BE578" t="s">
        <v>11196</v>
      </c>
      <c r="BF578" t="str">
        <f>HYPERLINK("http://dx.doi.org/10.1128/mmbr.00048-23","http://dx.doi.org/10.1128/mmbr.00048-23")</f>
        <v>http://dx.doi.org/10.1128/mmbr.00048-23</v>
      </c>
      <c r="BG578" t="s">
        <v>74</v>
      </c>
      <c r="BH578" t="s">
        <v>6982</v>
      </c>
      <c r="BI578">
        <v>16</v>
      </c>
      <c r="BJ578" t="s">
        <v>1084</v>
      </c>
      <c r="BK578" t="s">
        <v>100</v>
      </c>
      <c r="BL578" t="s">
        <v>1084</v>
      </c>
      <c r="BM578" t="s">
        <v>11197</v>
      </c>
      <c r="BN578">
        <v>37914532</v>
      </c>
      <c r="BO578" t="s">
        <v>1717</v>
      </c>
      <c r="BP578" t="s">
        <v>74</v>
      </c>
      <c r="BQ578" t="s">
        <v>74</v>
      </c>
      <c r="BR578" t="s">
        <v>104</v>
      </c>
      <c r="BS578" t="s">
        <v>11198</v>
      </c>
      <c r="BT578" t="str">
        <f>HYPERLINK("https%3A%2F%2Fwww.webofscience.com%2Fwos%2Fwoscc%2Ffull-record%2FWOS:001095457600001","View Full Record in Web of Science")</f>
        <v>View Full Record in Web of Science</v>
      </c>
    </row>
    <row r="579" spans="1:72" x14ac:dyDescent="0.15">
      <c r="A579" t="s">
        <v>72</v>
      </c>
      <c r="B579" t="s">
        <v>11199</v>
      </c>
      <c r="C579" t="s">
        <v>74</v>
      </c>
      <c r="D579" t="s">
        <v>74</v>
      </c>
      <c r="E579" t="s">
        <v>74</v>
      </c>
      <c r="F579" t="s">
        <v>11200</v>
      </c>
      <c r="G579" t="s">
        <v>74</v>
      </c>
      <c r="H579" t="s">
        <v>74</v>
      </c>
      <c r="I579" t="s">
        <v>11201</v>
      </c>
      <c r="J579" t="s">
        <v>5749</v>
      </c>
      <c r="K579" t="s">
        <v>74</v>
      </c>
      <c r="L579" t="s">
        <v>74</v>
      </c>
      <c r="M579" t="s">
        <v>78</v>
      </c>
      <c r="N579" t="s">
        <v>79</v>
      </c>
      <c r="O579" t="s">
        <v>74</v>
      </c>
      <c r="P579" t="s">
        <v>74</v>
      </c>
      <c r="Q579" t="s">
        <v>74</v>
      </c>
      <c r="R579" t="s">
        <v>74</v>
      </c>
      <c r="S579" t="s">
        <v>74</v>
      </c>
      <c r="T579" t="s">
        <v>11202</v>
      </c>
      <c r="U579" t="s">
        <v>11203</v>
      </c>
      <c r="V579" t="s">
        <v>11204</v>
      </c>
      <c r="W579" t="s">
        <v>11205</v>
      </c>
      <c r="X579" t="s">
        <v>11206</v>
      </c>
      <c r="Y579" t="s">
        <v>11207</v>
      </c>
      <c r="Z579" t="s">
        <v>11208</v>
      </c>
      <c r="AA579" t="s">
        <v>11209</v>
      </c>
      <c r="AB579" t="s">
        <v>11210</v>
      </c>
      <c r="AC579" t="s">
        <v>11211</v>
      </c>
      <c r="AD579" t="s">
        <v>11212</v>
      </c>
      <c r="AE579" t="s">
        <v>11213</v>
      </c>
      <c r="AF579" t="s">
        <v>74</v>
      </c>
      <c r="AG579">
        <v>89</v>
      </c>
      <c r="AH579">
        <v>0</v>
      </c>
      <c r="AI579">
        <v>0</v>
      </c>
      <c r="AJ579">
        <v>5</v>
      </c>
      <c r="AK579">
        <v>5</v>
      </c>
      <c r="AL579" t="s">
        <v>1208</v>
      </c>
      <c r="AM579" t="s">
        <v>1209</v>
      </c>
      <c r="AN579" t="s">
        <v>1210</v>
      </c>
      <c r="AO579" t="s">
        <v>5762</v>
      </c>
      <c r="AP579" t="s">
        <v>5763</v>
      </c>
      <c r="AQ579" t="s">
        <v>74</v>
      </c>
      <c r="AR579" t="s">
        <v>5764</v>
      </c>
      <c r="AS579" t="s">
        <v>5765</v>
      </c>
      <c r="AT579" t="s">
        <v>4525</v>
      </c>
      <c r="AU579">
        <v>2023</v>
      </c>
      <c r="AV579">
        <v>128</v>
      </c>
      <c r="AW579">
        <v>11</v>
      </c>
      <c r="AX579" t="s">
        <v>74</v>
      </c>
      <c r="AY579" t="s">
        <v>74</v>
      </c>
      <c r="AZ579" t="s">
        <v>74</v>
      </c>
      <c r="BA579" t="s">
        <v>74</v>
      </c>
      <c r="BB579" t="s">
        <v>74</v>
      </c>
      <c r="BC579" t="s">
        <v>74</v>
      </c>
      <c r="BD579" t="s">
        <v>11214</v>
      </c>
      <c r="BE579" t="s">
        <v>11215</v>
      </c>
      <c r="BF579" t="str">
        <f>HYPERLINK("http://dx.doi.org/10.1029/2023JC019815","http://dx.doi.org/10.1029/2023JC019815")</f>
        <v>http://dx.doi.org/10.1029/2023JC019815</v>
      </c>
      <c r="BG579" t="s">
        <v>74</v>
      </c>
      <c r="BH579" t="s">
        <v>74</v>
      </c>
      <c r="BI579">
        <v>22</v>
      </c>
      <c r="BJ579" t="s">
        <v>5060</v>
      </c>
      <c r="BK579" t="s">
        <v>100</v>
      </c>
      <c r="BL579" t="s">
        <v>5060</v>
      </c>
      <c r="BM579" t="s">
        <v>11216</v>
      </c>
      <c r="BN579" t="s">
        <v>74</v>
      </c>
      <c r="BO579" t="s">
        <v>3040</v>
      </c>
      <c r="BP579" t="s">
        <v>74</v>
      </c>
      <c r="BQ579" t="s">
        <v>74</v>
      </c>
      <c r="BR579" t="s">
        <v>104</v>
      </c>
      <c r="BS579" t="s">
        <v>11217</v>
      </c>
      <c r="BT579" t="str">
        <f>HYPERLINK("https%3A%2F%2Fwww.webofscience.com%2Fwos%2Fwoscc%2Ffull-record%2FWOS:001094703800001","View Full Record in Web of Science")</f>
        <v>View Full Record in Web of Science</v>
      </c>
    </row>
    <row r="580" spans="1:72" x14ac:dyDescent="0.15">
      <c r="A580" t="s">
        <v>72</v>
      </c>
      <c r="B580" t="s">
        <v>11218</v>
      </c>
      <c r="C580" t="s">
        <v>74</v>
      </c>
      <c r="D580" t="s">
        <v>74</v>
      </c>
      <c r="E580" t="s">
        <v>74</v>
      </c>
      <c r="F580" t="s">
        <v>11219</v>
      </c>
      <c r="G580" t="s">
        <v>74</v>
      </c>
      <c r="H580" t="s">
        <v>74</v>
      </c>
      <c r="I580" t="s">
        <v>11220</v>
      </c>
      <c r="J580" t="s">
        <v>11221</v>
      </c>
      <c r="K580" t="s">
        <v>74</v>
      </c>
      <c r="L580" t="s">
        <v>74</v>
      </c>
      <c r="M580" t="s">
        <v>78</v>
      </c>
      <c r="N580" t="s">
        <v>79</v>
      </c>
      <c r="O580" t="s">
        <v>74</v>
      </c>
      <c r="P580" t="s">
        <v>74</v>
      </c>
      <c r="Q580" t="s">
        <v>74</v>
      </c>
      <c r="R580" t="s">
        <v>74</v>
      </c>
      <c r="S580" t="s">
        <v>74</v>
      </c>
      <c r="T580" t="s">
        <v>11222</v>
      </c>
      <c r="U580" t="s">
        <v>11223</v>
      </c>
      <c r="V580" t="s">
        <v>11224</v>
      </c>
      <c r="W580" t="s">
        <v>11225</v>
      </c>
      <c r="X580" t="s">
        <v>11226</v>
      </c>
      <c r="Y580" t="s">
        <v>11227</v>
      </c>
      <c r="Z580" t="s">
        <v>11228</v>
      </c>
      <c r="AA580" t="s">
        <v>74</v>
      </c>
      <c r="AB580" t="s">
        <v>11229</v>
      </c>
      <c r="AC580" t="s">
        <v>11230</v>
      </c>
      <c r="AD580" t="s">
        <v>11230</v>
      </c>
      <c r="AE580" t="s">
        <v>11230</v>
      </c>
      <c r="AF580" t="s">
        <v>74</v>
      </c>
      <c r="AG580">
        <v>77</v>
      </c>
      <c r="AH580">
        <v>0</v>
      </c>
      <c r="AI580">
        <v>0</v>
      </c>
      <c r="AJ580">
        <v>9</v>
      </c>
      <c r="AK580">
        <v>9</v>
      </c>
      <c r="AL580" t="s">
        <v>3812</v>
      </c>
      <c r="AM580" t="s">
        <v>3813</v>
      </c>
      <c r="AN580" t="s">
        <v>3814</v>
      </c>
      <c r="AO580" t="s">
        <v>11231</v>
      </c>
      <c r="AP580" t="s">
        <v>11232</v>
      </c>
      <c r="AQ580" t="s">
        <v>74</v>
      </c>
      <c r="AR580" t="s">
        <v>11221</v>
      </c>
      <c r="AS580" t="s">
        <v>11233</v>
      </c>
      <c r="AT580" t="s">
        <v>4525</v>
      </c>
      <c r="AU580">
        <v>2023</v>
      </c>
      <c r="AV580">
        <v>13</v>
      </c>
      <c r="AW580">
        <v>11</v>
      </c>
      <c r="AX580" t="s">
        <v>74</v>
      </c>
      <c r="AY580" t="s">
        <v>74</v>
      </c>
      <c r="AZ580" t="s">
        <v>74</v>
      </c>
      <c r="BA580" t="s">
        <v>74</v>
      </c>
      <c r="BB580" t="s">
        <v>74</v>
      </c>
      <c r="BC580" t="s">
        <v>74</v>
      </c>
      <c r="BD580">
        <v>374</v>
      </c>
      <c r="BE580" t="s">
        <v>11234</v>
      </c>
      <c r="BF580" t="str">
        <f>HYPERLINK("http://dx.doi.org/10.1007/s13205-023-03792-9","http://dx.doi.org/10.1007/s13205-023-03792-9")</f>
        <v>http://dx.doi.org/10.1007/s13205-023-03792-9</v>
      </c>
      <c r="BG580" t="s">
        <v>74</v>
      </c>
      <c r="BH580" t="s">
        <v>74</v>
      </c>
      <c r="BI580">
        <v>10</v>
      </c>
      <c r="BJ580" t="s">
        <v>5019</v>
      </c>
      <c r="BK580" t="s">
        <v>100</v>
      </c>
      <c r="BL580" t="s">
        <v>5019</v>
      </c>
      <c r="BM580" t="s">
        <v>11235</v>
      </c>
      <c r="BN580">
        <v>37860288</v>
      </c>
      <c r="BO580" t="s">
        <v>74</v>
      </c>
      <c r="BP580" t="s">
        <v>74</v>
      </c>
      <c r="BQ580" t="s">
        <v>74</v>
      </c>
      <c r="BR580" t="s">
        <v>104</v>
      </c>
      <c r="BS580" t="s">
        <v>11236</v>
      </c>
      <c r="BT580" t="str">
        <f>HYPERLINK("https%3A%2F%2Fwww.webofscience.com%2Fwos%2Fwoscc%2Ffull-record%2FWOS:001090918200001","View Full Record in Web of Science")</f>
        <v>View Full Record in Web of Science</v>
      </c>
    </row>
    <row r="581" spans="1:72" x14ac:dyDescent="0.15">
      <c r="A581" t="s">
        <v>72</v>
      </c>
      <c r="B581" t="s">
        <v>11237</v>
      </c>
      <c r="C581" t="s">
        <v>74</v>
      </c>
      <c r="D581" t="s">
        <v>74</v>
      </c>
      <c r="E581" t="s">
        <v>74</v>
      </c>
      <c r="F581" t="s">
        <v>11238</v>
      </c>
      <c r="G581" t="s">
        <v>74</v>
      </c>
      <c r="H581" t="s">
        <v>74</v>
      </c>
      <c r="I581" t="s">
        <v>11239</v>
      </c>
      <c r="J581" t="s">
        <v>6371</v>
      </c>
      <c r="K581" t="s">
        <v>74</v>
      </c>
      <c r="L581" t="s">
        <v>74</v>
      </c>
      <c r="M581" t="s">
        <v>78</v>
      </c>
      <c r="N581" t="s">
        <v>79</v>
      </c>
      <c r="O581" t="s">
        <v>74</v>
      </c>
      <c r="P581" t="s">
        <v>74</v>
      </c>
      <c r="Q581" t="s">
        <v>74</v>
      </c>
      <c r="R581" t="s">
        <v>74</v>
      </c>
      <c r="S581" t="s">
        <v>74</v>
      </c>
      <c r="T581" t="s">
        <v>11240</v>
      </c>
      <c r="U581" t="s">
        <v>11241</v>
      </c>
      <c r="V581" t="s">
        <v>11242</v>
      </c>
      <c r="W581" t="s">
        <v>11243</v>
      </c>
      <c r="X581" t="s">
        <v>11244</v>
      </c>
      <c r="Y581" t="s">
        <v>11245</v>
      </c>
      <c r="Z581" t="s">
        <v>11246</v>
      </c>
      <c r="AA581" t="s">
        <v>4181</v>
      </c>
      <c r="AB581" t="s">
        <v>11247</v>
      </c>
      <c r="AC581" t="s">
        <v>11248</v>
      </c>
      <c r="AD581" t="s">
        <v>11249</v>
      </c>
      <c r="AE581" t="s">
        <v>11250</v>
      </c>
      <c r="AF581" t="s">
        <v>74</v>
      </c>
      <c r="AG581">
        <v>60</v>
      </c>
      <c r="AH581">
        <v>0</v>
      </c>
      <c r="AI581">
        <v>0</v>
      </c>
      <c r="AJ581">
        <v>4</v>
      </c>
      <c r="AK581">
        <v>4</v>
      </c>
      <c r="AL581" t="s">
        <v>1101</v>
      </c>
      <c r="AM581" t="s">
        <v>1102</v>
      </c>
      <c r="AN581" t="s">
        <v>1103</v>
      </c>
      <c r="AO581" t="s">
        <v>6384</v>
      </c>
      <c r="AP581" t="s">
        <v>74</v>
      </c>
      <c r="AQ581" t="s">
        <v>74</v>
      </c>
      <c r="AR581" t="s">
        <v>6385</v>
      </c>
      <c r="AS581" t="s">
        <v>6386</v>
      </c>
      <c r="AT581" t="s">
        <v>4525</v>
      </c>
      <c r="AU581">
        <v>2023</v>
      </c>
      <c r="AV581">
        <v>13</v>
      </c>
      <c r="AW581">
        <v>11</v>
      </c>
      <c r="AX581" t="s">
        <v>74</v>
      </c>
      <c r="AY581" t="s">
        <v>74</v>
      </c>
      <c r="AZ581" t="s">
        <v>74</v>
      </c>
      <c r="BA581" t="s">
        <v>74</v>
      </c>
      <c r="BB581" t="s">
        <v>74</v>
      </c>
      <c r="BC581" t="s">
        <v>74</v>
      </c>
      <c r="BD581" t="s">
        <v>11251</v>
      </c>
      <c r="BE581" t="s">
        <v>11252</v>
      </c>
      <c r="BF581" t="str">
        <f>HYPERLINK("http://dx.doi.org/10.1002/ece3.10601","http://dx.doi.org/10.1002/ece3.10601")</f>
        <v>http://dx.doi.org/10.1002/ece3.10601</v>
      </c>
      <c r="BG581" t="s">
        <v>74</v>
      </c>
      <c r="BH581" t="s">
        <v>74</v>
      </c>
      <c r="BI581">
        <v>15</v>
      </c>
      <c r="BJ581" t="s">
        <v>6389</v>
      </c>
      <c r="BK581" t="s">
        <v>100</v>
      </c>
      <c r="BL581" t="s">
        <v>6390</v>
      </c>
      <c r="BM581" t="s">
        <v>11253</v>
      </c>
      <c r="BN581">
        <v>37928196</v>
      </c>
      <c r="BO581" t="s">
        <v>265</v>
      </c>
      <c r="BP581" t="s">
        <v>74</v>
      </c>
      <c r="BQ581" t="s">
        <v>74</v>
      </c>
      <c r="BR581" t="s">
        <v>104</v>
      </c>
      <c r="BS581" t="s">
        <v>11254</v>
      </c>
      <c r="BT581" t="str">
        <f>HYPERLINK("https%3A%2F%2Fwww.webofscience.com%2Fwos%2Fwoscc%2Ffull-record%2FWOS:001096069600001","View Full Record in Web of Science")</f>
        <v>View Full Record in Web of Science</v>
      </c>
    </row>
    <row r="582" spans="1:72" x14ac:dyDescent="0.15">
      <c r="A582" t="s">
        <v>72</v>
      </c>
      <c r="B582" t="s">
        <v>11255</v>
      </c>
      <c r="C582" t="s">
        <v>74</v>
      </c>
      <c r="D582" t="s">
        <v>74</v>
      </c>
      <c r="E582" t="s">
        <v>74</v>
      </c>
      <c r="F582" t="s">
        <v>11256</v>
      </c>
      <c r="G582" t="s">
        <v>74</v>
      </c>
      <c r="H582" t="s">
        <v>74</v>
      </c>
      <c r="I582" t="s">
        <v>11257</v>
      </c>
      <c r="J582" t="s">
        <v>6538</v>
      </c>
      <c r="K582" t="s">
        <v>74</v>
      </c>
      <c r="L582" t="s">
        <v>74</v>
      </c>
      <c r="M582" t="s">
        <v>78</v>
      </c>
      <c r="N582" t="s">
        <v>79</v>
      </c>
      <c r="O582" t="s">
        <v>74</v>
      </c>
      <c r="P582" t="s">
        <v>74</v>
      </c>
      <c r="Q582" t="s">
        <v>74</v>
      </c>
      <c r="R582" t="s">
        <v>74</v>
      </c>
      <c r="S582" t="s">
        <v>74</v>
      </c>
      <c r="T582" t="s">
        <v>11258</v>
      </c>
      <c r="U582" t="s">
        <v>11259</v>
      </c>
      <c r="V582" t="s">
        <v>11260</v>
      </c>
      <c r="W582" t="s">
        <v>11261</v>
      </c>
      <c r="X582" t="s">
        <v>11262</v>
      </c>
      <c r="Y582" t="s">
        <v>11263</v>
      </c>
      <c r="Z582" t="s">
        <v>11264</v>
      </c>
      <c r="AA582" t="s">
        <v>74</v>
      </c>
      <c r="AB582" t="s">
        <v>11265</v>
      </c>
      <c r="AC582" t="s">
        <v>11266</v>
      </c>
      <c r="AD582" t="s">
        <v>11267</v>
      </c>
      <c r="AE582" t="s">
        <v>11268</v>
      </c>
      <c r="AF582" t="s">
        <v>74</v>
      </c>
      <c r="AG582">
        <v>138</v>
      </c>
      <c r="AH582">
        <v>1</v>
      </c>
      <c r="AI582">
        <v>1</v>
      </c>
      <c r="AJ582">
        <v>7</v>
      </c>
      <c r="AK582">
        <v>7</v>
      </c>
      <c r="AL582" t="s">
        <v>1208</v>
      </c>
      <c r="AM582" t="s">
        <v>1209</v>
      </c>
      <c r="AN582" t="s">
        <v>1210</v>
      </c>
      <c r="AO582" t="s">
        <v>6551</v>
      </c>
      <c r="AP582" t="s">
        <v>6552</v>
      </c>
      <c r="AQ582" t="s">
        <v>74</v>
      </c>
      <c r="AR582" t="s">
        <v>6553</v>
      </c>
      <c r="AS582" t="s">
        <v>6554</v>
      </c>
      <c r="AT582" t="s">
        <v>4525</v>
      </c>
      <c r="AU582">
        <v>2023</v>
      </c>
      <c r="AV582">
        <v>37</v>
      </c>
      <c r="AW582">
        <v>11</v>
      </c>
      <c r="AX582" t="s">
        <v>74</v>
      </c>
      <c r="AY582" t="s">
        <v>74</v>
      </c>
      <c r="AZ582" t="s">
        <v>74</v>
      </c>
      <c r="BA582" t="s">
        <v>74</v>
      </c>
      <c r="BB582" t="s">
        <v>74</v>
      </c>
      <c r="BC582" t="s">
        <v>74</v>
      </c>
      <c r="BD582" t="s">
        <v>11269</v>
      </c>
      <c r="BE582" t="s">
        <v>11270</v>
      </c>
      <c r="BF582" t="str">
        <f>HYPERLINK("http://dx.doi.org/10.1029/2022GB007624","http://dx.doi.org/10.1029/2022GB007624")</f>
        <v>http://dx.doi.org/10.1029/2022GB007624</v>
      </c>
      <c r="BG582" t="s">
        <v>74</v>
      </c>
      <c r="BH582" t="s">
        <v>74</v>
      </c>
      <c r="BI582">
        <v>28</v>
      </c>
      <c r="BJ582" t="s">
        <v>2535</v>
      </c>
      <c r="BK582" t="s">
        <v>100</v>
      </c>
      <c r="BL582" t="s">
        <v>2536</v>
      </c>
      <c r="BM582" t="s">
        <v>11271</v>
      </c>
      <c r="BN582" t="s">
        <v>74</v>
      </c>
      <c r="BO582" t="s">
        <v>103</v>
      </c>
      <c r="BP582" t="s">
        <v>74</v>
      </c>
      <c r="BQ582" t="s">
        <v>74</v>
      </c>
      <c r="BR582" t="s">
        <v>104</v>
      </c>
      <c r="BS582" t="s">
        <v>11272</v>
      </c>
      <c r="BT582" t="str">
        <f>HYPERLINK("https%3A%2F%2Fwww.webofscience.com%2Fwos%2Fwoscc%2Ffull-record%2FWOS:001092063600001","View Full Record in Web of Science")</f>
        <v>View Full Record in Web of Science</v>
      </c>
    </row>
    <row r="583" spans="1:72" x14ac:dyDescent="0.15">
      <c r="A583" t="s">
        <v>72</v>
      </c>
      <c r="B583" t="s">
        <v>11273</v>
      </c>
      <c r="C583" t="s">
        <v>74</v>
      </c>
      <c r="D583" t="s">
        <v>74</v>
      </c>
      <c r="E583" t="s">
        <v>74</v>
      </c>
      <c r="F583" t="s">
        <v>11274</v>
      </c>
      <c r="G583" t="s">
        <v>74</v>
      </c>
      <c r="H583" t="s">
        <v>74</v>
      </c>
      <c r="I583" t="s">
        <v>11275</v>
      </c>
      <c r="J583" t="s">
        <v>11276</v>
      </c>
      <c r="K583" t="s">
        <v>74</v>
      </c>
      <c r="L583" t="s">
        <v>74</v>
      </c>
      <c r="M583" t="s">
        <v>78</v>
      </c>
      <c r="N583" t="s">
        <v>79</v>
      </c>
      <c r="O583" t="s">
        <v>74</v>
      </c>
      <c r="P583" t="s">
        <v>74</v>
      </c>
      <c r="Q583" t="s">
        <v>74</v>
      </c>
      <c r="R583" t="s">
        <v>74</v>
      </c>
      <c r="S583" t="s">
        <v>74</v>
      </c>
      <c r="T583" t="s">
        <v>11277</v>
      </c>
      <c r="U583" t="s">
        <v>11278</v>
      </c>
      <c r="V583" t="s">
        <v>11279</v>
      </c>
      <c r="W583" t="s">
        <v>11280</v>
      </c>
      <c r="X583" t="s">
        <v>11281</v>
      </c>
      <c r="Y583" t="s">
        <v>11282</v>
      </c>
      <c r="Z583" t="s">
        <v>11283</v>
      </c>
      <c r="AA583" t="s">
        <v>11284</v>
      </c>
      <c r="AB583" t="s">
        <v>11285</v>
      </c>
      <c r="AC583" t="s">
        <v>11286</v>
      </c>
      <c r="AD583" t="s">
        <v>11287</v>
      </c>
      <c r="AE583" t="s">
        <v>11288</v>
      </c>
      <c r="AF583" t="s">
        <v>74</v>
      </c>
      <c r="AG583">
        <v>146</v>
      </c>
      <c r="AH583">
        <v>1</v>
      </c>
      <c r="AI583">
        <v>1</v>
      </c>
      <c r="AJ583">
        <v>2</v>
      </c>
      <c r="AK583">
        <v>2</v>
      </c>
      <c r="AL583" t="s">
        <v>1075</v>
      </c>
      <c r="AM583" t="s">
        <v>1076</v>
      </c>
      <c r="AN583" t="s">
        <v>1077</v>
      </c>
      <c r="AO583" t="s">
        <v>11289</v>
      </c>
      <c r="AP583" t="s">
        <v>11290</v>
      </c>
      <c r="AQ583" t="s">
        <v>74</v>
      </c>
      <c r="AR583" t="s">
        <v>11291</v>
      </c>
      <c r="AS583" t="s">
        <v>11292</v>
      </c>
      <c r="AT583" t="s">
        <v>4525</v>
      </c>
      <c r="AU583">
        <v>2023</v>
      </c>
      <c r="AV583">
        <v>178</v>
      </c>
      <c r="AW583">
        <v>11</v>
      </c>
      <c r="AX583" t="s">
        <v>74</v>
      </c>
      <c r="AY583" t="s">
        <v>74</v>
      </c>
      <c r="AZ583" t="s">
        <v>74</v>
      </c>
      <c r="BA583" t="s">
        <v>74</v>
      </c>
      <c r="BB583" t="s">
        <v>74</v>
      </c>
      <c r="BC583" t="s">
        <v>74</v>
      </c>
      <c r="BD583">
        <v>80</v>
      </c>
      <c r="BE583" t="s">
        <v>11293</v>
      </c>
      <c r="BF583" t="str">
        <f>HYPERLINK("http://dx.doi.org/10.1007/s00410-023-02065-1","http://dx.doi.org/10.1007/s00410-023-02065-1")</f>
        <v>http://dx.doi.org/10.1007/s00410-023-02065-1</v>
      </c>
      <c r="BG583" t="s">
        <v>74</v>
      </c>
      <c r="BH583" t="s">
        <v>74</v>
      </c>
      <c r="BI583">
        <v>30</v>
      </c>
      <c r="BJ583" t="s">
        <v>11294</v>
      </c>
      <c r="BK583" t="s">
        <v>100</v>
      </c>
      <c r="BL583" t="s">
        <v>11294</v>
      </c>
      <c r="BM583" t="s">
        <v>11295</v>
      </c>
      <c r="BN583">
        <v>38616806</v>
      </c>
      <c r="BO583" t="s">
        <v>103</v>
      </c>
      <c r="BP583" t="s">
        <v>74</v>
      </c>
      <c r="BQ583" t="s">
        <v>74</v>
      </c>
      <c r="BR583" t="s">
        <v>104</v>
      </c>
      <c r="BS583" t="s">
        <v>11296</v>
      </c>
      <c r="BT583" t="str">
        <f>HYPERLINK("https%3A%2F%2Fwww.webofscience.com%2Fwos%2Fwoscc%2Ffull-record%2FWOS:001088885900002","View Full Record in Web of Science")</f>
        <v>View Full Record in Web of Science</v>
      </c>
    </row>
    <row r="584" spans="1:72" x14ac:dyDescent="0.15">
      <c r="A584" t="s">
        <v>72</v>
      </c>
      <c r="B584" t="s">
        <v>11297</v>
      </c>
      <c r="C584" t="s">
        <v>74</v>
      </c>
      <c r="D584" t="s">
        <v>74</v>
      </c>
      <c r="E584" t="s">
        <v>74</v>
      </c>
      <c r="F584" t="s">
        <v>11298</v>
      </c>
      <c r="G584" t="s">
        <v>74</v>
      </c>
      <c r="H584" t="s">
        <v>74</v>
      </c>
      <c r="I584" t="s">
        <v>11299</v>
      </c>
      <c r="J584" t="s">
        <v>5749</v>
      </c>
      <c r="K584" t="s">
        <v>74</v>
      </c>
      <c r="L584" t="s">
        <v>74</v>
      </c>
      <c r="M584" t="s">
        <v>78</v>
      </c>
      <c r="N584" t="s">
        <v>79</v>
      </c>
      <c r="O584" t="s">
        <v>74</v>
      </c>
      <c r="P584" t="s">
        <v>74</v>
      </c>
      <c r="Q584" t="s">
        <v>74</v>
      </c>
      <c r="R584" t="s">
        <v>74</v>
      </c>
      <c r="S584" t="s">
        <v>74</v>
      </c>
      <c r="T584" t="s">
        <v>11300</v>
      </c>
      <c r="U584" t="s">
        <v>11301</v>
      </c>
      <c r="V584" t="s">
        <v>11302</v>
      </c>
      <c r="W584" t="s">
        <v>11303</v>
      </c>
      <c r="X584" t="s">
        <v>11304</v>
      </c>
      <c r="Y584" t="s">
        <v>11305</v>
      </c>
      <c r="Z584" t="s">
        <v>11306</v>
      </c>
      <c r="AA584" t="s">
        <v>11307</v>
      </c>
      <c r="AB584" t="s">
        <v>11308</v>
      </c>
      <c r="AC584" t="s">
        <v>11309</v>
      </c>
      <c r="AD584" t="s">
        <v>11310</v>
      </c>
      <c r="AE584" t="s">
        <v>11311</v>
      </c>
      <c r="AF584" t="s">
        <v>74</v>
      </c>
      <c r="AG584">
        <v>44</v>
      </c>
      <c r="AH584">
        <v>0</v>
      </c>
      <c r="AI584">
        <v>0</v>
      </c>
      <c r="AJ584">
        <v>13</v>
      </c>
      <c r="AK584">
        <v>13</v>
      </c>
      <c r="AL584" t="s">
        <v>1208</v>
      </c>
      <c r="AM584" t="s">
        <v>1209</v>
      </c>
      <c r="AN584" t="s">
        <v>1210</v>
      </c>
      <c r="AO584" t="s">
        <v>5762</v>
      </c>
      <c r="AP584" t="s">
        <v>5763</v>
      </c>
      <c r="AQ584" t="s">
        <v>74</v>
      </c>
      <c r="AR584" t="s">
        <v>5764</v>
      </c>
      <c r="AS584" t="s">
        <v>5765</v>
      </c>
      <c r="AT584" t="s">
        <v>4525</v>
      </c>
      <c r="AU584">
        <v>2023</v>
      </c>
      <c r="AV584">
        <v>128</v>
      </c>
      <c r="AW584">
        <v>11</v>
      </c>
      <c r="AX584" t="s">
        <v>74</v>
      </c>
      <c r="AY584" t="s">
        <v>74</v>
      </c>
      <c r="AZ584" t="s">
        <v>74</v>
      </c>
      <c r="BA584" t="s">
        <v>74</v>
      </c>
      <c r="BB584" t="s">
        <v>74</v>
      </c>
      <c r="BC584" t="s">
        <v>74</v>
      </c>
      <c r="BD584" t="s">
        <v>11312</v>
      </c>
      <c r="BE584" t="s">
        <v>11313</v>
      </c>
      <c r="BF584" t="str">
        <f>HYPERLINK("http://dx.doi.org/10.1029/2023JC020327","http://dx.doi.org/10.1029/2023JC020327")</f>
        <v>http://dx.doi.org/10.1029/2023JC020327</v>
      </c>
      <c r="BG584" t="s">
        <v>74</v>
      </c>
      <c r="BH584" t="s">
        <v>74</v>
      </c>
      <c r="BI584">
        <v>18</v>
      </c>
      <c r="BJ584" t="s">
        <v>5060</v>
      </c>
      <c r="BK584" t="s">
        <v>100</v>
      </c>
      <c r="BL584" t="s">
        <v>5060</v>
      </c>
      <c r="BM584" t="s">
        <v>11314</v>
      </c>
      <c r="BN584" t="s">
        <v>74</v>
      </c>
      <c r="BO584" t="s">
        <v>74</v>
      </c>
      <c r="BP584" t="s">
        <v>74</v>
      </c>
      <c r="BQ584" t="s">
        <v>74</v>
      </c>
      <c r="BR584" t="s">
        <v>104</v>
      </c>
      <c r="BS584" t="s">
        <v>11315</v>
      </c>
      <c r="BT584" t="str">
        <f>HYPERLINK("https%3A%2F%2Fwww.webofscience.com%2Fwos%2Fwoscc%2Ffull-record%2FWOS:001091683700001","View Full Record in Web of Science")</f>
        <v>View Full Record in Web of Science</v>
      </c>
    </row>
    <row r="585" spans="1:72" x14ac:dyDescent="0.15">
      <c r="A585" t="s">
        <v>72</v>
      </c>
      <c r="B585" t="s">
        <v>11316</v>
      </c>
      <c r="C585" t="s">
        <v>74</v>
      </c>
      <c r="D585" t="s">
        <v>74</v>
      </c>
      <c r="E585" t="s">
        <v>74</v>
      </c>
      <c r="F585" t="s">
        <v>11317</v>
      </c>
      <c r="G585" t="s">
        <v>74</v>
      </c>
      <c r="H585" t="s">
        <v>74</v>
      </c>
      <c r="I585" t="s">
        <v>11318</v>
      </c>
      <c r="J585" t="s">
        <v>11319</v>
      </c>
      <c r="K585" t="s">
        <v>74</v>
      </c>
      <c r="L585" t="s">
        <v>74</v>
      </c>
      <c r="M585" t="s">
        <v>78</v>
      </c>
      <c r="N585" t="s">
        <v>79</v>
      </c>
      <c r="O585" t="s">
        <v>74</v>
      </c>
      <c r="P585" t="s">
        <v>74</v>
      </c>
      <c r="Q585" t="s">
        <v>74</v>
      </c>
      <c r="R585" t="s">
        <v>74</v>
      </c>
      <c r="S585" t="s">
        <v>74</v>
      </c>
      <c r="T585" t="s">
        <v>11320</v>
      </c>
      <c r="U585" t="s">
        <v>11321</v>
      </c>
      <c r="V585" t="s">
        <v>11322</v>
      </c>
      <c r="W585" t="s">
        <v>11323</v>
      </c>
      <c r="X585" t="s">
        <v>11324</v>
      </c>
      <c r="Y585" t="s">
        <v>11325</v>
      </c>
      <c r="Z585" t="s">
        <v>11326</v>
      </c>
      <c r="AA585" t="s">
        <v>74</v>
      </c>
      <c r="AB585" t="s">
        <v>11327</v>
      </c>
      <c r="AC585" t="s">
        <v>11328</v>
      </c>
      <c r="AD585" t="s">
        <v>511</v>
      </c>
      <c r="AE585" t="s">
        <v>11329</v>
      </c>
      <c r="AF585" t="s">
        <v>74</v>
      </c>
      <c r="AG585">
        <v>32</v>
      </c>
      <c r="AH585">
        <v>0</v>
      </c>
      <c r="AI585">
        <v>0</v>
      </c>
      <c r="AJ585">
        <v>0</v>
      </c>
      <c r="AK585">
        <v>0</v>
      </c>
      <c r="AL585" t="s">
        <v>11330</v>
      </c>
      <c r="AM585" t="s">
        <v>6886</v>
      </c>
      <c r="AN585" t="s">
        <v>11331</v>
      </c>
      <c r="AO585" t="s">
        <v>11332</v>
      </c>
      <c r="AP585" t="s">
        <v>11333</v>
      </c>
      <c r="AQ585" t="s">
        <v>74</v>
      </c>
      <c r="AR585" t="s">
        <v>11334</v>
      </c>
      <c r="AS585" t="s">
        <v>11335</v>
      </c>
      <c r="AT585" t="s">
        <v>4525</v>
      </c>
      <c r="AU585">
        <v>2023</v>
      </c>
      <c r="AV585">
        <v>16</v>
      </c>
      <c r="AW585">
        <v>6</v>
      </c>
      <c r="AX585" t="s">
        <v>74</v>
      </c>
      <c r="AY585" t="s">
        <v>74</v>
      </c>
      <c r="AZ585" t="s">
        <v>74</v>
      </c>
      <c r="BA585" t="s">
        <v>74</v>
      </c>
      <c r="BB585" t="s">
        <v>74</v>
      </c>
      <c r="BC585" t="s">
        <v>74</v>
      </c>
      <c r="BD585">
        <v>100333</v>
      </c>
      <c r="BE585" t="s">
        <v>11336</v>
      </c>
      <c r="BF585" t="str">
        <f>HYPERLINK("http://dx.doi.org/10.1016/j.aosl.2023.100333","http://dx.doi.org/10.1016/j.aosl.2023.100333")</f>
        <v>http://dx.doi.org/10.1016/j.aosl.2023.100333</v>
      </c>
      <c r="BG585" t="s">
        <v>74</v>
      </c>
      <c r="BH585" t="s">
        <v>74</v>
      </c>
      <c r="BI585">
        <v>7</v>
      </c>
      <c r="BJ585" t="s">
        <v>1522</v>
      </c>
      <c r="BK585" t="s">
        <v>912</v>
      </c>
      <c r="BL585" t="s">
        <v>1522</v>
      </c>
      <c r="BM585" t="s">
        <v>11337</v>
      </c>
      <c r="BN585" t="s">
        <v>74</v>
      </c>
      <c r="BO585" t="s">
        <v>131</v>
      </c>
      <c r="BP585" t="s">
        <v>74</v>
      </c>
      <c r="BQ585" t="s">
        <v>74</v>
      </c>
      <c r="BR585" t="s">
        <v>104</v>
      </c>
      <c r="BS585" t="s">
        <v>11338</v>
      </c>
      <c r="BT585" t="str">
        <f>HYPERLINK("https%3A%2F%2Fwww.webofscience.com%2Fwos%2Fwoscc%2Ffull-record%2FWOS:001089640500001","View Full Record in Web of Science")</f>
        <v>View Full Record in Web of Science</v>
      </c>
    </row>
    <row r="586" spans="1:72" x14ac:dyDescent="0.15">
      <c r="A586" t="s">
        <v>72</v>
      </c>
      <c r="B586" t="s">
        <v>11339</v>
      </c>
      <c r="C586" t="s">
        <v>74</v>
      </c>
      <c r="D586" t="s">
        <v>74</v>
      </c>
      <c r="E586" t="s">
        <v>74</v>
      </c>
      <c r="F586" t="s">
        <v>11340</v>
      </c>
      <c r="G586" t="s">
        <v>74</v>
      </c>
      <c r="H586" t="s">
        <v>74</v>
      </c>
      <c r="I586" t="s">
        <v>11341</v>
      </c>
      <c r="J586" t="s">
        <v>11342</v>
      </c>
      <c r="K586" t="s">
        <v>74</v>
      </c>
      <c r="L586" t="s">
        <v>74</v>
      </c>
      <c r="M586" t="s">
        <v>78</v>
      </c>
      <c r="N586" t="s">
        <v>79</v>
      </c>
      <c r="O586" t="s">
        <v>74</v>
      </c>
      <c r="P586" t="s">
        <v>74</v>
      </c>
      <c r="Q586" t="s">
        <v>74</v>
      </c>
      <c r="R586" t="s">
        <v>74</v>
      </c>
      <c r="S586" t="s">
        <v>74</v>
      </c>
      <c r="T586" t="s">
        <v>11343</v>
      </c>
      <c r="U586" t="s">
        <v>11344</v>
      </c>
      <c r="V586" t="s">
        <v>11345</v>
      </c>
      <c r="W586" t="s">
        <v>11346</v>
      </c>
      <c r="X586" t="s">
        <v>11347</v>
      </c>
      <c r="Y586" t="s">
        <v>11348</v>
      </c>
      <c r="Z586" t="s">
        <v>11349</v>
      </c>
      <c r="AA586" t="s">
        <v>11350</v>
      </c>
      <c r="AB586" t="s">
        <v>11351</v>
      </c>
      <c r="AC586" t="s">
        <v>11352</v>
      </c>
      <c r="AD586" t="s">
        <v>11352</v>
      </c>
      <c r="AE586" t="s">
        <v>11352</v>
      </c>
      <c r="AF586" t="s">
        <v>74</v>
      </c>
      <c r="AG586">
        <v>84</v>
      </c>
      <c r="AH586">
        <v>3</v>
      </c>
      <c r="AI586">
        <v>3</v>
      </c>
      <c r="AJ586">
        <v>11</v>
      </c>
      <c r="AK586">
        <v>11</v>
      </c>
      <c r="AL586" t="s">
        <v>1075</v>
      </c>
      <c r="AM586" t="s">
        <v>1076</v>
      </c>
      <c r="AN586" t="s">
        <v>1077</v>
      </c>
      <c r="AO586" t="s">
        <v>11353</v>
      </c>
      <c r="AP586" t="s">
        <v>11354</v>
      </c>
      <c r="AQ586" t="s">
        <v>74</v>
      </c>
      <c r="AR586" t="s">
        <v>11355</v>
      </c>
      <c r="AS586" t="s">
        <v>11356</v>
      </c>
      <c r="AT586" t="s">
        <v>4525</v>
      </c>
      <c r="AU586">
        <v>2023</v>
      </c>
      <c r="AV586">
        <v>205</v>
      </c>
      <c r="AW586">
        <v>11</v>
      </c>
      <c r="AX586" t="s">
        <v>74</v>
      </c>
      <c r="AY586" t="s">
        <v>74</v>
      </c>
      <c r="AZ586" t="s">
        <v>74</v>
      </c>
      <c r="BA586" t="s">
        <v>74</v>
      </c>
      <c r="BB586" t="s">
        <v>74</v>
      </c>
      <c r="BC586" t="s">
        <v>74</v>
      </c>
      <c r="BD586">
        <v>354</v>
      </c>
      <c r="BE586" t="s">
        <v>11357</v>
      </c>
      <c r="BF586" t="str">
        <f>HYPERLINK("http://dx.doi.org/10.1007/s00203-023-03691-w","http://dx.doi.org/10.1007/s00203-023-03691-w")</f>
        <v>http://dx.doi.org/10.1007/s00203-023-03691-w</v>
      </c>
      <c r="BG586" t="s">
        <v>74</v>
      </c>
      <c r="BH586" t="s">
        <v>74</v>
      </c>
      <c r="BI586">
        <v>16</v>
      </c>
      <c r="BJ586" t="s">
        <v>1084</v>
      </c>
      <c r="BK586" t="s">
        <v>100</v>
      </c>
      <c r="BL586" t="s">
        <v>1084</v>
      </c>
      <c r="BM586" t="s">
        <v>11358</v>
      </c>
      <c r="BN586">
        <v>37828121</v>
      </c>
      <c r="BO586" t="s">
        <v>74</v>
      </c>
      <c r="BP586" t="s">
        <v>74</v>
      </c>
      <c r="BQ586" t="s">
        <v>74</v>
      </c>
      <c r="BR586" t="s">
        <v>104</v>
      </c>
      <c r="BS586" t="s">
        <v>11359</v>
      </c>
      <c r="BT586" t="str">
        <f>HYPERLINK("https%3A%2F%2Fwww.webofscience.com%2Fwos%2Fwoscc%2Ffull-record%2FWOS:001089079400001","View Full Record in Web of Science")</f>
        <v>View Full Record in Web of Science</v>
      </c>
    </row>
    <row r="587" spans="1:72" x14ac:dyDescent="0.15">
      <c r="A587" t="s">
        <v>72</v>
      </c>
      <c r="B587" t="s">
        <v>11360</v>
      </c>
      <c r="C587" t="s">
        <v>74</v>
      </c>
      <c r="D587" t="s">
        <v>74</v>
      </c>
      <c r="E587" t="s">
        <v>74</v>
      </c>
      <c r="F587" t="s">
        <v>11361</v>
      </c>
      <c r="G587" t="s">
        <v>74</v>
      </c>
      <c r="H587" t="s">
        <v>74</v>
      </c>
      <c r="I587" t="s">
        <v>11362</v>
      </c>
      <c r="J587" t="s">
        <v>11319</v>
      </c>
      <c r="K587" t="s">
        <v>74</v>
      </c>
      <c r="L587" t="s">
        <v>74</v>
      </c>
      <c r="M587" t="s">
        <v>78</v>
      </c>
      <c r="N587" t="s">
        <v>79</v>
      </c>
      <c r="O587" t="s">
        <v>74</v>
      </c>
      <c r="P587" t="s">
        <v>74</v>
      </c>
      <c r="Q587" t="s">
        <v>74</v>
      </c>
      <c r="R587" t="s">
        <v>74</v>
      </c>
      <c r="S587" t="s">
        <v>74</v>
      </c>
      <c r="T587" t="s">
        <v>11363</v>
      </c>
      <c r="U587" t="s">
        <v>11364</v>
      </c>
      <c r="V587" t="s">
        <v>11365</v>
      </c>
      <c r="W587" t="s">
        <v>11366</v>
      </c>
      <c r="X587" t="s">
        <v>11367</v>
      </c>
      <c r="Y587" t="s">
        <v>11368</v>
      </c>
      <c r="Z587" t="s">
        <v>11369</v>
      </c>
      <c r="AA587" t="s">
        <v>11370</v>
      </c>
      <c r="AB587" t="s">
        <v>11371</v>
      </c>
      <c r="AC587" t="s">
        <v>11372</v>
      </c>
      <c r="AD587" t="s">
        <v>11373</v>
      </c>
      <c r="AE587" t="s">
        <v>11374</v>
      </c>
      <c r="AF587" t="s">
        <v>74</v>
      </c>
      <c r="AG587">
        <v>27</v>
      </c>
      <c r="AH587">
        <v>4</v>
      </c>
      <c r="AI587">
        <v>5</v>
      </c>
      <c r="AJ587">
        <v>3</v>
      </c>
      <c r="AK587">
        <v>3</v>
      </c>
      <c r="AL587" t="s">
        <v>11330</v>
      </c>
      <c r="AM587" t="s">
        <v>6886</v>
      </c>
      <c r="AN587" t="s">
        <v>11331</v>
      </c>
      <c r="AO587" t="s">
        <v>11332</v>
      </c>
      <c r="AP587" t="s">
        <v>11333</v>
      </c>
      <c r="AQ587" t="s">
        <v>74</v>
      </c>
      <c r="AR587" t="s">
        <v>11334</v>
      </c>
      <c r="AS587" t="s">
        <v>11335</v>
      </c>
      <c r="AT587" t="s">
        <v>4525</v>
      </c>
      <c r="AU587">
        <v>2023</v>
      </c>
      <c r="AV587">
        <v>16</v>
      </c>
      <c r="AW587">
        <v>6</v>
      </c>
      <c r="AX587" t="s">
        <v>74</v>
      </c>
      <c r="AY587" t="s">
        <v>74</v>
      </c>
      <c r="AZ587" t="s">
        <v>74</v>
      </c>
      <c r="BA587" t="s">
        <v>74</v>
      </c>
      <c r="BB587" t="s">
        <v>74</v>
      </c>
      <c r="BC587" t="s">
        <v>74</v>
      </c>
      <c r="BD587">
        <v>100353</v>
      </c>
      <c r="BE587" t="s">
        <v>11375</v>
      </c>
      <c r="BF587" t="str">
        <f>HYPERLINK("http://dx.doi.org/10.1016/j.aosl.2023.100353","http://dx.doi.org/10.1016/j.aosl.2023.100353")</f>
        <v>http://dx.doi.org/10.1016/j.aosl.2023.100353</v>
      </c>
      <c r="BG587" t="s">
        <v>74</v>
      </c>
      <c r="BH587" t="s">
        <v>74</v>
      </c>
      <c r="BI587">
        <v>6</v>
      </c>
      <c r="BJ587" t="s">
        <v>1522</v>
      </c>
      <c r="BK587" t="s">
        <v>912</v>
      </c>
      <c r="BL587" t="s">
        <v>1522</v>
      </c>
      <c r="BM587" t="s">
        <v>11376</v>
      </c>
      <c r="BN587" t="s">
        <v>74</v>
      </c>
      <c r="BO587" t="s">
        <v>131</v>
      </c>
      <c r="BP587" t="s">
        <v>74</v>
      </c>
      <c r="BQ587" t="s">
        <v>74</v>
      </c>
      <c r="BR587" t="s">
        <v>104</v>
      </c>
      <c r="BS587" t="s">
        <v>11377</v>
      </c>
      <c r="BT587" t="str">
        <f>HYPERLINK("https%3A%2F%2Fwww.webofscience.com%2Fwos%2Fwoscc%2Ffull-record%2FWOS:001089642700001","View Full Record in Web of Science")</f>
        <v>View Full Record in Web of Science</v>
      </c>
    </row>
    <row r="588" spans="1:72" x14ac:dyDescent="0.15">
      <c r="A588" t="s">
        <v>72</v>
      </c>
      <c r="B588" t="s">
        <v>11378</v>
      </c>
      <c r="C588" t="s">
        <v>74</v>
      </c>
      <c r="D588" t="s">
        <v>74</v>
      </c>
      <c r="E588" t="s">
        <v>74</v>
      </c>
      <c r="F588" t="s">
        <v>11379</v>
      </c>
      <c r="G588" t="s">
        <v>74</v>
      </c>
      <c r="H588" t="s">
        <v>74</v>
      </c>
      <c r="I588" t="s">
        <v>11380</v>
      </c>
      <c r="J588" t="s">
        <v>2389</v>
      </c>
      <c r="K588" t="s">
        <v>74</v>
      </c>
      <c r="L588" t="s">
        <v>74</v>
      </c>
      <c r="M588" t="s">
        <v>78</v>
      </c>
      <c r="N588" t="s">
        <v>79</v>
      </c>
      <c r="O588" t="s">
        <v>74</v>
      </c>
      <c r="P588" t="s">
        <v>74</v>
      </c>
      <c r="Q588" t="s">
        <v>74</v>
      </c>
      <c r="R588" t="s">
        <v>74</v>
      </c>
      <c r="S588" t="s">
        <v>74</v>
      </c>
      <c r="T588" t="s">
        <v>74</v>
      </c>
      <c r="U588" t="s">
        <v>11381</v>
      </c>
      <c r="V588" t="s">
        <v>11382</v>
      </c>
      <c r="W588" t="s">
        <v>11383</v>
      </c>
      <c r="X588" t="s">
        <v>11384</v>
      </c>
      <c r="Y588" t="s">
        <v>11385</v>
      </c>
      <c r="Z588" t="s">
        <v>11386</v>
      </c>
      <c r="AA588" t="s">
        <v>11387</v>
      </c>
      <c r="AB588" t="s">
        <v>11388</v>
      </c>
      <c r="AC588" t="s">
        <v>11389</v>
      </c>
      <c r="AD588" t="s">
        <v>11390</v>
      </c>
      <c r="AE588" t="s">
        <v>11391</v>
      </c>
      <c r="AF588" t="s">
        <v>74</v>
      </c>
      <c r="AG588">
        <v>65</v>
      </c>
      <c r="AH588">
        <v>1</v>
      </c>
      <c r="AI588">
        <v>1</v>
      </c>
      <c r="AJ588">
        <v>5</v>
      </c>
      <c r="AK588">
        <v>5</v>
      </c>
      <c r="AL588" t="s">
        <v>1838</v>
      </c>
      <c r="AM588" t="s">
        <v>1839</v>
      </c>
      <c r="AN588" t="s">
        <v>1840</v>
      </c>
      <c r="AO588" t="s">
        <v>2400</v>
      </c>
      <c r="AP588" t="s">
        <v>2401</v>
      </c>
      <c r="AQ588" t="s">
        <v>74</v>
      </c>
      <c r="AR588" t="s">
        <v>2402</v>
      </c>
      <c r="AS588" t="s">
        <v>2403</v>
      </c>
      <c r="AT588" t="s">
        <v>11392</v>
      </c>
      <c r="AU588">
        <v>2023</v>
      </c>
      <c r="AV588">
        <v>15</v>
      </c>
      <c r="AW588">
        <v>11</v>
      </c>
      <c r="AX588" t="s">
        <v>74</v>
      </c>
      <c r="AY588" t="s">
        <v>74</v>
      </c>
      <c r="AZ588" t="s">
        <v>74</v>
      </c>
      <c r="BA588" t="s">
        <v>74</v>
      </c>
      <c r="BB588">
        <v>4829</v>
      </c>
      <c r="BC588">
        <v>4848</v>
      </c>
      <c r="BD588" t="s">
        <v>74</v>
      </c>
      <c r="BE588" t="s">
        <v>11393</v>
      </c>
      <c r="BF588" t="str">
        <f>HYPERLINK("http://dx.doi.org/10.5194/essd-15-4829-2023","http://dx.doi.org/10.5194/essd-15-4829-2023")</f>
        <v>http://dx.doi.org/10.5194/essd-15-4829-2023</v>
      </c>
      <c r="BG588" t="s">
        <v>74</v>
      </c>
      <c r="BH588" t="s">
        <v>74</v>
      </c>
      <c r="BI588">
        <v>20</v>
      </c>
      <c r="BJ588" t="s">
        <v>2405</v>
      </c>
      <c r="BK588" t="s">
        <v>100</v>
      </c>
      <c r="BL588" t="s">
        <v>2406</v>
      </c>
      <c r="BM588" t="s">
        <v>11394</v>
      </c>
      <c r="BN588" t="s">
        <v>74</v>
      </c>
      <c r="BO588" t="s">
        <v>131</v>
      </c>
      <c r="BP588" t="s">
        <v>74</v>
      </c>
      <c r="BQ588" t="s">
        <v>74</v>
      </c>
      <c r="BR588" t="s">
        <v>104</v>
      </c>
      <c r="BS588" t="s">
        <v>11395</v>
      </c>
      <c r="BT588" t="str">
        <f>HYPERLINK("https%3A%2F%2Fwww.webofscience.com%2Fwos%2Fwoscc%2Ffull-record%2FWOS:001170936200001","View Full Record in Web of Science")</f>
        <v>View Full Record in Web of Science</v>
      </c>
    </row>
    <row r="589" spans="1:72" x14ac:dyDescent="0.15">
      <c r="A589" t="s">
        <v>72</v>
      </c>
      <c r="B589" t="s">
        <v>11396</v>
      </c>
      <c r="C589" t="s">
        <v>74</v>
      </c>
      <c r="D589" t="s">
        <v>74</v>
      </c>
      <c r="E589" t="s">
        <v>74</v>
      </c>
      <c r="F589" t="s">
        <v>11397</v>
      </c>
      <c r="G589" t="s">
        <v>74</v>
      </c>
      <c r="H589" t="s">
        <v>74</v>
      </c>
      <c r="I589" t="s">
        <v>11398</v>
      </c>
      <c r="J589" t="s">
        <v>1746</v>
      </c>
      <c r="K589" t="s">
        <v>74</v>
      </c>
      <c r="L589" t="s">
        <v>74</v>
      </c>
      <c r="M589" t="s">
        <v>78</v>
      </c>
      <c r="N589" t="s">
        <v>920</v>
      </c>
      <c r="O589" t="s">
        <v>74</v>
      </c>
      <c r="P589" t="s">
        <v>74</v>
      </c>
      <c r="Q589" t="s">
        <v>74</v>
      </c>
      <c r="R589" t="s">
        <v>74</v>
      </c>
      <c r="S589" t="s">
        <v>74</v>
      </c>
      <c r="T589" t="s">
        <v>11399</v>
      </c>
      <c r="U589" t="s">
        <v>74</v>
      </c>
      <c r="V589" t="s">
        <v>74</v>
      </c>
      <c r="W589" t="s">
        <v>11400</v>
      </c>
      <c r="X589" t="s">
        <v>11401</v>
      </c>
      <c r="Y589" t="s">
        <v>11402</v>
      </c>
      <c r="Z589" t="s">
        <v>11403</v>
      </c>
      <c r="AA589" t="s">
        <v>11404</v>
      </c>
      <c r="AB589" t="s">
        <v>11405</v>
      </c>
      <c r="AC589" t="s">
        <v>11406</v>
      </c>
      <c r="AD589" t="s">
        <v>11407</v>
      </c>
      <c r="AE589" t="s">
        <v>11408</v>
      </c>
      <c r="AF589" t="s">
        <v>74</v>
      </c>
      <c r="AG589">
        <v>10</v>
      </c>
      <c r="AH589">
        <v>0</v>
      </c>
      <c r="AI589">
        <v>0</v>
      </c>
      <c r="AJ589">
        <v>0</v>
      </c>
      <c r="AK589">
        <v>0</v>
      </c>
      <c r="AL589" t="s">
        <v>1758</v>
      </c>
      <c r="AM589" t="s">
        <v>1759</v>
      </c>
      <c r="AN589" t="s">
        <v>1760</v>
      </c>
      <c r="AO589" t="s">
        <v>74</v>
      </c>
      <c r="AP589" t="s">
        <v>1761</v>
      </c>
      <c r="AQ589" t="s">
        <v>74</v>
      </c>
      <c r="AR589" t="s">
        <v>1762</v>
      </c>
      <c r="AS589" t="s">
        <v>1763</v>
      </c>
      <c r="AT589" t="s">
        <v>11392</v>
      </c>
      <c r="AU589">
        <v>2023</v>
      </c>
      <c r="AV589">
        <v>10</v>
      </c>
      <c r="AW589" t="s">
        <v>74</v>
      </c>
      <c r="AX589" t="s">
        <v>74</v>
      </c>
      <c r="AY589" t="s">
        <v>74</v>
      </c>
      <c r="AZ589" t="s">
        <v>74</v>
      </c>
      <c r="BA589" t="s">
        <v>74</v>
      </c>
      <c r="BB589" t="s">
        <v>74</v>
      </c>
      <c r="BC589" t="s">
        <v>74</v>
      </c>
      <c r="BD589">
        <v>1323361</v>
      </c>
      <c r="BE589" t="s">
        <v>11409</v>
      </c>
      <c r="BF589" t="str">
        <f>HYPERLINK("http://dx.doi.org/10.3389/fmars.2023.1323361","http://dx.doi.org/10.3389/fmars.2023.1323361")</f>
        <v>http://dx.doi.org/10.3389/fmars.2023.1323361</v>
      </c>
      <c r="BG589" t="s">
        <v>74</v>
      </c>
      <c r="BH589" t="s">
        <v>74</v>
      </c>
      <c r="BI589">
        <v>3</v>
      </c>
      <c r="BJ589" t="s">
        <v>1135</v>
      </c>
      <c r="BK589" t="s">
        <v>100</v>
      </c>
      <c r="BL589" t="s">
        <v>1136</v>
      </c>
      <c r="BM589" t="s">
        <v>11410</v>
      </c>
      <c r="BN589" t="s">
        <v>74</v>
      </c>
      <c r="BO589" t="s">
        <v>131</v>
      </c>
      <c r="BP589" t="s">
        <v>74</v>
      </c>
      <c r="BQ589" t="s">
        <v>74</v>
      </c>
      <c r="BR589" t="s">
        <v>104</v>
      </c>
      <c r="BS589" t="s">
        <v>11411</v>
      </c>
      <c r="BT589" t="str">
        <f>HYPERLINK("https%3A%2F%2Fwww.webofscience.com%2Fwos%2Fwoscc%2Ffull-record%2FWOS:001105045100001","View Full Record in Web of Science")</f>
        <v>View Full Record in Web of Science</v>
      </c>
    </row>
    <row r="590" spans="1:72" x14ac:dyDescent="0.15">
      <c r="A590" t="s">
        <v>72</v>
      </c>
      <c r="B590" t="s">
        <v>11412</v>
      </c>
      <c r="C590" t="s">
        <v>74</v>
      </c>
      <c r="D590" t="s">
        <v>74</v>
      </c>
      <c r="E590" t="s">
        <v>74</v>
      </c>
      <c r="F590" t="s">
        <v>11413</v>
      </c>
      <c r="G590" t="s">
        <v>74</v>
      </c>
      <c r="H590" t="s">
        <v>74</v>
      </c>
      <c r="I590" t="s">
        <v>11414</v>
      </c>
      <c r="J590" t="s">
        <v>1116</v>
      </c>
      <c r="K590" t="s">
        <v>74</v>
      </c>
      <c r="L590" t="s">
        <v>74</v>
      </c>
      <c r="M590" t="s">
        <v>78</v>
      </c>
      <c r="N590" t="s">
        <v>79</v>
      </c>
      <c r="O590" t="s">
        <v>74</v>
      </c>
      <c r="P590" t="s">
        <v>74</v>
      </c>
      <c r="Q590" t="s">
        <v>74</v>
      </c>
      <c r="R590" t="s">
        <v>74</v>
      </c>
      <c r="S590" t="s">
        <v>74</v>
      </c>
      <c r="T590" t="s">
        <v>11415</v>
      </c>
      <c r="U590" t="s">
        <v>11416</v>
      </c>
      <c r="V590" t="s">
        <v>11417</v>
      </c>
      <c r="W590" t="s">
        <v>11418</v>
      </c>
      <c r="X590" t="s">
        <v>11419</v>
      </c>
      <c r="Y590" t="s">
        <v>11420</v>
      </c>
      <c r="Z590" t="s">
        <v>11421</v>
      </c>
      <c r="AA590" t="s">
        <v>11422</v>
      </c>
      <c r="AB590" t="s">
        <v>11423</v>
      </c>
      <c r="AC590" t="s">
        <v>11424</v>
      </c>
      <c r="AD590" t="s">
        <v>11425</v>
      </c>
      <c r="AE590" t="s">
        <v>11426</v>
      </c>
      <c r="AF590" t="s">
        <v>74</v>
      </c>
      <c r="AG590">
        <v>78</v>
      </c>
      <c r="AH590">
        <v>0</v>
      </c>
      <c r="AI590">
        <v>0</v>
      </c>
      <c r="AJ590">
        <v>5</v>
      </c>
      <c r="AK590">
        <v>5</v>
      </c>
      <c r="AL590" t="s">
        <v>975</v>
      </c>
      <c r="AM590" t="s">
        <v>976</v>
      </c>
      <c r="AN590" t="s">
        <v>977</v>
      </c>
      <c r="AO590" t="s">
        <v>1129</v>
      </c>
      <c r="AP590" t="s">
        <v>1130</v>
      </c>
      <c r="AQ590" t="s">
        <v>74</v>
      </c>
      <c r="AR590" t="s">
        <v>1131</v>
      </c>
      <c r="AS590" t="s">
        <v>1132</v>
      </c>
      <c r="AT590" t="s">
        <v>1947</v>
      </c>
      <c r="AU590">
        <v>2023</v>
      </c>
      <c r="AV590">
        <v>197</v>
      </c>
      <c r="AW590" t="s">
        <v>74</v>
      </c>
      <c r="AX590" t="s">
        <v>74</v>
      </c>
      <c r="AY590" t="s">
        <v>74</v>
      </c>
      <c r="AZ590" t="s">
        <v>74</v>
      </c>
      <c r="BA590" t="s">
        <v>74</v>
      </c>
      <c r="BB590" t="s">
        <v>74</v>
      </c>
      <c r="BC590" t="s">
        <v>74</v>
      </c>
      <c r="BD590">
        <v>115702</v>
      </c>
      <c r="BE590" t="s">
        <v>11427</v>
      </c>
      <c r="BF590" t="str">
        <f>HYPERLINK("http://dx.doi.org/10.1016/j.marpolbul.2023.115702","http://dx.doi.org/10.1016/j.marpolbul.2023.115702")</f>
        <v>http://dx.doi.org/10.1016/j.marpolbul.2023.115702</v>
      </c>
      <c r="BG590" t="s">
        <v>74</v>
      </c>
      <c r="BH590" t="s">
        <v>11428</v>
      </c>
      <c r="BI590">
        <v>14</v>
      </c>
      <c r="BJ590" t="s">
        <v>1135</v>
      </c>
      <c r="BK590" t="s">
        <v>100</v>
      </c>
      <c r="BL590" t="s">
        <v>1136</v>
      </c>
      <c r="BM590" t="s">
        <v>11429</v>
      </c>
      <c r="BN590">
        <v>37918145</v>
      </c>
      <c r="BO590" t="s">
        <v>74</v>
      </c>
      <c r="BP590" t="s">
        <v>74</v>
      </c>
      <c r="BQ590" t="s">
        <v>74</v>
      </c>
      <c r="BR590" t="s">
        <v>104</v>
      </c>
      <c r="BS590" t="s">
        <v>11430</v>
      </c>
      <c r="BT590" t="str">
        <f>HYPERLINK("https%3A%2F%2Fwww.webofscience.com%2Fwos%2Fwoscc%2Ffull-record%2FWOS:001105260300001","View Full Record in Web of Science")</f>
        <v>View Full Record in Web of Science</v>
      </c>
    </row>
    <row r="591" spans="1:72" x14ac:dyDescent="0.15">
      <c r="A591" t="s">
        <v>72</v>
      </c>
      <c r="B591" t="s">
        <v>11431</v>
      </c>
      <c r="C591" t="s">
        <v>74</v>
      </c>
      <c r="D591" t="s">
        <v>74</v>
      </c>
      <c r="E591" t="s">
        <v>74</v>
      </c>
      <c r="F591" t="s">
        <v>11432</v>
      </c>
      <c r="G591" t="s">
        <v>74</v>
      </c>
      <c r="H591" t="s">
        <v>74</v>
      </c>
      <c r="I591" t="s">
        <v>11433</v>
      </c>
      <c r="J591" t="s">
        <v>11434</v>
      </c>
      <c r="K591" t="s">
        <v>74</v>
      </c>
      <c r="L591" t="s">
        <v>74</v>
      </c>
      <c r="M591" t="s">
        <v>78</v>
      </c>
      <c r="N591" t="s">
        <v>79</v>
      </c>
      <c r="O591" t="s">
        <v>74</v>
      </c>
      <c r="P591" t="s">
        <v>74</v>
      </c>
      <c r="Q591" t="s">
        <v>74</v>
      </c>
      <c r="R591" t="s">
        <v>74</v>
      </c>
      <c r="S591" t="s">
        <v>74</v>
      </c>
      <c r="T591" t="s">
        <v>11435</v>
      </c>
      <c r="U591" t="s">
        <v>11436</v>
      </c>
      <c r="V591" t="s">
        <v>11437</v>
      </c>
      <c r="W591" t="s">
        <v>11438</v>
      </c>
      <c r="X591" t="s">
        <v>7502</v>
      </c>
      <c r="Y591" t="s">
        <v>11439</v>
      </c>
      <c r="Z591" t="s">
        <v>11440</v>
      </c>
      <c r="AA591" t="s">
        <v>11441</v>
      </c>
      <c r="AB591" t="s">
        <v>11442</v>
      </c>
      <c r="AC591" t="s">
        <v>11443</v>
      </c>
      <c r="AD591" t="s">
        <v>11444</v>
      </c>
      <c r="AE591" t="s">
        <v>11445</v>
      </c>
      <c r="AF591" t="s">
        <v>74</v>
      </c>
      <c r="AG591">
        <v>47</v>
      </c>
      <c r="AH591">
        <v>0</v>
      </c>
      <c r="AI591">
        <v>0</v>
      </c>
      <c r="AJ591">
        <v>0</v>
      </c>
      <c r="AK591">
        <v>0</v>
      </c>
      <c r="AL591" t="s">
        <v>3719</v>
      </c>
      <c r="AM591" t="s">
        <v>1209</v>
      </c>
      <c r="AN591" t="s">
        <v>3720</v>
      </c>
      <c r="AO591" t="s">
        <v>11446</v>
      </c>
      <c r="AP591" t="s">
        <v>11447</v>
      </c>
      <c r="AQ591" t="s">
        <v>74</v>
      </c>
      <c r="AR591" t="s">
        <v>11448</v>
      </c>
      <c r="AS591" t="s">
        <v>11449</v>
      </c>
      <c r="AT591" t="s">
        <v>7134</v>
      </c>
      <c r="AU591">
        <v>2023</v>
      </c>
      <c r="AV591">
        <v>89</v>
      </c>
      <c r="AW591">
        <v>11</v>
      </c>
      <c r="AX591" t="s">
        <v>74</v>
      </c>
      <c r="AY591" t="s">
        <v>74</v>
      </c>
      <c r="AZ591" t="s">
        <v>74</v>
      </c>
      <c r="BA591" t="s">
        <v>74</v>
      </c>
      <c r="BB591" t="s">
        <v>74</v>
      </c>
      <c r="BC591" t="s">
        <v>74</v>
      </c>
      <c r="BD591" t="s">
        <v>74</v>
      </c>
      <c r="BE591" t="s">
        <v>11450</v>
      </c>
      <c r="BF591" t="str">
        <f>HYPERLINK("http://dx.doi.org/10.1128/aem.01168-23","http://dx.doi.org/10.1128/aem.01168-23")</f>
        <v>http://dx.doi.org/10.1128/aem.01168-23</v>
      </c>
      <c r="BG591" t="s">
        <v>74</v>
      </c>
      <c r="BH591" t="s">
        <v>11428</v>
      </c>
      <c r="BI591">
        <v>17</v>
      </c>
      <c r="BJ591" t="s">
        <v>11451</v>
      </c>
      <c r="BK591" t="s">
        <v>100</v>
      </c>
      <c r="BL591" t="s">
        <v>11451</v>
      </c>
      <c r="BM591" t="s">
        <v>11452</v>
      </c>
      <c r="BN591">
        <v>37905926</v>
      </c>
      <c r="BO591" t="s">
        <v>1717</v>
      </c>
      <c r="BP591" t="s">
        <v>74</v>
      </c>
      <c r="BQ591" t="s">
        <v>74</v>
      </c>
      <c r="BR591" t="s">
        <v>104</v>
      </c>
      <c r="BS591" t="s">
        <v>11453</v>
      </c>
      <c r="BT591" t="str">
        <f>HYPERLINK("https%3A%2F%2Fwww.webofscience.com%2Fwos%2Fwoscc%2Ffull-record%2FWOS:001099060200001","View Full Record in Web of Science")</f>
        <v>View Full Record in Web of Science</v>
      </c>
    </row>
    <row r="592" spans="1:72" x14ac:dyDescent="0.15">
      <c r="A592" t="s">
        <v>72</v>
      </c>
      <c r="B592" t="s">
        <v>11454</v>
      </c>
      <c r="C592" t="s">
        <v>74</v>
      </c>
      <c r="D592" t="s">
        <v>74</v>
      </c>
      <c r="E592" t="s">
        <v>74</v>
      </c>
      <c r="F592" t="s">
        <v>11455</v>
      </c>
      <c r="G592" t="s">
        <v>74</v>
      </c>
      <c r="H592" t="s">
        <v>74</v>
      </c>
      <c r="I592" t="s">
        <v>11456</v>
      </c>
      <c r="J592" t="s">
        <v>2915</v>
      </c>
      <c r="K592" t="s">
        <v>74</v>
      </c>
      <c r="L592" t="s">
        <v>74</v>
      </c>
      <c r="M592" t="s">
        <v>78</v>
      </c>
      <c r="N592" t="s">
        <v>1547</v>
      </c>
      <c r="O592" t="s">
        <v>74</v>
      </c>
      <c r="P592" t="s">
        <v>74</v>
      </c>
      <c r="Q592" t="s">
        <v>74</v>
      </c>
      <c r="R592" t="s">
        <v>74</v>
      </c>
      <c r="S592" t="s">
        <v>74</v>
      </c>
      <c r="T592" t="s">
        <v>11457</v>
      </c>
      <c r="U592" t="s">
        <v>11458</v>
      </c>
      <c r="V592" t="s">
        <v>11459</v>
      </c>
      <c r="W592" t="s">
        <v>11460</v>
      </c>
      <c r="X592" t="s">
        <v>11461</v>
      </c>
      <c r="Y592" t="s">
        <v>11462</v>
      </c>
      <c r="Z592" t="s">
        <v>11463</v>
      </c>
      <c r="AA592" t="s">
        <v>74</v>
      </c>
      <c r="AB592" t="s">
        <v>11464</v>
      </c>
      <c r="AC592" t="s">
        <v>11465</v>
      </c>
      <c r="AD592" t="s">
        <v>11466</v>
      </c>
      <c r="AE592" t="s">
        <v>11467</v>
      </c>
      <c r="AF592" t="s">
        <v>74</v>
      </c>
      <c r="AG592">
        <v>50</v>
      </c>
      <c r="AH592">
        <v>0</v>
      </c>
      <c r="AI592">
        <v>0</v>
      </c>
      <c r="AJ592">
        <v>2</v>
      </c>
      <c r="AK592">
        <v>2</v>
      </c>
      <c r="AL592" t="s">
        <v>1782</v>
      </c>
      <c r="AM592" t="s">
        <v>1783</v>
      </c>
      <c r="AN592" t="s">
        <v>1784</v>
      </c>
      <c r="AO592" t="s">
        <v>2928</v>
      </c>
      <c r="AP592" t="s">
        <v>2929</v>
      </c>
      <c r="AQ592" t="s">
        <v>74</v>
      </c>
      <c r="AR592" t="s">
        <v>2930</v>
      </c>
      <c r="AS592" t="s">
        <v>2931</v>
      </c>
      <c r="AT592" t="s">
        <v>11468</v>
      </c>
      <c r="AU592">
        <v>2023</v>
      </c>
      <c r="AV592" t="s">
        <v>74</v>
      </c>
      <c r="AW592" t="s">
        <v>74</v>
      </c>
      <c r="AX592" t="s">
        <v>74</v>
      </c>
      <c r="AY592" t="s">
        <v>74</v>
      </c>
      <c r="AZ592" t="s">
        <v>74</v>
      </c>
      <c r="BA592" t="s">
        <v>74</v>
      </c>
      <c r="BB592" t="s">
        <v>74</v>
      </c>
      <c r="BC592" t="s">
        <v>74</v>
      </c>
      <c r="BD592" t="s">
        <v>74</v>
      </c>
      <c r="BE592" t="s">
        <v>11469</v>
      </c>
      <c r="BF592" t="str">
        <f>HYPERLINK("http://dx.doi.org/10.1017/jog.2023.88","http://dx.doi.org/10.1017/jog.2023.88")</f>
        <v>http://dx.doi.org/10.1017/jog.2023.88</v>
      </c>
      <c r="BG592" t="s">
        <v>74</v>
      </c>
      <c r="BH592" t="s">
        <v>11428</v>
      </c>
      <c r="BI592">
        <v>12</v>
      </c>
      <c r="BJ592" t="s">
        <v>984</v>
      </c>
      <c r="BK592" t="s">
        <v>100</v>
      </c>
      <c r="BL592" t="s">
        <v>985</v>
      </c>
      <c r="BM592" t="s">
        <v>11470</v>
      </c>
      <c r="BN592" t="s">
        <v>74</v>
      </c>
      <c r="BO592" t="s">
        <v>131</v>
      </c>
      <c r="BP592" t="s">
        <v>74</v>
      </c>
      <c r="BQ592" t="s">
        <v>74</v>
      </c>
      <c r="BR592" t="s">
        <v>104</v>
      </c>
      <c r="BS592" t="s">
        <v>11471</v>
      </c>
      <c r="BT592" t="str">
        <f>HYPERLINK("https%3A%2F%2Fwww.webofscience.com%2Fwos%2Fwoscc%2Ffull-record%2FWOS:001091044300001","View Full Record in Web of Science")</f>
        <v>View Full Record in Web of Science</v>
      </c>
    </row>
    <row r="593" spans="1:72" x14ac:dyDescent="0.15">
      <c r="A593" t="s">
        <v>72</v>
      </c>
      <c r="B593" t="s">
        <v>11472</v>
      </c>
      <c r="C593" t="s">
        <v>74</v>
      </c>
      <c r="D593" t="s">
        <v>74</v>
      </c>
      <c r="E593" t="s">
        <v>74</v>
      </c>
      <c r="F593" t="s">
        <v>11473</v>
      </c>
      <c r="G593" t="s">
        <v>74</v>
      </c>
      <c r="H593" t="s">
        <v>74</v>
      </c>
      <c r="I593" t="s">
        <v>11474</v>
      </c>
      <c r="J593" t="s">
        <v>11475</v>
      </c>
      <c r="K593" t="s">
        <v>74</v>
      </c>
      <c r="L593" t="s">
        <v>74</v>
      </c>
      <c r="M593" t="s">
        <v>78</v>
      </c>
      <c r="N593" t="s">
        <v>441</v>
      </c>
      <c r="O593" t="s">
        <v>74</v>
      </c>
      <c r="P593" t="s">
        <v>74</v>
      </c>
      <c r="Q593" t="s">
        <v>74</v>
      </c>
      <c r="R593" t="s">
        <v>74</v>
      </c>
      <c r="S593" t="s">
        <v>74</v>
      </c>
      <c r="T593" t="s">
        <v>11476</v>
      </c>
      <c r="U593" t="s">
        <v>11477</v>
      </c>
      <c r="V593" t="s">
        <v>11478</v>
      </c>
      <c r="W593" t="s">
        <v>11479</v>
      </c>
      <c r="X593" t="s">
        <v>8923</v>
      </c>
      <c r="Y593" t="s">
        <v>11480</v>
      </c>
      <c r="Z593" t="s">
        <v>11481</v>
      </c>
      <c r="AA593" t="s">
        <v>74</v>
      </c>
      <c r="AB593" t="s">
        <v>11482</v>
      </c>
      <c r="AC593" t="s">
        <v>11483</v>
      </c>
      <c r="AD593" t="s">
        <v>11483</v>
      </c>
      <c r="AE593" t="s">
        <v>11484</v>
      </c>
      <c r="AF593" t="s">
        <v>74</v>
      </c>
      <c r="AG593">
        <v>194</v>
      </c>
      <c r="AH593">
        <v>0</v>
      </c>
      <c r="AI593">
        <v>0</v>
      </c>
      <c r="AJ593">
        <v>8</v>
      </c>
      <c r="AK593">
        <v>8</v>
      </c>
      <c r="AL593" t="s">
        <v>1758</v>
      </c>
      <c r="AM593" t="s">
        <v>1759</v>
      </c>
      <c r="AN593" t="s">
        <v>1760</v>
      </c>
      <c r="AO593" t="s">
        <v>74</v>
      </c>
      <c r="AP593" t="s">
        <v>11485</v>
      </c>
      <c r="AQ593" t="s">
        <v>74</v>
      </c>
      <c r="AR593" t="s">
        <v>11486</v>
      </c>
      <c r="AS593" t="s">
        <v>11487</v>
      </c>
      <c r="AT593" t="s">
        <v>11488</v>
      </c>
      <c r="AU593">
        <v>2023</v>
      </c>
      <c r="AV593">
        <v>14</v>
      </c>
      <c r="AW593" t="s">
        <v>74</v>
      </c>
      <c r="AX593" t="s">
        <v>74</v>
      </c>
      <c r="AY593" t="s">
        <v>74</v>
      </c>
      <c r="AZ593" t="s">
        <v>74</v>
      </c>
      <c r="BA593" t="s">
        <v>74</v>
      </c>
      <c r="BB593" t="s">
        <v>74</v>
      </c>
      <c r="BC593" t="s">
        <v>74</v>
      </c>
      <c r="BD593">
        <v>1281648</v>
      </c>
      <c r="BE593" t="s">
        <v>11489</v>
      </c>
      <c r="BF593" t="str">
        <f>HYPERLINK("http://dx.doi.org/10.3389/fmicb.2023.1281648","http://dx.doi.org/10.3389/fmicb.2023.1281648")</f>
        <v>http://dx.doi.org/10.3389/fmicb.2023.1281648</v>
      </c>
      <c r="BG593" t="s">
        <v>74</v>
      </c>
      <c r="BH593" t="s">
        <v>74</v>
      </c>
      <c r="BI593">
        <v>26</v>
      </c>
      <c r="BJ593" t="s">
        <v>1084</v>
      </c>
      <c r="BK593" t="s">
        <v>100</v>
      </c>
      <c r="BL593" t="s">
        <v>1084</v>
      </c>
      <c r="BM593" t="s">
        <v>11490</v>
      </c>
      <c r="BN593">
        <v>38029223</v>
      </c>
      <c r="BO593" t="s">
        <v>200</v>
      </c>
      <c r="BP593" t="s">
        <v>74</v>
      </c>
      <c r="BQ593" t="s">
        <v>74</v>
      </c>
      <c r="BR593" t="s">
        <v>104</v>
      </c>
      <c r="BS593" t="s">
        <v>11491</v>
      </c>
      <c r="BT593" t="str">
        <f>HYPERLINK("https%3A%2F%2Fwww.webofscience.com%2Fwos%2Fwoscc%2Ffull-record%2FWOS:001100744300001","View Full Record in Web of Science")</f>
        <v>View Full Record in Web of Science</v>
      </c>
    </row>
    <row r="594" spans="1:72" x14ac:dyDescent="0.15">
      <c r="A594" t="s">
        <v>72</v>
      </c>
      <c r="B594" t="s">
        <v>11492</v>
      </c>
      <c r="C594" t="s">
        <v>74</v>
      </c>
      <c r="D594" t="s">
        <v>74</v>
      </c>
      <c r="E594" t="s">
        <v>74</v>
      </c>
      <c r="F594" t="s">
        <v>11493</v>
      </c>
      <c r="G594" t="s">
        <v>74</v>
      </c>
      <c r="H594" t="s">
        <v>74</v>
      </c>
      <c r="I594" t="s">
        <v>11494</v>
      </c>
      <c r="J594" t="s">
        <v>11495</v>
      </c>
      <c r="K594" t="s">
        <v>74</v>
      </c>
      <c r="L594" t="s">
        <v>74</v>
      </c>
      <c r="M594" t="s">
        <v>78</v>
      </c>
      <c r="N594" t="s">
        <v>79</v>
      </c>
      <c r="O594" t="s">
        <v>74</v>
      </c>
      <c r="P594" t="s">
        <v>74</v>
      </c>
      <c r="Q594" t="s">
        <v>74</v>
      </c>
      <c r="R594" t="s">
        <v>74</v>
      </c>
      <c r="S594" t="s">
        <v>74</v>
      </c>
      <c r="T594" t="s">
        <v>11496</v>
      </c>
      <c r="U594" t="s">
        <v>11497</v>
      </c>
      <c r="V594" t="s">
        <v>11498</v>
      </c>
      <c r="W594" t="s">
        <v>11499</v>
      </c>
      <c r="X594" t="s">
        <v>11500</v>
      </c>
      <c r="Y594" t="s">
        <v>11501</v>
      </c>
      <c r="Z594" t="s">
        <v>11502</v>
      </c>
      <c r="AA594" t="s">
        <v>11503</v>
      </c>
      <c r="AB594" t="s">
        <v>11504</v>
      </c>
      <c r="AC594" t="s">
        <v>11505</v>
      </c>
      <c r="AD594" t="s">
        <v>11506</v>
      </c>
      <c r="AE594" t="s">
        <v>11507</v>
      </c>
      <c r="AF594" t="s">
        <v>74</v>
      </c>
      <c r="AG594">
        <v>82</v>
      </c>
      <c r="AH594">
        <v>0</v>
      </c>
      <c r="AI594">
        <v>0</v>
      </c>
      <c r="AJ594">
        <v>3</v>
      </c>
      <c r="AK594">
        <v>3</v>
      </c>
      <c r="AL594" t="s">
        <v>89</v>
      </c>
      <c r="AM594" t="s">
        <v>976</v>
      </c>
      <c r="AN594" t="s">
        <v>11027</v>
      </c>
      <c r="AO594" t="s">
        <v>11508</v>
      </c>
      <c r="AP594" t="s">
        <v>11509</v>
      </c>
      <c r="AQ594" t="s">
        <v>74</v>
      </c>
      <c r="AR594" t="s">
        <v>11510</v>
      </c>
      <c r="AS594" t="s">
        <v>11511</v>
      </c>
      <c r="AT594" t="s">
        <v>4525</v>
      </c>
      <c r="AU594">
        <v>2023</v>
      </c>
      <c r="AV594">
        <v>287</v>
      </c>
      <c r="AW594" t="s">
        <v>74</v>
      </c>
      <c r="AX594" t="s">
        <v>74</v>
      </c>
      <c r="AY594" t="s">
        <v>74</v>
      </c>
      <c r="AZ594" t="s">
        <v>74</v>
      </c>
      <c r="BA594" t="s">
        <v>74</v>
      </c>
      <c r="BB594" t="s">
        <v>74</v>
      </c>
      <c r="BC594" t="s">
        <v>74</v>
      </c>
      <c r="BD594">
        <v>110323</v>
      </c>
      <c r="BE594" t="s">
        <v>11512</v>
      </c>
      <c r="BF594" t="str">
        <f>HYPERLINK("http://dx.doi.org/10.1016/j.biocon.2023.110323","http://dx.doi.org/10.1016/j.biocon.2023.110323")</f>
        <v>http://dx.doi.org/10.1016/j.biocon.2023.110323</v>
      </c>
      <c r="BG594" t="s">
        <v>74</v>
      </c>
      <c r="BH594" t="s">
        <v>11428</v>
      </c>
      <c r="BI594">
        <v>10</v>
      </c>
      <c r="BJ594" t="s">
        <v>8763</v>
      </c>
      <c r="BK594" t="s">
        <v>100</v>
      </c>
      <c r="BL594" t="s">
        <v>913</v>
      </c>
      <c r="BM594" t="s">
        <v>11513</v>
      </c>
      <c r="BN594" t="s">
        <v>74</v>
      </c>
      <c r="BO594" t="s">
        <v>74</v>
      </c>
      <c r="BP594" t="s">
        <v>74</v>
      </c>
      <c r="BQ594" t="s">
        <v>74</v>
      </c>
      <c r="BR594" t="s">
        <v>104</v>
      </c>
      <c r="BS594" t="s">
        <v>11514</v>
      </c>
      <c r="BT594" t="str">
        <f>HYPERLINK("https%3A%2F%2Fwww.webofscience.com%2Fwos%2Fwoscc%2Ffull-record%2FWOS:001102696000001","View Full Record in Web of Science")</f>
        <v>View Full Record in Web of Science</v>
      </c>
    </row>
    <row r="595" spans="1:72" x14ac:dyDescent="0.15">
      <c r="A595" t="s">
        <v>72</v>
      </c>
      <c r="B595" t="s">
        <v>11515</v>
      </c>
      <c r="C595" t="s">
        <v>74</v>
      </c>
      <c r="D595" t="s">
        <v>74</v>
      </c>
      <c r="E595" t="s">
        <v>74</v>
      </c>
      <c r="F595" t="s">
        <v>11516</v>
      </c>
      <c r="G595" t="s">
        <v>74</v>
      </c>
      <c r="H595" t="s">
        <v>74</v>
      </c>
      <c r="I595" t="s">
        <v>11517</v>
      </c>
      <c r="J595" t="s">
        <v>11518</v>
      </c>
      <c r="K595" t="s">
        <v>74</v>
      </c>
      <c r="L595" t="s">
        <v>74</v>
      </c>
      <c r="M595" t="s">
        <v>78</v>
      </c>
      <c r="N595" t="s">
        <v>79</v>
      </c>
      <c r="O595" t="s">
        <v>74</v>
      </c>
      <c r="P595" t="s">
        <v>74</v>
      </c>
      <c r="Q595" t="s">
        <v>74</v>
      </c>
      <c r="R595" t="s">
        <v>74</v>
      </c>
      <c r="S595" t="s">
        <v>74</v>
      </c>
      <c r="T595" t="s">
        <v>11519</v>
      </c>
      <c r="U595" t="s">
        <v>11520</v>
      </c>
      <c r="V595" t="s">
        <v>11521</v>
      </c>
      <c r="W595" t="s">
        <v>11522</v>
      </c>
      <c r="X595" t="s">
        <v>11523</v>
      </c>
      <c r="Y595" t="s">
        <v>11524</v>
      </c>
      <c r="Z595" t="s">
        <v>11525</v>
      </c>
      <c r="AA595" t="s">
        <v>74</v>
      </c>
      <c r="AB595" t="s">
        <v>74</v>
      </c>
      <c r="AC595" t="s">
        <v>11526</v>
      </c>
      <c r="AD595" t="s">
        <v>11527</v>
      </c>
      <c r="AE595" t="s">
        <v>11528</v>
      </c>
      <c r="AF595" t="s">
        <v>74</v>
      </c>
      <c r="AG595">
        <v>91</v>
      </c>
      <c r="AH595">
        <v>1</v>
      </c>
      <c r="AI595">
        <v>1</v>
      </c>
      <c r="AJ595">
        <v>4</v>
      </c>
      <c r="AK595">
        <v>4</v>
      </c>
      <c r="AL595" t="s">
        <v>4271</v>
      </c>
      <c r="AM595" t="s">
        <v>1076</v>
      </c>
      <c r="AN595" t="s">
        <v>4272</v>
      </c>
      <c r="AO595" t="s">
        <v>11529</v>
      </c>
      <c r="AP595" t="s">
        <v>11530</v>
      </c>
      <c r="AQ595" t="s">
        <v>74</v>
      </c>
      <c r="AR595" t="s">
        <v>11531</v>
      </c>
      <c r="AS595" t="s">
        <v>11532</v>
      </c>
      <c r="AT595" t="s">
        <v>954</v>
      </c>
      <c r="AU595">
        <v>2024</v>
      </c>
      <c r="AV595">
        <v>287</v>
      </c>
      <c r="AW595" t="s">
        <v>74</v>
      </c>
      <c r="AX595" t="s">
        <v>74</v>
      </c>
      <c r="AY595" t="s">
        <v>74</v>
      </c>
      <c r="AZ595" t="s">
        <v>74</v>
      </c>
      <c r="BA595" t="s">
        <v>74</v>
      </c>
      <c r="BB595" t="s">
        <v>74</v>
      </c>
      <c r="BC595" t="s">
        <v>74</v>
      </c>
      <c r="BD595">
        <v>111538</v>
      </c>
      <c r="BE595" t="s">
        <v>11533</v>
      </c>
      <c r="BF595" t="str">
        <f>HYPERLINK("http://dx.doi.org/10.1016/j.cbpa.2023.111538","http://dx.doi.org/10.1016/j.cbpa.2023.111538")</f>
        <v>http://dx.doi.org/10.1016/j.cbpa.2023.111538</v>
      </c>
      <c r="BG595" t="s">
        <v>74</v>
      </c>
      <c r="BH595" t="s">
        <v>11428</v>
      </c>
      <c r="BI595">
        <v>11</v>
      </c>
      <c r="BJ595" t="s">
        <v>11534</v>
      </c>
      <c r="BK595" t="s">
        <v>100</v>
      </c>
      <c r="BL595" t="s">
        <v>11534</v>
      </c>
      <c r="BM595" t="s">
        <v>11535</v>
      </c>
      <c r="BN595">
        <v>37871889</v>
      </c>
      <c r="BO595" t="s">
        <v>74</v>
      </c>
      <c r="BP595" t="s">
        <v>74</v>
      </c>
      <c r="BQ595" t="s">
        <v>74</v>
      </c>
      <c r="BR595" t="s">
        <v>104</v>
      </c>
      <c r="BS595" t="s">
        <v>11536</v>
      </c>
      <c r="BT595" t="str">
        <f>HYPERLINK("https%3A%2F%2Fwww.webofscience.com%2Fwos%2Fwoscc%2Ffull-record%2FWOS:001102647900001","View Full Record in Web of Science")</f>
        <v>View Full Record in Web of Science</v>
      </c>
    </row>
    <row r="596" spans="1:72" x14ac:dyDescent="0.15">
      <c r="A596" t="s">
        <v>72</v>
      </c>
      <c r="B596" t="s">
        <v>11537</v>
      </c>
      <c r="C596" t="s">
        <v>74</v>
      </c>
      <c r="D596" t="s">
        <v>74</v>
      </c>
      <c r="E596" t="s">
        <v>74</v>
      </c>
      <c r="F596" t="s">
        <v>11538</v>
      </c>
      <c r="G596" t="s">
        <v>74</v>
      </c>
      <c r="H596" t="s">
        <v>74</v>
      </c>
      <c r="I596" t="s">
        <v>11539</v>
      </c>
      <c r="J596" t="s">
        <v>3384</v>
      </c>
      <c r="K596" t="s">
        <v>74</v>
      </c>
      <c r="L596" t="s">
        <v>74</v>
      </c>
      <c r="M596" t="s">
        <v>78</v>
      </c>
      <c r="N596" t="s">
        <v>79</v>
      </c>
      <c r="O596" t="s">
        <v>74</v>
      </c>
      <c r="P596" t="s">
        <v>74</v>
      </c>
      <c r="Q596" t="s">
        <v>74</v>
      </c>
      <c r="R596" t="s">
        <v>74</v>
      </c>
      <c r="S596" t="s">
        <v>74</v>
      </c>
      <c r="T596" t="s">
        <v>74</v>
      </c>
      <c r="U596" t="s">
        <v>11540</v>
      </c>
      <c r="V596" t="s">
        <v>11541</v>
      </c>
      <c r="W596" t="s">
        <v>11542</v>
      </c>
      <c r="X596" t="s">
        <v>11543</v>
      </c>
      <c r="Y596" t="s">
        <v>11544</v>
      </c>
      <c r="Z596" t="s">
        <v>11545</v>
      </c>
      <c r="AA596" t="s">
        <v>11546</v>
      </c>
      <c r="AB596" t="s">
        <v>11547</v>
      </c>
      <c r="AC596" t="s">
        <v>11548</v>
      </c>
      <c r="AD596" t="s">
        <v>11549</v>
      </c>
      <c r="AE596" t="s">
        <v>11550</v>
      </c>
      <c r="AF596" t="s">
        <v>74</v>
      </c>
      <c r="AG596">
        <v>94</v>
      </c>
      <c r="AH596">
        <v>1</v>
      </c>
      <c r="AI596">
        <v>1</v>
      </c>
      <c r="AJ596">
        <v>22</v>
      </c>
      <c r="AK596">
        <v>22</v>
      </c>
      <c r="AL596" t="s">
        <v>3057</v>
      </c>
      <c r="AM596" t="s">
        <v>3058</v>
      </c>
      <c r="AN596" t="s">
        <v>3059</v>
      </c>
      <c r="AO596" t="s">
        <v>74</v>
      </c>
      <c r="AP596" t="s">
        <v>3396</v>
      </c>
      <c r="AQ596" t="s">
        <v>74</v>
      </c>
      <c r="AR596" t="s">
        <v>3397</v>
      </c>
      <c r="AS596" t="s">
        <v>3398</v>
      </c>
      <c r="AT596" t="s">
        <v>11551</v>
      </c>
      <c r="AU596">
        <v>2023</v>
      </c>
      <c r="AV596">
        <v>14</v>
      </c>
      <c r="AW596">
        <v>1</v>
      </c>
      <c r="AX596" t="s">
        <v>74</v>
      </c>
      <c r="AY596" t="s">
        <v>74</v>
      </c>
      <c r="AZ596" t="s">
        <v>74</v>
      </c>
      <c r="BA596" t="s">
        <v>74</v>
      </c>
      <c r="BB596" t="s">
        <v>74</v>
      </c>
      <c r="BC596" t="s">
        <v>74</v>
      </c>
      <c r="BD596">
        <v>6888</v>
      </c>
      <c r="BE596" t="s">
        <v>11552</v>
      </c>
      <c r="BF596" t="str">
        <f>HYPERLINK("http://dx.doi.org/10.1038/s41467-023-42468-z","http://dx.doi.org/10.1038/s41467-023-42468-z")</f>
        <v>http://dx.doi.org/10.1038/s41467-023-42468-z</v>
      </c>
      <c r="BG596" t="s">
        <v>74</v>
      </c>
      <c r="BH596" t="s">
        <v>74</v>
      </c>
      <c r="BI596">
        <v>14</v>
      </c>
      <c r="BJ596" t="s">
        <v>1035</v>
      </c>
      <c r="BK596" t="s">
        <v>100</v>
      </c>
      <c r="BL596" t="s">
        <v>1036</v>
      </c>
      <c r="BM596" t="s">
        <v>11553</v>
      </c>
      <c r="BN596">
        <v>37898610</v>
      </c>
      <c r="BO596" t="s">
        <v>131</v>
      </c>
      <c r="BP596" t="s">
        <v>74</v>
      </c>
      <c r="BQ596" t="s">
        <v>74</v>
      </c>
      <c r="BR596" t="s">
        <v>104</v>
      </c>
      <c r="BS596" t="s">
        <v>11554</v>
      </c>
      <c r="BT596" t="str">
        <f>HYPERLINK("https%3A%2F%2Fwww.webofscience.com%2Fwos%2Fwoscc%2Ffull-record%2FWOS:001093326300008","View Full Record in Web of Science")</f>
        <v>View Full Record in Web of Science</v>
      </c>
    </row>
    <row r="597" spans="1:72" x14ac:dyDescent="0.15">
      <c r="A597" t="s">
        <v>72</v>
      </c>
      <c r="B597" t="s">
        <v>11555</v>
      </c>
      <c r="C597" t="s">
        <v>74</v>
      </c>
      <c r="D597" t="s">
        <v>74</v>
      </c>
      <c r="E597" t="s">
        <v>74</v>
      </c>
      <c r="F597" t="s">
        <v>11556</v>
      </c>
      <c r="G597" t="s">
        <v>74</v>
      </c>
      <c r="H597" t="s">
        <v>74</v>
      </c>
      <c r="I597" t="s">
        <v>11557</v>
      </c>
      <c r="J597" t="s">
        <v>11558</v>
      </c>
      <c r="K597" t="s">
        <v>74</v>
      </c>
      <c r="L597" t="s">
        <v>74</v>
      </c>
      <c r="M597" t="s">
        <v>78</v>
      </c>
      <c r="N597" t="s">
        <v>79</v>
      </c>
      <c r="O597" t="s">
        <v>74</v>
      </c>
      <c r="P597" t="s">
        <v>74</v>
      </c>
      <c r="Q597" t="s">
        <v>74</v>
      </c>
      <c r="R597" t="s">
        <v>74</v>
      </c>
      <c r="S597" t="s">
        <v>74</v>
      </c>
      <c r="T597" t="s">
        <v>11559</v>
      </c>
      <c r="U597" t="s">
        <v>11560</v>
      </c>
      <c r="V597" t="s">
        <v>11561</v>
      </c>
      <c r="W597" t="s">
        <v>11562</v>
      </c>
      <c r="X597" t="s">
        <v>11563</v>
      </c>
      <c r="Y597" t="s">
        <v>11564</v>
      </c>
      <c r="Z597" t="s">
        <v>11565</v>
      </c>
      <c r="AA597" t="s">
        <v>11566</v>
      </c>
      <c r="AB597" t="s">
        <v>74</v>
      </c>
      <c r="AC597" t="s">
        <v>11567</v>
      </c>
      <c r="AD597" t="s">
        <v>11568</v>
      </c>
      <c r="AE597" t="s">
        <v>11569</v>
      </c>
      <c r="AF597" t="s">
        <v>74</v>
      </c>
      <c r="AG597">
        <v>57</v>
      </c>
      <c r="AH597">
        <v>0</v>
      </c>
      <c r="AI597">
        <v>0</v>
      </c>
      <c r="AJ597">
        <v>33</v>
      </c>
      <c r="AK597">
        <v>33</v>
      </c>
      <c r="AL597" t="s">
        <v>10494</v>
      </c>
      <c r="AM597" t="s">
        <v>1209</v>
      </c>
      <c r="AN597" t="s">
        <v>10495</v>
      </c>
      <c r="AO597" t="s">
        <v>11570</v>
      </c>
      <c r="AP597" t="s">
        <v>11571</v>
      </c>
      <c r="AQ597" t="s">
        <v>74</v>
      </c>
      <c r="AR597" t="s">
        <v>11572</v>
      </c>
      <c r="AS597" t="s">
        <v>11573</v>
      </c>
      <c r="AT597" t="s">
        <v>11551</v>
      </c>
      <c r="AU597">
        <v>2023</v>
      </c>
      <c r="AV597">
        <v>71</v>
      </c>
      <c r="AW597">
        <v>44</v>
      </c>
      <c r="AX597" t="s">
        <v>74</v>
      </c>
      <c r="AY597" t="s">
        <v>74</v>
      </c>
      <c r="AZ597" t="s">
        <v>74</v>
      </c>
      <c r="BA597" t="s">
        <v>74</v>
      </c>
      <c r="BB597">
        <v>16739</v>
      </c>
      <c r="BC597">
        <v>16751</v>
      </c>
      <c r="BD597" t="s">
        <v>74</v>
      </c>
      <c r="BE597" t="s">
        <v>11574</v>
      </c>
      <c r="BF597" t="str">
        <f>HYPERLINK("http://dx.doi.org/10.1021/acs.jafc.3c04999","http://dx.doi.org/10.1021/acs.jafc.3c04999")</f>
        <v>http://dx.doi.org/10.1021/acs.jafc.3c04999</v>
      </c>
      <c r="BG597" t="s">
        <v>74</v>
      </c>
      <c r="BH597" t="s">
        <v>11428</v>
      </c>
      <c r="BI597">
        <v>13</v>
      </c>
      <c r="BJ597" t="s">
        <v>11575</v>
      </c>
      <c r="BK597" t="s">
        <v>100</v>
      </c>
      <c r="BL597" t="s">
        <v>11576</v>
      </c>
      <c r="BM597" t="s">
        <v>11577</v>
      </c>
      <c r="BN597">
        <v>37897700</v>
      </c>
      <c r="BO597" t="s">
        <v>74</v>
      </c>
      <c r="BP597" t="s">
        <v>74</v>
      </c>
      <c r="BQ597" t="s">
        <v>74</v>
      </c>
      <c r="BR597" t="s">
        <v>104</v>
      </c>
      <c r="BS597" t="s">
        <v>11578</v>
      </c>
      <c r="BT597" t="str">
        <f>HYPERLINK("https%3A%2F%2Fwww.webofscience.com%2Fwos%2Fwoscc%2Ffull-record%2FWOS:001096859300001","View Full Record in Web of Science")</f>
        <v>View Full Record in Web of Science</v>
      </c>
    </row>
    <row r="598" spans="1:72" x14ac:dyDescent="0.15">
      <c r="A598" t="s">
        <v>72</v>
      </c>
      <c r="B598" t="s">
        <v>11579</v>
      </c>
      <c r="C598" t="s">
        <v>74</v>
      </c>
      <c r="D598" t="s">
        <v>74</v>
      </c>
      <c r="E598" t="s">
        <v>74</v>
      </c>
      <c r="F598" t="s">
        <v>11580</v>
      </c>
      <c r="G598" t="s">
        <v>74</v>
      </c>
      <c r="H598" t="s">
        <v>74</v>
      </c>
      <c r="I598" t="s">
        <v>11581</v>
      </c>
      <c r="J598" t="s">
        <v>11582</v>
      </c>
      <c r="K598" t="s">
        <v>74</v>
      </c>
      <c r="L598" t="s">
        <v>74</v>
      </c>
      <c r="M598" t="s">
        <v>78</v>
      </c>
      <c r="N598" t="s">
        <v>79</v>
      </c>
      <c r="O598" t="s">
        <v>74</v>
      </c>
      <c r="P598" t="s">
        <v>74</v>
      </c>
      <c r="Q598" t="s">
        <v>74</v>
      </c>
      <c r="R598" t="s">
        <v>74</v>
      </c>
      <c r="S598" t="s">
        <v>74</v>
      </c>
      <c r="T598" t="s">
        <v>11583</v>
      </c>
      <c r="U598" t="s">
        <v>11584</v>
      </c>
      <c r="V598" t="s">
        <v>11585</v>
      </c>
      <c r="W598" t="s">
        <v>11586</v>
      </c>
      <c r="X598" t="s">
        <v>11587</v>
      </c>
      <c r="Y598" t="s">
        <v>11588</v>
      </c>
      <c r="Z598" t="s">
        <v>11589</v>
      </c>
      <c r="AA598" t="s">
        <v>11590</v>
      </c>
      <c r="AB598" t="s">
        <v>11591</v>
      </c>
      <c r="AC598" t="s">
        <v>11592</v>
      </c>
      <c r="AD598" t="s">
        <v>11592</v>
      </c>
      <c r="AE598" t="s">
        <v>11593</v>
      </c>
      <c r="AF598" t="s">
        <v>74</v>
      </c>
      <c r="AG598">
        <v>31</v>
      </c>
      <c r="AH598">
        <v>2</v>
      </c>
      <c r="AI598">
        <v>2</v>
      </c>
      <c r="AJ598">
        <v>4</v>
      </c>
      <c r="AK598">
        <v>4</v>
      </c>
      <c r="AL598" t="s">
        <v>1075</v>
      </c>
      <c r="AM598" t="s">
        <v>2949</v>
      </c>
      <c r="AN598" t="s">
        <v>2950</v>
      </c>
      <c r="AO598" t="s">
        <v>11594</v>
      </c>
      <c r="AP598" t="s">
        <v>11595</v>
      </c>
      <c r="AQ598" t="s">
        <v>74</v>
      </c>
      <c r="AR598" t="s">
        <v>11596</v>
      </c>
      <c r="AS598" t="s">
        <v>11597</v>
      </c>
      <c r="AT598" t="s">
        <v>954</v>
      </c>
      <c r="AU598">
        <v>2024</v>
      </c>
      <c r="AV598">
        <v>26</v>
      </c>
      <c r="AW598">
        <v>1</v>
      </c>
      <c r="AX598" t="s">
        <v>74</v>
      </c>
      <c r="AY598" t="s">
        <v>74</v>
      </c>
      <c r="AZ598" t="s">
        <v>74</v>
      </c>
      <c r="BA598" t="s">
        <v>74</v>
      </c>
      <c r="BB598">
        <v>25</v>
      </c>
      <c r="BC598">
        <v>31</v>
      </c>
      <c r="BD598" t="s">
        <v>74</v>
      </c>
      <c r="BE598" t="s">
        <v>11598</v>
      </c>
      <c r="BF598" t="str">
        <f>HYPERLINK("http://dx.doi.org/10.1007/s10530-023-03177-2","http://dx.doi.org/10.1007/s10530-023-03177-2")</f>
        <v>http://dx.doi.org/10.1007/s10530-023-03177-2</v>
      </c>
      <c r="BG598" t="s">
        <v>74</v>
      </c>
      <c r="BH598" t="s">
        <v>11428</v>
      </c>
      <c r="BI598">
        <v>7</v>
      </c>
      <c r="BJ598" t="s">
        <v>1261</v>
      </c>
      <c r="BK598" t="s">
        <v>100</v>
      </c>
      <c r="BL598" t="s">
        <v>913</v>
      </c>
      <c r="BM598" t="s">
        <v>11599</v>
      </c>
      <c r="BN598" t="s">
        <v>74</v>
      </c>
      <c r="BO598" t="s">
        <v>103</v>
      </c>
      <c r="BP598" t="s">
        <v>74</v>
      </c>
      <c r="BQ598" t="s">
        <v>74</v>
      </c>
      <c r="BR598" t="s">
        <v>104</v>
      </c>
      <c r="BS598" t="s">
        <v>11600</v>
      </c>
      <c r="BT598" t="str">
        <f>HYPERLINK("https%3A%2F%2Fwww.webofscience.com%2Fwos%2Fwoscc%2Ffull-record%2FWOS:001093480300001","View Full Record in Web of Science")</f>
        <v>View Full Record in Web of Science</v>
      </c>
    </row>
    <row r="599" spans="1:72" x14ac:dyDescent="0.15">
      <c r="A599" t="s">
        <v>72</v>
      </c>
      <c r="B599" t="s">
        <v>11601</v>
      </c>
      <c r="C599" t="s">
        <v>74</v>
      </c>
      <c r="D599" t="s">
        <v>74</v>
      </c>
      <c r="E599" t="s">
        <v>74</v>
      </c>
      <c r="F599" t="s">
        <v>11602</v>
      </c>
      <c r="G599" t="s">
        <v>74</v>
      </c>
      <c r="H599" t="s">
        <v>74</v>
      </c>
      <c r="I599" t="s">
        <v>11603</v>
      </c>
      <c r="J599" t="s">
        <v>11604</v>
      </c>
      <c r="K599" t="s">
        <v>74</v>
      </c>
      <c r="L599" t="s">
        <v>74</v>
      </c>
      <c r="M599" t="s">
        <v>78</v>
      </c>
      <c r="N599" t="s">
        <v>79</v>
      </c>
      <c r="O599" t="s">
        <v>74</v>
      </c>
      <c r="P599" t="s">
        <v>74</v>
      </c>
      <c r="Q599" t="s">
        <v>74</v>
      </c>
      <c r="R599" t="s">
        <v>74</v>
      </c>
      <c r="S599" t="s">
        <v>74</v>
      </c>
      <c r="T599" t="s">
        <v>11605</v>
      </c>
      <c r="U599" t="s">
        <v>11606</v>
      </c>
      <c r="V599" t="s">
        <v>11607</v>
      </c>
      <c r="W599" t="s">
        <v>11608</v>
      </c>
      <c r="X599" t="s">
        <v>8421</v>
      </c>
      <c r="Y599" t="s">
        <v>11609</v>
      </c>
      <c r="Z599" t="s">
        <v>11610</v>
      </c>
      <c r="AA599" t="s">
        <v>74</v>
      </c>
      <c r="AB599" t="s">
        <v>74</v>
      </c>
      <c r="AC599" t="s">
        <v>74</v>
      </c>
      <c r="AD599" t="s">
        <v>74</v>
      </c>
      <c r="AE599" t="s">
        <v>74</v>
      </c>
      <c r="AF599" t="s">
        <v>74</v>
      </c>
      <c r="AG599">
        <v>66</v>
      </c>
      <c r="AH599">
        <v>1</v>
      </c>
      <c r="AI599">
        <v>1</v>
      </c>
      <c r="AJ599">
        <v>5</v>
      </c>
      <c r="AK599">
        <v>5</v>
      </c>
      <c r="AL599" t="s">
        <v>1075</v>
      </c>
      <c r="AM599" t="s">
        <v>1076</v>
      </c>
      <c r="AN599" t="s">
        <v>1077</v>
      </c>
      <c r="AO599" t="s">
        <v>11611</v>
      </c>
      <c r="AP599" t="s">
        <v>11612</v>
      </c>
      <c r="AQ599" t="s">
        <v>74</v>
      </c>
      <c r="AR599" t="s">
        <v>11613</v>
      </c>
      <c r="AS599" t="s">
        <v>11614</v>
      </c>
      <c r="AT599" t="s">
        <v>1947</v>
      </c>
      <c r="AU599">
        <v>2023</v>
      </c>
      <c r="AV599">
        <v>63</v>
      </c>
      <c r="AW599">
        <v>4</v>
      </c>
      <c r="AX599" t="s">
        <v>74</v>
      </c>
      <c r="AY599" t="s">
        <v>74</v>
      </c>
      <c r="AZ599" t="s">
        <v>74</v>
      </c>
      <c r="BA599" t="s">
        <v>74</v>
      </c>
      <c r="BB599">
        <v>541</v>
      </c>
      <c r="BC599">
        <v>548</v>
      </c>
      <c r="BD599" t="s">
        <v>74</v>
      </c>
      <c r="BE599" t="s">
        <v>11615</v>
      </c>
      <c r="BF599" t="str">
        <f>HYPERLINK("http://dx.doi.org/10.1007/s12088-023-01110-8","http://dx.doi.org/10.1007/s12088-023-01110-8")</f>
        <v>http://dx.doi.org/10.1007/s12088-023-01110-8</v>
      </c>
      <c r="BG599" t="s">
        <v>74</v>
      </c>
      <c r="BH599" t="s">
        <v>11428</v>
      </c>
      <c r="BI599">
        <v>8</v>
      </c>
      <c r="BJ599" t="s">
        <v>11451</v>
      </c>
      <c r="BK599" t="s">
        <v>100</v>
      </c>
      <c r="BL599" t="s">
        <v>11451</v>
      </c>
      <c r="BM599" t="s">
        <v>11616</v>
      </c>
      <c r="BN599">
        <v>38031622</v>
      </c>
      <c r="BO599" t="s">
        <v>74</v>
      </c>
      <c r="BP599" t="s">
        <v>74</v>
      </c>
      <c r="BQ599" t="s">
        <v>74</v>
      </c>
      <c r="BR599" t="s">
        <v>104</v>
      </c>
      <c r="BS599" t="s">
        <v>11617</v>
      </c>
      <c r="BT599" t="str">
        <f>HYPERLINK("https%3A%2F%2Fwww.webofscience.com%2Fwos%2Fwoscc%2Ffull-record%2FWOS:001094980900001","View Full Record in Web of Science")</f>
        <v>View Full Record in Web of Science</v>
      </c>
    </row>
    <row r="600" spans="1:72" x14ac:dyDescent="0.15">
      <c r="A600" t="s">
        <v>72</v>
      </c>
      <c r="B600" t="s">
        <v>11618</v>
      </c>
      <c r="C600" t="s">
        <v>74</v>
      </c>
      <c r="D600" t="s">
        <v>74</v>
      </c>
      <c r="E600" t="s">
        <v>74</v>
      </c>
      <c r="F600" t="s">
        <v>11619</v>
      </c>
      <c r="G600" t="s">
        <v>74</v>
      </c>
      <c r="H600" t="s">
        <v>74</v>
      </c>
      <c r="I600" t="s">
        <v>11620</v>
      </c>
      <c r="J600" t="s">
        <v>9113</v>
      </c>
      <c r="K600" t="s">
        <v>74</v>
      </c>
      <c r="L600" t="s">
        <v>74</v>
      </c>
      <c r="M600" t="s">
        <v>78</v>
      </c>
      <c r="N600" t="s">
        <v>79</v>
      </c>
      <c r="O600" t="s">
        <v>74</v>
      </c>
      <c r="P600" t="s">
        <v>74</v>
      </c>
      <c r="Q600" t="s">
        <v>74</v>
      </c>
      <c r="R600" t="s">
        <v>74</v>
      </c>
      <c r="S600" t="s">
        <v>74</v>
      </c>
      <c r="T600" t="s">
        <v>11621</v>
      </c>
      <c r="U600" t="s">
        <v>11622</v>
      </c>
      <c r="V600" t="s">
        <v>11623</v>
      </c>
      <c r="W600" t="s">
        <v>11624</v>
      </c>
      <c r="X600" t="s">
        <v>9118</v>
      </c>
      <c r="Y600" t="s">
        <v>11625</v>
      </c>
      <c r="Z600" t="s">
        <v>11626</v>
      </c>
      <c r="AA600" t="s">
        <v>11627</v>
      </c>
      <c r="AB600" t="s">
        <v>11628</v>
      </c>
      <c r="AC600" t="s">
        <v>11629</v>
      </c>
      <c r="AD600" t="s">
        <v>11630</v>
      </c>
      <c r="AE600" t="s">
        <v>11631</v>
      </c>
      <c r="AF600" t="s">
        <v>74</v>
      </c>
      <c r="AG600">
        <v>92</v>
      </c>
      <c r="AH600">
        <v>0</v>
      </c>
      <c r="AI600">
        <v>0</v>
      </c>
      <c r="AJ600">
        <v>2</v>
      </c>
      <c r="AK600">
        <v>2</v>
      </c>
      <c r="AL600" t="s">
        <v>1101</v>
      </c>
      <c r="AM600" t="s">
        <v>1102</v>
      </c>
      <c r="AN600" t="s">
        <v>1103</v>
      </c>
      <c r="AO600" t="s">
        <v>9125</v>
      </c>
      <c r="AP600" t="s">
        <v>9126</v>
      </c>
      <c r="AQ600" t="s">
        <v>74</v>
      </c>
      <c r="AR600" t="s">
        <v>9127</v>
      </c>
      <c r="AS600" t="s">
        <v>9128</v>
      </c>
      <c r="AT600" t="s">
        <v>1133</v>
      </c>
      <c r="AU600">
        <v>2024</v>
      </c>
      <c r="AV600">
        <v>60</v>
      </c>
      <c r="AW600">
        <v>1</v>
      </c>
      <c r="AX600" t="s">
        <v>74</v>
      </c>
      <c r="AY600" t="s">
        <v>74</v>
      </c>
      <c r="AZ600" t="s">
        <v>74</v>
      </c>
      <c r="BA600" t="s">
        <v>74</v>
      </c>
      <c r="BB600">
        <v>83</v>
      </c>
      <c r="BC600">
        <v>101</v>
      </c>
      <c r="BD600" t="s">
        <v>74</v>
      </c>
      <c r="BE600" t="s">
        <v>11632</v>
      </c>
      <c r="BF600" t="str">
        <f>HYPERLINK("http://dx.doi.org/10.1111/jpy.13406","http://dx.doi.org/10.1111/jpy.13406")</f>
        <v>http://dx.doi.org/10.1111/jpy.13406</v>
      </c>
      <c r="BG600" t="s">
        <v>74</v>
      </c>
      <c r="BH600" t="s">
        <v>11428</v>
      </c>
      <c r="BI600">
        <v>19</v>
      </c>
      <c r="BJ600" t="s">
        <v>1058</v>
      </c>
      <c r="BK600" t="s">
        <v>100</v>
      </c>
      <c r="BL600" t="s">
        <v>1058</v>
      </c>
      <c r="BM600" t="s">
        <v>9130</v>
      </c>
      <c r="BN600">
        <v>37897074</v>
      </c>
      <c r="BO600" t="s">
        <v>103</v>
      </c>
      <c r="BP600" t="s">
        <v>74</v>
      </c>
      <c r="BQ600" t="s">
        <v>74</v>
      </c>
      <c r="BR600" t="s">
        <v>104</v>
      </c>
      <c r="BS600" t="s">
        <v>11633</v>
      </c>
      <c r="BT600" t="str">
        <f>HYPERLINK("https%3A%2F%2Fwww.webofscience.com%2Fwos%2Fwoscc%2Ffull-record%2FWOS:001091348100001","View Full Record in Web of Science")</f>
        <v>View Full Record in Web of Science</v>
      </c>
    </row>
    <row r="601" spans="1:72" x14ac:dyDescent="0.15">
      <c r="A601" t="s">
        <v>72</v>
      </c>
      <c r="B601" t="s">
        <v>11634</v>
      </c>
      <c r="C601" t="s">
        <v>74</v>
      </c>
      <c r="D601" t="s">
        <v>74</v>
      </c>
      <c r="E601" t="s">
        <v>74</v>
      </c>
      <c r="F601" t="s">
        <v>11635</v>
      </c>
      <c r="G601" t="s">
        <v>74</v>
      </c>
      <c r="H601" t="s">
        <v>74</v>
      </c>
      <c r="I601" t="s">
        <v>11636</v>
      </c>
      <c r="J601" t="s">
        <v>1195</v>
      </c>
      <c r="K601" t="s">
        <v>74</v>
      </c>
      <c r="L601" t="s">
        <v>74</v>
      </c>
      <c r="M601" t="s">
        <v>78</v>
      </c>
      <c r="N601" t="s">
        <v>79</v>
      </c>
      <c r="O601" t="s">
        <v>74</v>
      </c>
      <c r="P601" t="s">
        <v>74</v>
      </c>
      <c r="Q601" t="s">
        <v>74</v>
      </c>
      <c r="R601" t="s">
        <v>74</v>
      </c>
      <c r="S601" t="s">
        <v>74</v>
      </c>
      <c r="T601" t="s">
        <v>11637</v>
      </c>
      <c r="U601" t="s">
        <v>11638</v>
      </c>
      <c r="V601" t="s">
        <v>11639</v>
      </c>
      <c r="W601" t="s">
        <v>11640</v>
      </c>
      <c r="X601" t="s">
        <v>11641</v>
      </c>
      <c r="Y601" t="s">
        <v>11642</v>
      </c>
      <c r="Z601" t="s">
        <v>11643</v>
      </c>
      <c r="AA601" t="s">
        <v>11644</v>
      </c>
      <c r="AB601" t="s">
        <v>11645</v>
      </c>
      <c r="AC601" t="s">
        <v>11646</v>
      </c>
      <c r="AD601" t="s">
        <v>11647</v>
      </c>
      <c r="AE601" t="s">
        <v>11648</v>
      </c>
      <c r="AF601" t="s">
        <v>74</v>
      </c>
      <c r="AG601">
        <v>47</v>
      </c>
      <c r="AH601">
        <v>0</v>
      </c>
      <c r="AI601">
        <v>0</v>
      </c>
      <c r="AJ601">
        <v>11</v>
      </c>
      <c r="AK601">
        <v>11</v>
      </c>
      <c r="AL601" t="s">
        <v>1208</v>
      </c>
      <c r="AM601" t="s">
        <v>1209</v>
      </c>
      <c r="AN601" t="s">
        <v>1210</v>
      </c>
      <c r="AO601" t="s">
        <v>1211</v>
      </c>
      <c r="AP601" t="s">
        <v>1212</v>
      </c>
      <c r="AQ601" t="s">
        <v>74</v>
      </c>
      <c r="AR601" t="s">
        <v>1213</v>
      </c>
      <c r="AS601" t="s">
        <v>1214</v>
      </c>
      <c r="AT601" t="s">
        <v>11551</v>
      </c>
      <c r="AU601">
        <v>2023</v>
      </c>
      <c r="AV601">
        <v>50</v>
      </c>
      <c r="AW601">
        <v>20</v>
      </c>
      <c r="AX601" t="s">
        <v>74</v>
      </c>
      <c r="AY601" t="s">
        <v>74</v>
      </c>
      <c r="AZ601" t="s">
        <v>74</v>
      </c>
      <c r="BA601" t="s">
        <v>74</v>
      </c>
      <c r="BB601" t="s">
        <v>74</v>
      </c>
      <c r="BC601" t="s">
        <v>74</v>
      </c>
      <c r="BD601" t="s">
        <v>11649</v>
      </c>
      <c r="BE601" t="s">
        <v>11650</v>
      </c>
      <c r="BF601" t="str">
        <f>HYPERLINK("http://dx.doi.org/10.1029/2023GL103250","http://dx.doi.org/10.1029/2023GL103250")</f>
        <v>http://dx.doi.org/10.1029/2023GL103250</v>
      </c>
      <c r="BG601" t="s">
        <v>74</v>
      </c>
      <c r="BH601" t="s">
        <v>74</v>
      </c>
      <c r="BI601">
        <v>10</v>
      </c>
      <c r="BJ601" t="s">
        <v>535</v>
      </c>
      <c r="BK601" t="s">
        <v>100</v>
      </c>
      <c r="BL601" t="s">
        <v>536</v>
      </c>
      <c r="BM601" t="s">
        <v>11651</v>
      </c>
      <c r="BN601" t="s">
        <v>74</v>
      </c>
      <c r="BO601" t="s">
        <v>103</v>
      </c>
      <c r="BP601" t="s">
        <v>74</v>
      </c>
      <c r="BQ601" t="s">
        <v>74</v>
      </c>
      <c r="BR601" t="s">
        <v>104</v>
      </c>
      <c r="BS601" t="s">
        <v>11652</v>
      </c>
      <c r="BT601" t="str">
        <f>HYPERLINK("https%3A%2F%2Fwww.webofscience.com%2Fwos%2Fwoscc%2Ffull-record%2FWOS:001089215300001","View Full Record in Web of Science")</f>
        <v>View Full Record in Web of Science</v>
      </c>
    </row>
    <row r="602" spans="1:72" x14ac:dyDescent="0.15">
      <c r="A602" t="s">
        <v>72</v>
      </c>
      <c r="B602" t="s">
        <v>11653</v>
      </c>
      <c r="C602" t="s">
        <v>74</v>
      </c>
      <c r="D602" t="s">
        <v>74</v>
      </c>
      <c r="E602" t="s">
        <v>74</v>
      </c>
      <c r="F602" t="s">
        <v>11654</v>
      </c>
      <c r="G602" t="s">
        <v>74</v>
      </c>
      <c r="H602" t="s">
        <v>74</v>
      </c>
      <c r="I602" t="s">
        <v>11655</v>
      </c>
      <c r="J602" t="s">
        <v>1195</v>
      </c>
      <c r="K602" t="s">
        <v>74</v>
      </c>
      <c r="L602" t="s">
        <v>74</v>
      </c>
      <c r="M602" t="s">
        <v>78</v>
      </c>
      <c r="N602" t="s">
        <v>79</v>
      </c>
      <c r="O602" t="s">
        <v>74</v>
      </c>
      <c r="P602" t="s">
        <v>74</v>
      </c>
      <c r="Q602" t="s">
        <v>74</v>
      </c>
      <c r="R602" t="s">
        <v>74</v>
      </c>
      <c r="S602" t="s">
        <v>74</v>
      </c>
      <c r="T602" t="s">
        <v>11656</v>
      </c>
      <c r="U602" t="s">
        <v>11657</v>
      </c>
      <c r="V602" t="s">
        <v>11658</v>
      </c>
      <c r="W602" t="s">
        <v>11659</v>
      </c>
      <c r="X602" t="s">
        <v>8923</v>
      </c>
      <c r="Y602" t="s">
        <v>11660</v>
      </c>
      <c r="Z602" t="s">
        <v>11661</v>
      </c>
      <c r="AA602" t="s">
        <v>11662</v>
      </c>
      <c r="AB602" t="s">
        <v>11663</v>
      </c>
      <c r="AC602" t="s">
        <v>11664</v>
      </c>
      <c r="AD602" t="s">
        <v>11665</v>
      </c>
      <c r="AE602" t="s">
        <v>11666</v>
      </c>
      <c r="AF602" t="s">
        <v>74</v>
      </c>
      <c r="AG602">
        <v>39</v>
      </c>
      <c r="AH602">
        <v>0</v>
      </c>
      <c r="AI602">
        <v>0</v>
      </c>
      <c r="AJ602">
        <v>4</v>
      </c>
      <c r="AK602">
        <v>4</v>
      </c>
      <c r="AL602" t="s">
        <v>1208</v>
      </c>
      <c r="AM602" t="s">
        <v>1209</v>
      </c>
      <c r="AN602" t="s">
        <v>1210</v>
      </c>
      <c r="AO602" t="s">
        <v>1211</v>
      </c>
      <c r="AP602" t="s">
        <v>1212</v>
      </c>
      <c r="AQ602" t="s">
        <v>74</v>
      </c>
      <c r="AR602" t="s">
        <v>1213</v>
      </c>
      <c r="AS602" t="s">
        <v>1214</v>
      </c>
      <c r="AT602" t="s">
        <v>11551</v>
      </c>
      <c r="AU602">
        <v>2023</v>
      </c>
      <c r="AV602">
        <v>50</v>
      </c>
      <c r="AW602">
        <v>20</v>
      </c>
      <c r="AX602" t="s">
        <v>74</v>
      </c>
      <c r="AY602" t="s">
        <v>74</v>
      </c>
      <c r="AZ602" t="s">
        <v>74</v>
      </c>
      <c r="BA602" t="s">
        <v>74</v>
      </c>
      <c r="BB602" t="s">
        <v>74</v>
      </c>
      <c r="BC602" t="s">
        <v>74</v>
      </c>
      <c r="BD602" t="s">
        <v>11667</v>
      </c>
      <c r="BE602" t="s">
        <v>11668</v>
      </c>
      <c r="BF602" t="str">
        <f>HYPERLINK("http://dx.doi.org/10.1029/2023GL104949","http://dx.doi.org/10.1029/2023GL104949")</f>
        <v>http://dx.doi.org/10.1029/2023GL104949</v>
      </c>
      <c r="BG602" t="s">
        <v>74</v>
      </c>
      <c r="BH602" t="s">
        <v>74</v>
      </c>
      <c r="BI602">
        <v>11</v>
      </c>
      <c r="BJ602" t="s">
        <v>535</v>
      </c>
      <c r="BK602" t="s">
        <v>100</v>
      </c>
      <c r="BL602" t="s">
        <v>536</v>
      </c>
      <c r="BM602" t="s">
        <v>11669</v>
      </c>
      <c r="BN602" t="s">
        <v>74</v>
      </c>
      <c r="BO602" t="s">
        <v>3040</v>
      </c>
      <c r="BP602" t="s">
        <v>74</v>
      </c>
      <c r="BQ602" t="s">
        <v>74</v>
      </c>
      <c r="BR602" t="s">
        <v>104</v>
      </c>
      <c r="BS602" t="s">
        <v>11670</v>
      </c>
      <c r="BT602" t="str">
        <f>HYPERLINK("https%3A%2F%2Fwww.webofscience.com%2Fwos%2Fwoscc%2Ffull-record%2FWOS:001087080500001","View Full Record in Web of Science")</f>
        <v>View Full Record in Web of Science</v>
      </c>
    </row>
    <row r="603" spans="1:72" x14ac:dyDescent="0.15">
      <c r="A603" t="s">
        <v>72</v>
      </c>
      <c r="B603" t="s">
        <v>11671</v>
      </c>
      <c r="C603" t="s">
        <v>74</v>
      </c>
      <c r="D603" t="s">
        <v>74</v>
      </c>
      <c r="E603" t="s">
        <v>74</v>
      </c>
      <c r="F603" t="s">
        <v>11672</v>
      </c>
      <c r="G603" t="s">
        <v>74</v>
      </c>
      <c r="H603" t="s">
        <v>74</v>
      </c>
      <c r="I603" t="s">
        <v>11673</v>
      </c>
      <c r="J603" t="s">
        <v>1195</v>
      </c>
      <c r="K603" t="s">
        <v>74</v>
      </c>
      <c r="L603" t="s">
        <v>74</v>
      </c>
      <c r="M603" t="s">
        <v>78</v>
      </c>
      <c r="N603" t="s">
        <v>79</v>
      </c>
      <c r="O603" t="s">
        <v>74</v>
      </c>
      <c r="P603" t="s">
        <v>74</v>
      </c>
      <c r="Q603" t="s">
        <v>74</v>
      </c>
      <c r="R603" t="s">
        <v>74</v>
      </c>
      <c r="S603" t="s">
        <v>74</v>
      </c>
      <c r="T603" t="s">
        <v>11674</v>
      </c>
      <c r="U603" t="s">
        <v>11675</v>
      </c>
      <c r="V603" t="s">
        <v>11676</v>
      </c>
      <c r="W603" t="s">
        <v>11677</v>
      </c>
      <c r="X603" t="s">
        <v>11678</v>
      </c>
      <c r="Y603" t="s">
        <v>11679</v>
      </c>
      <c r="Z603" t="s">
        <v>11680</v>
      </c>
      <c r="AA603" t="s">
        <v>11681</v>
      </c>
      <c r="AB603" t="s">
        <v>11682</v>
      </c>
      <c r="AC603" t="s">
        <v>11683</v>
      </c>
      <c r="AD603" t="s">
        <v>11684</v>
      </c>
      <c r="AE603" t="s">
        <v>11685</v>
      </c>
      <c r="AF603" t="s">
        <v>74</v>
      </c>
      <c r="AG603">
        <v>62</v>
      </c>
      <c r="AH603">
        <v>0</v>
      </c>
      <c r="AI603">
        <v>0</v>
      </c>
      <c r="AJ603">
        <v>11</v>
      </c>
      <c r="AK603">
        <v>11</v>
      </c>
      <c r="AL603" t="s">
        <v>1208</v>
      </c>
      <c r="AM603" t="s">
        <v>1209</v>
      </c>
      <c r="AN603" t="s">
        <v>1210</v>
      </c>
      <c r="AO603" t="s">
        <v>1211</v>
      </c>
      <c r="AP603" t="s">
        <v>1212</v>
      </c>
      <c r="AQ603" t="s">
        <v>74</v>
      </c>
      <c r="AR603" t="s">
        <v>1213</v>
      </c>
      <c r="AS603" t="s">
        <v>1214</v>
      </c>
      <c r="AT603" t="s">
        <v>11551</v>
      </c>
      <c r="AU603">
        <v>2023</v>
      </c>
      <c r="AV603">
        <v>50</v>
      </c>
      <c r="AW603">
        <v>20</v>
      </c>
      <c r="AX603" t="s">
        <v>74</v>
      </c>
      <c r="AY603" t="s">
        <v>74</v>
      </c>
      <c r="AZ603" t="s">
        <v>74</v>
      </c>
      <c r="BA603" t="s">
        <v>74</v>
      </c>
      <c r="BB603" t="s">
        <v>74</v>
      </c>
      <c r="BC603" t="s">
        <v>74</v>
      </c>
      <c r="BD603" t="s">
        <v>11686</v>
      </c>
      <c r="BE603" t="s">
        <v>11687</v>
      </c>
      <c r="BF603" t="str">
        <f>HYPERLINK("http://dx.doi.org/10.1029/2023GL104461","http://dx.doi.org/10.1029/2023GL104461")</f>
        <v>http://dx.doi.org/10.1029/2023GL104461</v>
      </c>
      <c r="BG603" t="s">
        <v>74</v>
      </c>
      <c r="BH603" t="s">
        <v>74</v>
      </c>
      <c r="BI603">
        <v>11</v>
      </c>
      <c r="BJ603" t="s">
        <v>535</v>
      </c>
      <c r="BK603" t="s">
        <v>100</v>
      </c>
      <c r="BL603" t="s">
        <v>536</v>
      </c>
      <c r="BM603" t="s">
        <v>11688</v>
      </c>
      <c r="BN603" t="s">
        <v>74</v>
      </c>
      <c r="BO603" t="s">
        <v>11689</v>
      </c>
      <c r="BP603" t="s">
        <v>74</v>
      </c>
      <c r="BQ603" t="s">
        <v>74</v>
      </c>
      <c r="BR603" t="s">
        <v>104</v>
      </c>
      <c r="BS603" t="s">
        <v>11690</v>
      </c>
      <c r="BT603" t="str">
        <f>HYPERLINK("https%3A%2F%2Fwww.webofscience.com%2Fwos%2Fwoscc%2Ffull-record%2FWOS:001087593200001","View Full Record in Web of Science")</f>
        <v>View Full Record in Web of Science</v>
      </c>
    </row>
    <row r="604" spans="1:72" x14ac:dyDescent="0.15">
      <c r="A604" t="s">
        <v>72</v>
      </c>
      <c r="B604" t="s">
        <v>11691</v>
      </c>
      <c r="C604" t="s">
        <v>74</v>
      </c>
      <c r="D604" t="s">
        <v>74</v>
      </c>
      <c r="E604" t="s">
        <v>74</v>
      </c>
      <c r="F604" t="s">
        <v>11692</v>
      </c>
      <c r="G604" t="s">
        <v>74</v>
      </c>
      <c r="H604" t="s">
        <v>74</v>
      </c>
      <c r="I604" t="s">
        <v>11693</v>
      </c>
      <c r="J604" t="s">
        <v>1195</v>
      </c>
      <c r="K604" t="s">
        <v>74</v>
      </c>
      <c r="L604" t="s">
        <v>74</v>
      </c>
      <c r="M604" t="s">
        <v>78</v>
      </c>
      <c r="N604" t="s">
        <v>79</v>
      </c>
      <c r="O604" t="s">
        <v>74</v>
      </c>
      <c r="P604" t="s">
        <v>74</v>
      </c>
      <c r="Q604" t="s">
        <v>74</v>
      </c>
      <c r="R604" t="s">
        <v>74</v>
      </c>
      <c r="S604" t="s">
        <v>74</v>
      </c>
      <c r="T604" t="s">
        <v>74</v>
      </c>
      <c r="U604" t="s">
        <v>11694</v>
      </c>
      <c r="V604" t="s">
        <v>11695</v>
      </c>
      <c r="W604" t="s">
        <v>11696</v>
      </c>
      <c r="X604" t="s">
        <v>11697</v>
      </c>
      <c r="Y604" t="s">
        <v>11698</v>
      </c>
      <c r="Z604" t="s">
        <v>11699</v>
      </c>
      <c r="AA604" t="s">
        <v>11700</v>
      </c>
      <c r="AB604" t="s">
        <v>11701</v>
      </c>
      <c r="AC604" t="s">
        <v>11702</v>
      </c>
      <c r="AD604" t="s">
        <v>11703</v>
      </c>
      <c r="AE604" t="s">
        <v>11704</v>
      </c>
      <c r="AF604" t="s">
        <v>74</v>
      </c>
      <c r="AG604">
        <v>43</v>
      </c>
      <c r="AH604">
        <v>1</v>
      </c>
      <c r="AI604">
        <v>1</v>
      </c>
      <c r="AJ604">
        <v>2</v>
      </c>
      <c r="AK604">
        <v>2</v>
      </c>
      <c r="AL604" t="s">
        <v>1208</v>
      </c>
      <c r="AM604" t="s">
        <v>1209</v>
      </c>
      <c r="AN604" t="s">
        <v>1210</v>
      </c>
      <c r="AO604" t="s">
        <v>1211</v>
      </c>
      <c r="AP604" t="s">
        <v>1212</v>
      </c>
      <c r="AQ604" t="s">
        <v>74</v>
      </c>
      <c r="AR604" t="s">
        <v>1213</v>
      </c>
      <c r="AS604" t="s">
        <v>1214</v>
      </c>
      <c r="AT604" t="s">
        <v>11551</v>
      </c>
      <c r="AU604">
        <v>2023</v>
      </c>
      <c r="AV604">
        <v>50</v>
      </c>
      <c r="AW604">
        <v>20</v>
      </c>
      <c r="AX604" t="s">
        <v>74</v>
      </c>
      <c r="AY604" t="s">
        <v>74</v>
      </c>
      <c r="AZ604" t="s">
        <v>74</v>
      </c>
      <c r="BA604" t="s">
        <v>74</v>
      </c>
      <c r="BB604" t="s">
        <v>74</v>
      </c>
      <c r="BC604" t="s">
        <v>74</v>
      </c>
      <c r="BD604" t="s">
        <v>11705</v>
      </c>
      <c r="BE604" t="s">
        <v>11706</v>
      </c>
      <c r="BF604" t="str">
        <f>HYPERLINK("http://dx.doi.org/10.1029/2023GL105139","http://dx.doi.org/10.1029/2023GL105139")</f>
        <v>http://dx.doi.org/10.1029/2023GL105139</v>
      </c>
      <c r="BG604" t="s">
        <v>74</v>
      </c>
      <c r="BH604" t="s">
        <v>74</v>
      </c>
      <c r="BI604">
        <v>10</v>
      </c>
      <c r="BJ604" t="s">
        <v>535</v>
      </c>
      <c r="BK604" t="s">
        <v>100</v>
      </c>
      <c r="BL604" t="s">
        <v>536</v>
      </c>
      <c r="BM604" t="s">
        <v>11707</v>
      </c>
      <c r="BN604" t="s">
        <v>74</v>
      </c>
      <c r="BO604" t="s">
        <v>11708</v>
      </c>
      <c r="BP604" t="s">
        <v>74</v>
      </c>
      <c r="BQ604" t="s">
        <v>74</v>
      </c>
      <c r="BR604" t="s">
        <v>104</v>
      </c>
      <c r="BS604" t="s">
        <v>11709</v>
      </c>
      <c r="BT604" t="str">
        <f>HYPERLINK("https%3A%2F%2Fwww.webofscience.com%2Fwos%2Fwoscc%2Ffull-record%2FWOS:001086212300001","View Full Record in Web of Science")</f>
        <v>View Full Record in Web of Science</v>
      </c>
    </row>
    <row r="605" spans="1:72" x14ac:dyDescent="0.15">
      <c r="A605" t="s">
        <v>72</v>
      </c>
      <c r="B605" t="s">
        <v>11710</v>
      </c>
      <c r="C605" t="s">
        <v>74</v>
      </c>
      <c r="D605" t="s">
        <v>74</v>
      </c>
      <c r="E605" t="s">
        <v>74</v>
      </c>
      <c r="F605" t="s">
        <v>11711</v>
      </c>
      <c r="G605" t="s">
        <v>74</v>
      </c>
      <c r="H605" t="s">
        <v>74</v>
      </c>
      <c r="I605" t="s">
        <v>11712</v>
      </c>
      <c r="J605" t="s">
        <v>1195</v>
      </c>
      <c r="K605" t="s">
        <v>74</v>
      </c>
      <c r="L605" t="s">
        <v>74</v>
      </c>
      <c r="M605" t="s">
        <v>78</v>
      </c>
      <c r="N605" t="s">
        <v>79</v>
      </c>
      <c r="O605" t="s">
        <v>74</v>
      </c>
      <c r="P605" t="s">
        <v>74</v>
      </c>
      <c r="Q605" t="s">
        <v>74</v>
      </c>
      <c r="R605" t="s">
        <v>74</v>
      </c>
      <c r="S605" t="s">
        <v>74</v>
      </c>
      <c r="T605" t="s">
        <v>11713</v>
      </c>
      <c r="U605" t="s">
        <v>11714</v>
      </c>
      <c r="V605" t="s">
        <v>11715</v>
      </c>
      <c r="W605" t="s">
        <v>11716</v>
      </c>
      <c r="X605" t="s">
        <v>11717</v>
      </c>
      <c r="Y605" t="s">
        <v>11718</v>
      </c>
      <c r="Z605" t="s">
        <v>11719</v>
      </c>
      <c r="AA605" t="s">
        <v>74</v>
      </c>
      <c r="AB605" t="s">
        <v>11720</v>
      </c>
      <c r="AC605" t="s">
        <v>11721</v>
      </c>
      <c r="AD605" t="s">
        <v>11722</v>
      </c>
      <c r="AE605" t="s">
        <v>11723</v>
      </c>
      <c r="AF605" t="s">
        <v>74</v>
      </c>
      <c r="AG605">
        <v>76</v>
      </c>
      <c r="AH605">
        <v>0</v>
      </c>
      <c r="AI605">
        <v>0</v>
      </c>
      <c r="AJ605">
        <v>9</v>
      </c>
      <c r="AK605">
        <v>9</v>
      </c>
      <c r="AL605" t="s">
        <v>1208</v>
      </c>
      <c r="AM605" t="s">
        <v>1209</v>
      </c>
      <c r="AN605" t="s">
        <v>1210</v>
      </c>
      <c r="AO605" t="s">
        <v>1211</v>
      </c>
      <c r="AP605" t="s">
        <v>1212</v>
      </c>
      <c r="AQ605" t="s">
        <v>74</v>
      </c>
      <c r="AR605" t="s">
        <v>1213</v>
      </c>
      <c r="AS605" t="s">
        <v>1214</v>
      </c>
      <c r="AT605" t="s">
        <v>11551</v>
      </c>
      <c r="AU605">
        <v>2023</v>
      </c>
      <c r="AV605">
        <v>50</v>
      </c>
      <c r="AW605">
        <v>20</v>
      </c>
      <c r="AX605" t="s">
        <v>74</v>
      </c>
      <c r="AY605" t="s">
        <v>74</v>
      </c>
      <c r="AZ605" t="s">
        <v>74</v>
      </c>
      <c r="BA605" t="s">
        <v>74</v>
      </c>
      <c r="BB605" t="s">
        <v>74</v>
      </c>
      <c r="BC605" t="s">
        <v>74</v>
      </c>
      <c r="BD605" t="s">
        <v>11724</v>
      </c>
      <c r="BE605" t="s">
        <v>11725</v>
      </c>
      <c r="BF605" t="str">
        <f>HYPERLINK("http://dx.doi.org/10.1029/2023GL104688","http://dx.doi.org/10.1029/2023GL104688")</f>
        <v>http://dx.doi.org/10.1029/2023GL104688</v>
      </c>
      <c r="BG605" t="s">
        <v>74</v>
      </c>
      <c r="BH605" t="s">
        <v>74</v>
      </c>
      <c r="BI605">
        <v>12</v>
      </c>
      <c r="BJ605" t="s">
        <v>535</v>
      </c>
      <c r="BK605" t="s">
        <v>100</v>
      </c>
      <c r="BL605" t="s">
        <v>536</v>
      </c>
      <c r="BM605" t="s">
        <v>11726</v>
      </c>
      <c r="BN605" t="s">
        <v>74</v>
      </c>
      <c r="BO605" t="s">
        <v>1356</v>
      </c>
      <c r="BP605" t="s">
        <v>74</v>
      </c>
      <c r="BQ605" t="s">
        <v>74</v>
      </c>
      <c r="BR605" t="s">
        <v>104</v>
      </c>
      <c r="BS605" t="s">
        <v>11727</v>
      </c>
      <c r="BT605" t="str">
        <f>HYPERLINK("https%3A%2F%2Fwww.webofscience.com%2Fwos%2Fwoscc%2Ffull-record%2FWOS:001084236100001","View Full Record in Web of Science")</f>
        <v>View Full Record in Web of Science</v>
      </c>
    </row>
    <row r="606" spans="1:72" x14ac:dyDescent="0.15">
      <c r="A606" t="s">
        <v>72</v>
      </c>
      <c r="B606" t="s">
        <v>11728</v>
      </c>
      <c r="C606" t="s">
        <v>74</v>
      </c>
      <c r="D606" t="s">
        <v>74</v>
      </c>
      <c r="E606" t="s">
        <v>74</v>
      </c>
      <c r="F606" t="s">
        <v>11729</v>
      </c>
      <c r="G606" t="s">
        <v>74</v>
      </c>
      <c r="H606" t="s">
        <v>74</v>
      </c>
      <c r="I606" t="s">
        <v>11730</v>
      </c>
      <c r="J606" t="s">
        <v>3287</v>
      </c>
      <c r="K606" t="s">
        <v>74</v>
      </c>
      <c r="L606" t="s">
        <v>74</v>
      </c>
      <c r="M606" t="s">
        <v>78</v>
      </c>
      <c r="N606" t="s">
        <v>79</v>
      </c>
      <c r="O606" t="s">
        <v>74</v>
      </c>
      <c r="P606" t="s">
        <v>74</v>
      </c>
      <c r="Q606" t="s">
        <v>74</v>
      </c>
      <c r="R606" t="s">
        <v>74</v>
      </c>
      <c r="S606" t="s">
        <v>74</v>
      </c>
      <c r="T606" t="s">
        <v>74</v>
      </c>
      <c r="U606" t="s">
        <v>11731</v>
      </c>
      <c r="V606" t="s">
        <v>11732</v>
      </c>
      <c r="W606" t="s">
        <v>11733</v>
      </c>
      <c r="X606" t="s">
        <v>11734</v>
      </c>
      <c r="Y606" t="s">
        <v>11735</v>
      </c>
      <c r="Z606" t="s">
        <v>11736</v>
      </c>
      <c r="AA606" t="s">
        <v>8177</v>
      </c>
      <c r="AB606" t="s">
        <v>11737</v>
      </c>
      <c r="AC606" t="s">
        <v>11738</v>
      </c>
      <c r="AD606" t="s">
        <v>11739</v>
      </c>
      <c r="AE606" t="s">
        <v>11740</v>
      </c>
      <c r="AF606" t="s">
        <v>74</v>
      </c>
      <c r="AG606">
        <v>58</v>
      </c>
      <c r="AH606">
        <v>0</v>
      </c>
      <c r="AI606">
        <v>0</v>
      </c>
      <c r="AJ606">
        <v>2</v>
      </c>
      <c r="AK606">
        <v>2</v>
      </c>
      <c r="AL606" t="s">
        <v>1710</v>
      </c>
      <c r="AM606" t="s">
        <v>1209</v>
      </c>
      <c r="AN606" t="s">
        <v>1711</v>
      </c>
      <c r="AO606" t="s">
        <v>3297</v>
      </c>
      <c r="AP606" t="s">
        <v>74</v>
      </c>
      <c r="AQ606" t="s">
        <v>74</v>
      </c>
      <c r="AR606" t="s">
        <v>3298</v>
      </c>
      <c r="AS606" t="s">
        <v>3299</v>
      </c>
      <c r="AT606" t="s">
        <v>11741</v>
      </c>
      <c r="AU606">
        <v>2023</v>
      </c>
      <c r="AV606">
        <v>9</v>
      </c>
      <c r="AW606">
        <v>43</v>
      </c>
      <c r="AX606" t="s">
        <v>74</v>
      </c>
      <c r="AY606" t="s">
        <v>74</v>
      </c>
      <c r="AZ606" t="s">
        <v>74</v>
      </c>
      <c r="BA606" t="s">
        <v>74</v>
      </c>
      <c r="BB606" t="s">
        <v>74</v>
      </c>
      <c r="BC606" t="s">
        <v>74</v>
      </c>
      <c r="BD606" t="s">
        <v>11742</v>
      </c>
      <c r="BE606" t="s">
        <v>11743</v>
      </c>
      <c r="BF606" t="str">
        <f>HYPERLINK("http://dx.doi.org/10.1126/sciadv.adi9014","http://dx.doi.org/10.1126/sciadv.adi9014")</f>
        <v>http://dx.doi.org/10.1126/sciadv.adi9014</v>
      </c>
      <c r="BG606" t="s">
        <v>74</v>
      </c>
      <c r="BH606" t="s">
        <v>74</v>
      </c>
      <c r="BI606">
        <v>12</v>
      </c>
      <c r="BJ606" t="s">
        <v>1035</v>
      </c>
      <c r="BK606" t="s">
        <v>100</v>
      </c>
      <c r="BL606" t="s">
        <v>1036</v>
      </c>
      <c r="BM606" t="s">
        <v>11744</v>
      </c>
      <c r="BN606">
        <v>37889971</v>
      </c>
      <c r="BO606" t="s">
        <v>265</v>
      </c>
      <c r="BP606" t="s">
        <v>74</v>
      </c>
      <c r="BQ606" t="s">
        <v>74</v>
      </c>
      <c r="BR606" t="s">
        <v>104</v>
      </c>
      <c r="BS606" t="s">
        <v>11745</v>
      </c>
      <c r="BT606" t="str">
        <f>HYPERLINK("https%3A%2F%2Fwww.webofscience.com%2Fwos%2Fwoscc%2Ffull-record%2FWOS:001142878200015","View Full Record in Web of Science")</f>
        <v>View Full Record in Web of Science</v>
      </c>
    </row>
    <row r="607" spans="1:72" x14ac:dyDescent="0.15">
      <c r="A607" t="s">
        <v>72</v>
      </c>
      <c r="B607" t="s">
        <v>11746</v>
      </c>
      <c r="C607" t="s">
        <v>74</v>
      </c>
      <c r="D607" t="s">
        <v>74</v>
      </c>
      <c r="E607" t="s">
        <v>74</v>
      </c>
      <c r="F607" t="s">
        <v>11747</v>
      </c>
      <c r="G607" t="s">
        <v>74</v>
      </c>
      <c r="H607" t="s">
        <v>74</v>
      </c>
      <c r="I607" t="s">
        <v>11748</v>
      </c>
      <c r="J607" t="s">
        <v>3287</v>
      </c>
      <c r="K607" t="s">
        <v>74</v>
      </c>
      <c r="L607" t="s">
        <v>74</v>
      </c>
      <c r="M607" t="s">
        <v>78</v>
      </c>
      <c r="N607" t="s">
        <v>79</v>
      </c>
      <c r="O607" t="s">
        <v>74</v>
      </c>
      <c r="P607" t="s">
        <v>74</v>
      </c>
      <c r="Q607" t="s">
        <v>74</v>
      </c>
      <c r="R607" t="s">
        <v>74</v>
      </c>
      <c r="S607" t="s">
        <v>74</v>
      </c>
      <c r="T607" t="s">
        <v>74</v>
      </c>
      <c r="U607" t="s">
        <v>11749</v>
      </c>
      <c r="V607" t="s">
        <v>11750</v>
      </c>
      <c r="W607" t="s">
        <v>11751</v>
      </c>
      <c r="X607" t="s">
        <v>11752</v>
      </c>
      <c r="Y607" t="s">
        <v>11753</v>
      </c>
      <c r="Z607" t="s">
        <v>11754</v>
      </c>
      <c r="AA607" t="s">
        <v>74</v>
      </c>
      <c r="AB607" t="s">
        <v>11755</v>
      </c>
      <c r="AC607" t="s">
        <v>11756</v>
      </c>
      <c r="AD607" t="s">
        <v>11757</v>
      </c>
      <c r="AE607" t="s">
        <v>11758</v>
      </c>
      <c r="AF607" t="s">
        <v>74</v>
      </c>
      <c r="AG607">
        <v>80</v>
      </c>
      <c r="AH607">
        <v>1</v>
      </c>
      <c r="AI607">
        <v>1</v>
      </c>
      <c r="AJ607">
        <v>4</v>
      </c>
      <c r="AK607">
        <v>4</v>
      </c>
      <c r="AL607" t="s">
        <v>1710</v>
      </c>
      <c r="AM607" t="s">
        <v>1209</v>
      </c>
      <c r="AN607" t="s">
        <v>1711</v>
      </c>
      <c r="AO607" t="s">
        <v>3297</v>
      </c>
      <c r="AP607" t="s">
        <v>74</v>
      </c>
      <c r="AQ607" t="s">
        <v>74</v>
      </c>
      <c r="AR607" t="s">
        <v>3298</v>
      </c>
      <c r="AS607" t="s">
        <v>3299</v>
      </c>
      <c r="AT607" t="s">
        <v>11741</v>
      </c>
      <c r="AU607">
        <v>2023</v>
      </c>
      <c r="AV607">
        <v>9</v>
      </c>
      <c r="AW607">
        <v>43</v>
      </c>
      <c r="AX607" t="s">
        <v>74</v>
      </c>
      <c r="AY607" t="s">
        <v>74</v>
      </c>
      <c r="AZ607" t="s">
        <v>74</v>
      </c>
      <c r="BA607" t="s">
        <v>74</v>
      </c>
      <c r="BB607" t="s">
        <v>74</v>
      </c>
      <c r="BC607" t="s">
        <v>74</v>
      </c>
      <c r="BD607" t="s">
        <v>11759</v>
      </c>
      <c r="BE607" t="s">
        <v>11760</v>
      </c>
      <c r="BF607" t="str">
        <f>HYPERLINK("http://dx.doi.org/10.1126/sciadv.adi7638","http://dx.doi.org/10.1126/sciadv.adi7638")</f>
        <v>http://dx.doi.org/10.1126/sciadv.adi7638</v>
      </c>
      <c r="BG607" t="s">
        <v>74</v>
      </c>
      <c r="BH607" t="s">
        <v>74</v>
      </c>
      <c r="BI607">
        <v>17</v>
      </c>
      <c r="BJ607" t="s">
        <v>1035</v>
      </c>
      <c r="BK607" t="s">
        <v>100</v>
      </c>
      <c r="BL607" t="s">
        <v>1036</v>
      </c>
      <c r="BM607" t="s">
        <v>11744</v>
      </c>
      <c r="BN607">
        <v>37889975</v>
      </c>
      <c r="BO607" t="s">
        <v>131</v>
      </c>
      <c r="BP607" t="s">
        <v>74</v>
      </c>
      <c r="BQ607" t="s">
        <v>74</v>
      </c>
      <c r="BR607" t="s">
        <v>104</v>
      </c>
      <c r="BS607" t="s">
        <v>11761</v>
      </c>
      <c r="BT607" t="str">
        <f>HYPERLINK("https%3A%2F%2Fwww.webofscience.com%2Fwos%2Fwoscc%2Ffull-record%2FWOS:001142878200005","View Full Record in Web of Science")</f>
        <v>View Full Record in Web of Science</v>
      </c>
    </row>
    <row r="608" spans="1:72" x14ac:dyDescent="0.15">
      <c r="A608" t="s">
        <v>72</v>
      </c>
      <c r="B608" t="s">
        <v>11762</v>
      </c>
      <c r="C608" t="s">
        <v>74</v>
      </c>
      <c r="D608" t="s">
        <v>74</v>
      </c>
      <c r="E608" t="s">
        <v>74</v>
      </c>
      <c r="F608" t="s">
        <v>11763</v>
      </c>
      <c r="G608" t="s">
        <v>74</v>
      </c>
      <c r="H608" t="s">
        <v>74</v>
      </c>
      <c r="I608" t="s">
        <v>11764</v>
      </c>
      <c r="J608" t="s">
        <v>962</v>
      </c>
      <c r="K608" t="s">
        <v>74</v>
      </c>
      <c r="L608" t="s">
        <v>74</v>
      </c>
      <c r="M608" t="s">
        <v>78</v>
      </c>
      <c r="N608" t="s">
        <v>79</v>
      </c>
      <c r="O608" t="s">
        <v>74</v>
      </c>
      <c r="P608" t="s">
        <v>74</v>
      </c>
      <c r="Q608" t="s">
        <v>74</v>
      </c>
      <c r="R608" t="s">
        <v>74</v>
      </c>
      <c r="S608" t="s">
        <v>74</v>
      </c>
      <c r="T608" t="s">
        <v>11765</v>
      </c>
      <c r="U608" t="s">
        <v>11766</v>
      </c>
      <c r="V608" t="s">
        <v>11767</v>
      </c>
      <c r="W608" t="s">
        <v>11768</v>
      </c>
      <c r="X608" t="s">
        <v>11769</v>
      </c>
      <c r="Y608" t="s">
        <v>11770</v>
      </c>
      <c r="Z608" t="s">
        <v>11771</v>
      </c>
      <c r="AA608" t="s">
        <v>74</v>
      </c>
      <c r="AB608" t="s">
        <v>74</v>
      </c>
      <c r="AC608" t="s">
        <v>11772</v>
      </c>
      <c r="AD608" t="s">
        <v>11773</v>
      </c>
      <c r="AE608" t="s">
        <v>11774</v>
      </c>
      <c r="AF608" t="s">
        <v>74</v>
      </c>
      <c r="AG608">
        <v>161</v>
      </c>
      <c r="AH608">
        <v>0</v>
      </c>
      <c r="AI608">
        <v>0</v>
      </c>
      <c r="AJ608">
        <v>2</v>
      </c>
      <c r="AK608">
        <v>2</v>
      </c>
      <c r="AL608" t="s">
        <v>975</v>
      </c>
      <c r="AM608" t="s">
        <v>976</v>
      </c>
      <c r="AN608" t="s">
        <v>977</v>
      </c>
      <c r="AO608" t="s">
        <v>978</v>
      </c>
      <c r="AP608" t="s">
        <v>979</v>
      </c>
      <c r="AQ608" t="s">
        <v>74</v>
      </c>
      <c r="AR608" t="s">
        <v>980</v>
      </c>
      <c r="AS608" t="s">
        <v>981</v>
      </c>
      <c r="AT608" t="s">
        <v>9002</v>
      </c>
      <c r="AU608">
        <v>2023</v>
      </c>
      <c r="AV608">
        <v>320</v>
      </c>
      <c r="AW608" t="s">
        <v>74</v>
      </c>
      <c r="AX608" t="s">
        <v>74</v>
      </c>
      <c r="AY608" t="s">
        <v>74</v>
      </c>
      <c r="AZ608" t="s">
        <v>74</v>
      </c>
      <c r="BA608" t="s">
        <v>74</v>
      </c>
      <c r="BB608" t="s">
        <v>74</v>
      </c>
      <c r="BC608" t="s">
        <v>74</v>
      </c>
      <c r="BD608">
        <v>108328</v>
      </c>
      <c r="BE608" t="s">
        <v>11775</v>
      </c>
      <c r="BF608" t="str">
        <f>HYPERLINK("http://dx.doi.org/10.1016/j.quascirev.2023.108328","http://dx.doi.org/10.1016/j.quascirev.2023.108328")</f>
        <v>http://dx.doi.org/10.1016/j.quascirev.2023.108328</v>
      </c>
      <c r="BG608" t="s">
        <v>74</v>
      </c>
      <c r="BH608" t="s">
        <v>11428</v>
      </c>
      <c r="BI608">
        <v>19</v>
      </c>
      <c r="BJ608" t="s">
        <v>984</v>
      </c>
      <c r="BK608" t="s">
        <v>100</v>
      </c>
      <c r="BL608" t="s">
        <v>985</v>
      </c>
      <c r="BM608" t="s">
        <v>11776</v>
      </c>
      <c r="BN608" t="s">
        <v>74</v>
      </c>
      <c r="BO608" t="s">
        <v>11777</v>
      </c>
      <c r="BP608" t="s">
        <v>74</v>
      </c>
      <c r="BQ608" t="s">
        <v>74</v>
      </c>
      <c r="BR608" t="s">
        <v>104</v>
      </c>
      <c r="BS608" t="s">
        <v>11778</v>
      </c>
      <c r="BT608" t="str">
        <f>HYPERLINK("https%3A%2F%2Fwww.webofscience.com%2Fwos%2Fwoscc%2Ffull-record%2FWOS:001107003700001","View Full Record in Web of Science")</f>
        <v>View Full Record in Web of Science</v>
      </c>
    </row>
    <row r="609" spans="1:72" x14ac:dyDescent="0.15">
      <c r="A609" t="s">
        <v>72</v>
      </c>
      <c r="B609" t="s">
        <v>11779</v>
      </c>
      <c r="C609" t="s">
        <v>74</v>
      </c>
      <c r="D609" t="s">
        <v>74</v>
      </c>
      <c r="E609" t="s">
        <v>74</v>
      </c>
      <c r="F609" t="s">
        <v>11780</v>
      </c>
      <c r="G609" t="s">
        <v>74</v>
      </c>
      <c r="H609" t="s">
        <v>74</v>
      </c>
      <c r="I609" t="s">
        <v>11781</v>
      </c>
      <c r="J609" t="s">
        <v>1116</v>
      </c>
      <c r="K609" t="s">
        <v>74</v>
      </c>
      <c r="L609" t="s">
        <v>74</v>
      </c>
      <c r="M609" t="s">
        <v>78</v>
      </c>
      <c r="N609" t="s">
        <v>79</v>
      </c>
      <c r="O609" t="s">
        <v>74</v>
      </c>
      <c r="P609" t="s">
        <v>74</v>
      </c>
      <c r="Q609" t="s">
        <v>74</v>
      </c>
      <c r="R609" t="s">
        <v>74</v>
      </c>
      <c r="S609" t="s">
        <v>74</v>
      </c>
      <c r="T609" t="s">
        <v>11782</v>
      </c>
      <c r="U609" t="s">
        <v>11783</v>
      </c>
      <c r="V609" t="s">
        <v>11784</v>
      </c>
      <c r="W609" t="s">
        <v>11785</v>
      </c>
      <c r="X609" t="s">
        <v>11786</v>
      </c>
      <c r="Y609" t="s">
        <v>11787</v>
      </c>
      <c r="Z609" t="s">
        <v>11788</v>
      </c>
      <c r="AA609" t="s">
        <v>11789</v>
      </c>
      <c r="AB609" t="s">
        <v>11790</v>
      </c>
      <c r="AC609" t="s">
        <v>11791</v>
      </c>
      <c r="AD609" t="s">
        <v>11792</v>
      </c>
      <c r="AE609" t="s">
        <v>11793</v>
      </c>
      <c r="AF609" t="s">
        <v>74</v>
      </c>
      <c r="AG609">
        <v>84</v>
      </c>
      <c r="AH609">
        <v>1</v>
      </c>
      <c r="AI609">
        <v>1</v>
      </c>
      <c r="AJ609">
        <v>4</v>
      </c>
      <c r="AK609">
        <v>4</v>
      </c>
      <c r="AL609" t="s">
        <v>975</v>
      </c>
      <c r="AM609" t="s">
        <v>976</v>
      </c>
      <c r="AN609" t="s">
        <v>977</v>
      </c>
      <c r="AO609" t="s">
        <v>1129</v>
      </c>
      <c r="AP609" t="s">
        <v>1130</v>
      </c>
      <c r="AQ609" t="s">
        <v>74</v>
      </c>
      <c r="AR609" t="s">
        <v>1131</v>
      </c>
      <c r="AS609" t="s">
        <v>1132</v>
      </c>
      <c r="AT609" t="s">
        <v>1947</v>
      </c>
      <c r="AU609">
        <v>2023</v>
      </c>
      <c r="AV609">
        <v>197</v>
      </c>
      <c r="AW609" t="s">
        <v>74</v>
      </c>
      <c r="AX609" t="s">
        <v>74</v>
      </c>
      <c r="AY609" t="s">
        <v>74</v>
      </c>
      <c r="AZ609" t="s">
        <v>74</v>
      </c>
      <c r="BA609" t="s">
        <v>74</v>
      </c>
      <c r="BB609" t="s">
        <v>74</v>
      </c>
      <c r="BC609" t="s">
        <v>74</v>
      </c>
      <c r="BD609">
        <v>115688</v>
      </c>
      <c r="BE609" t="s">
        <v>11794</v>
      </c>
      <c r="BF609" t="str">
        <f>HYPERLINK("http://dx.doi.org/10.1016/j.marpolbul.2023.115688","http://dx.doi.org/10.1016/j.marpolbul.2023.115688")</f>
        <v>http://dx.doi.org/10.1016/j.marpolbul.2023.115688</v>
      </c>
      <c r="BG609" t="s">
        <v>74</v>
      </c>
      <c r="BH609" t="s">
        <v>11428</v>
      </c>
      <c r="BI609">
        <v>11</v>
      </c>
      <c r="BJ609" t="s">
        <v>1135</v>
      </c>
      <c r="BK609" t="s">
        <v>100</v>
      </c>
      <c r="BL609" t="s">
        <v>1136</v>
      </c>
      <c r="BM609" t="s">
        <v>11795</v>
      </c>
      <c r="BN609" t="s">
        <v>74</v>
      </c>
      <c r="BO609" t="s">
        <v>74</v>
      </c>
      <c r="BP609" t="s">
        <v>74</v>
      </c>
      <c r="BQ609" t="s">
        <v>74</v>
      </c>
      <c r="BR609" t="s">
        <v>104</v>
      </c>
      <c r="BS609" t="s">
        <v>11796</v>
      </c>
      <c r="BT609" t="str">
        <f>HYPERLINK("https%3A%2F%2Fwww.webofscience.com%2Fwos%2Fwoscc%2Ffull-record%2FWOS:001107815500001","View Full Record in Web of Science")</f>
        <v>View Full Record in Web of Science</v>
      </c>
    </row>
    <row r="610" spans="1:72" x14ac:dyDescent="0.15">
      <c r="A610" t="s">
        <v>72</v>
      </c>
      <c r="B610" t="s">
        <v>11797</v>
      </c>
      <c r="C610" t="s">
        <v>74</v>
      </c>
      <c r="D610" t="s">
        <v>74</v>
      </c>
      <c r="E610" t="s">
        <v>74</v>
      </c>
      <c r="F610" t="s">
        <v>11798</v>
      </c>
      <c r="G610" t="s">
        <v>74</v>
      </c>
      <c r="H610" t="s">
        <v>74</v>
      </c>
      <c r="I610" t="s">
        <v>11799</v>
      </c>
      <c r="J610" t="s">
        <v>9266</v>
      </c>
      <c r="K610" t="s">
        <v>74</v>
      </c>
      <c r="L610" t="s">
        <v>74</v>
      </c>
      <c r="M610" t="s">
        <v>78</v>
      </c>
      <c r="N610" t="s">
        <v>79</v>
      </c>
      <c r="O610" t="s">
        <v>74</v>
      </c>
      <c r="P610" t="s">
        <v>74</v>
      </c>
      <c r="Q610" t="s">
        <v>74</v>
      </c>
      <c r="R610" t="s">
        <v>74</v>
      </c>
      <c r="S610" t="s">
        <v>74</v>
      </c>
      <c r="T610" t="s">
        <v>74</v>
      </c>
      <c r="U610" t="s">
        <v>11800</v>
      </c>
      <c r="V610" t="s">
        <v>11801</v>
      </c>
      <c r="W610" t="s">
        <v>11802</v>
      </c>
      <c r="X610" t="s">
        <v>11803</v>
      </c>
      <c r="Y610" t="s">
        <v>11804</v>
      </c>
      <c r="Z610" t="s">
        <v>11788</v>
      </c>
      <c r="AA610" t="s">
        <v>11805</v>
      </c>
      <c r="AB610" t="s">
        <v>11806</v>
      </c>
      <c r="AC610" t="s">
        <v>11807</v>
      </c>
      <c r="AD610" t="s">
        <v>11808</v>
      </c>
      <c r="AE610" t="s">
        <v>11809</v>
      </c>
      <c r="AF610" t="s">
        <v>74</v>
      </c>
      <c r="AG610">
        <v>149</v>
      </c>
      <c r="AH610">
        <v>0</v>
      </c>
      <c r="AI610">
        <v>0</v>
      </c>
      <c r="AJ610">
        <v>28</v>
      </c>
      <c r="AK610">
        <v>28</v>
      </c>
      <c r="AL610" t="s">
        <v>1101</v>
      </c>
      <c r="AM610" t="s">
        <v>1102</v>
      </c>
      <c r="AN610" t="s">
        <v>1103</v>
      </c>
      <c r="AO610" t="s">
        <v>9278</v>
      </c>
      <c r="AP610" t="s">
        <v>9279</v>
      </c>
      <c r="AQ610" t="s">
        <v>74</v>
      </c>
      <c r="AR610" t="s">
        <v>9280</v>
      </c>
      <c r="AS610" t="s">
        <v>9281</v>
      </c>
      <c r="AT610" t="s">
        <v>1947</v>
      </c>
      <c r="AU610">
        <v>2023</v>
      </c>
      <c r="AV610">
        <v>25</v>
      </c>
      <c r="AW610">
        <v>12</v>
      </c>
      <c r="AX610" t="s">
        <v>74</v>
      </c>
      <c r="AY610" t="s">
        <v>74</v>
      </c>
      <c r="AZ610" t="s">
        <v>74</v>
      </c>
      <c r="BA610" t="s">
        <v>74</v>
      </c>
      <c r="BB610">
        <v>3364</v>
      </c>
      <c r="BC610">
        <v>3386</v>
      </c>
      <c r="BD610" t="s">
        <v>74</v>
      </c>
      <c r="BE610" t="s">
        <v>11810</v>
      </c>
      <c r="BF610" t="str">
        <f>HYPERLINK("http://dx.doi.org/10.1111/1462-2920.16526","http://dx.doi.org/10.1111/1462-2920.16526")</f>
        <v>http://dx.doi.org/10.1111/1462-2920.16526</v>
      </c>
      <c r="BG610" t="s">
        <v>74</v>
      </c>
      <c r="BH610" t="s">
        <v>11428</v>
      </c>
      <c r="BI610">
        <v>23</v>
      </c>
      <c r="BJ610" t="s">
        <v>1084</v>
      </c>
      <c r="BK610" t="s">
        <v>100</v>
      </c>
      <c r="BL610" t="s">
        <v>1084</v>
      </c>
      <c r="BM610" t="s">
        <v>11811</v>
      </c>
      <c r="BN610">
        <v>37897125</v>
      </c>
      <c r="BO610" t="s">
        <v>103</v>
      </c>
      <c r="BP610" t="s">
        <v>74</v>
      </c>
      <c r="BQ610" t="s">
        <v>74</v>
      </c>
      <c r="BR610" t="s">
        <v>104</v>
      </c>
      <c r="BS610" t="s">
        <v>11812</v>
      </c>
      <c r="BT610" t="str">
        <f>HYPERLINK("https%3A%2F%2Fwww.webofscience.com%2Fwos%2Fwoscc%2Ffull-record%2FWOS:001092065200001","View Full Record in Web of Science")</f>
        <v>View Full Record in Web of Science</v>
      </c>
    </row>
    <row r="611" spans="1:72" x14ac:dyDescent="0.15">
      <c r="A611" t="s">
        <v>72</v>
      </c>
      <c r="B611" t="s">
        <v>11813</v>
      </c>
      <c r="C611" t="s">
        <v>74</v>
      </c>
      <c r="D611" t="s">
        <v>74</v>
      </c>
      <c r="E611" t="s">
        <v>74</v>
      </c>
      <c r="F611" t="s">
        <v>11814</v>
      </c>
      <c r="G611" t="s">
        <v>74</v>
      </c>
      <c r="H611" t="s">
        <v>74</v>
      </c>
      <c r="I611" t="s">
        <v>11815</v>
      </c>
      <c r="J611" t="s">
        <v>1243</v>
      </c>
      <c r="K611" t="s">
        <v>74</v>
      </c>
      <c r="L611" t="s">
        <v>74</v>
      </c>
      <c r="M611" t="s">
        <v>78</v>
      </c>
      <c r="N611" t="s">
        <v>79</v>
      </c>
      <c r="O611" t="s">
        <v>74</v>
      </c>
      <c r="P611" t="s">
        <v>74</v>
      </c>
      <c r="Q611" t="s">
        <v>74</v>
      </c>
      <c r="R611" t="s">
        <v>74</v>
      </c>
      <c r="S611" t="s">
        <v>74</v>
      </c>
      <c r="T611" t="s">
        <v>11816</v>
      </c>
      <c r="U611" t="s">
        <v>11817</v>
      </c>
      <c r="V611" t="s">
        <v>11818</v>
      </c>
      <c r="W611" t="s">
        <v>11819</v>
      </c>
      <c r="X611" t="s">
        <v>11820</v>
      </c>
      <c r="Y611" t="s">
        <v>11821</v>
      </c>
      <c r="Z611" t="s">
        <v>11822</v>
      </c>
      <c r="AA611" t="s">
        <v>11823</v>
      </c>
      <c r="AB611" t="s">
        <v>11824</v>
      </c>
      <c r="AC611" t="s">
        <v>11825</v>
      </c>
      <c r="AD611" t="s">
        <v>11826</v>
      </c>
      <c r="AE611" t="s">
        <v>11827</v>
      </c>
      <c r="AF611" t="s">
        <v>74</v>
      </c>
      <c r="AG611">
        <v>49</v>
      </c>
      <c r="AH611">
        <v>1</v>
      </c>
      <c r="AI611">
        <v>1</v>
      </c>
      <c r="AJ611">
        <v>4</v>
      </c>
      <c r="AK611">
        <v>4</v>
      </c>
      <c r="AL611" t="s">
        <v>1075</v>
      </c>
      <c r="AM611" t="s">
        <v>1076</v>
      </c>
      <c r="AN611" t="s">
        <v>1077</v>
      </c>
      <c r="AO611" t="s">
        <v>1256</v>
      </c>
      <c r="AP611" t="s">
        <v>1257</v>
      </c>
      <c r="AQ611" t="s">
        <v>74</v>
      </c>
      <c r="AR611" t="s">
        <v>1258</v>
      </c>
      <c r="AS611" t="s">
        <v>1259</v>
      </c>
      <c r="AT611" t="s">
        <v>1947</v>
      </c>
      <c r="AU611">
        <v>2023</v>
      </c>
      <c r="AV611">
        <v>46</v>
      </c>
      <c r="AW611">
        <v>12</v>
      </c>
      <c r="AX611" t="s">
        <v>74</v>
      </c>
      <c r="AY611" t="s">
        <v>74</v>
      </c>
      <c r="AZ611" t="s">
        <v>74</v>
      </c>
      <c r="BA611" t="s">
        <v>74</v>
      </c>
      <c r="BB611">
        <v>1335</v>
      </c>
      <c r="BC611">
        <v>1348</v>
      </c>
      <c r="BD611" t="s">
        <v>74</v>
      </c>
      <c r="BE611" t="s">
        <v>11828</v>
      </c>
      <c r="BF611" t="str">
        <f>HYPERLINK("http://dx.doi.org/10.1007/s00300-023-03205-w","http://dx.doi.org/10.1007/s00300-023-03205-w")</f>
        <v>http://dx.doi.org/10.1007/s00300-023-03205-w</v>
      </c>
      <c r="BG611" t="s">
        <v>74</v>
      </c>
      <c r="BH611" t="s">
        <v>11428</v>
      </c>
      <c r="BI611">
        <v>14</v>
      </c>
      <c r="BJ611" t="s">
        <v>1261</v>
      </c>
      <c r="BK611" t="s">
        <v>100</v>
      </c>
      <c r="BL611" t="s">
        <v>913</v>
      </c>
      <c r="BM611" t="s">
        <v>11829</v>
      </c>
      <c r="BN611" t="s">
        <v>74</v>
      </c>
      <c r="BO611" t="s">
        <v>74</v>
      </c>
      <c r="BP611" t="s">
        <v>74</v>
      </c>
      <c r="BQ611" t="s">
        <v>74</v>
      </c>
      <c r="BR611" t="s">
        <v>104</v>
      </c>
      <c r="BS611" t="s">
        <v>11830</v>
      </c>
      <c r="BT611" t="str">
        <f>HYPERLINK("https%3A%2F%2Fwww.webofscience.com%2Fwos%2Fwoscc%2Ffull-record%2FWOS:001094210700001","View Full Record in Web of Science")</f>
        <v>View Full Record in Web of Science</v>
      </c>
    </row>
    <row r="612" spans="1:72" x14ac:dyDescent="0.15">
      <c r="A612" t="s">
        <v>72</v>
      </c>
      <c r="B612" t="s">
        <v>11831</v>
      </c>
      <c r="C612" t="s">
        <v>74</v>
      </c>
      <c r="D612" t="s">
        <v>74</v>
      </c>
      <c r="E612" t="s">
        <v>74</v>
      </c>
      <c r="F612" t="s">
        <v>11832</v>
      </c>
      <c r="G612" t="s">
        <v>74</v>
      </c>
      <c r="H612" t="s">
        <v>74</v>
      </c>
      <c r="I612" t="s">
        <v>11833</v>
      </c>
      <c r="J612" t="s">
        <v>2915</v>
      </c>
      <c r="K612" t="s">
        <v>74</v>
      </c>
      <c r="L612" t="s">
        <v>74</v>
      </c>
      <c r="M612" t="s">
        <v>78</v>
      </c>
      <c r="N612" t="s">
        <v>1547</v>
      </c>
      <c r="O612" t="s">
        <v>74</v>
      </c>
      <c r="P612" t="s">
        <v>74</v>
      </c>
      <c r="Q612" t="s">
        <v>74</v>
      </c>
      <c r="R612" t="s">
        <v>74</v>
      </c>
      <c r="S612" t="s">
        <v>74</v>
      </c>
      <c r="T612" t="s">
        <v>11834</v>
      </c>
      <c r="U612" t="s">
        <v>74</v>
      </c>
      <c r="V612" t="s">
        <v>11835</v>
      </c>
      <c r="W612" t="s">
        <v>11836</v>
      </c>
      <c r="X612" t="s">
        <v>11837</v>
      </c>
      <c r="Y612" t="s">
        <v>11838</v>
      </c>
      <c r="Z612" t="s">
        <v>11839</v>
      </c>
      <c r="AA612" t="s">
        <v>74</v>
      </c>
      <c r="AB612" t="s">
        <v>11840</v>
      </c>
      <c r="AC612" t="s">
        <v>11841</v>
      </c>
      <c r="AD612" t="s">
        <v>11842</v>
      </c>
      <c r="AE612" t="s">
        <v>11843</v>
      </c>
      <c r="AF612" t="s">
        <v>74</v>
      </c>
      <c r="AG612">
        <v>44</v>
      </c>
      <c r="AH612">
        <v>0</v>
      </c>
      <c r="AI612">
        <v>0</v>
      </c>
      <c r="AJ612">
        <v>2</v>
      </c>
      <c r="AK612">
        <v>2</v>
      </c>
      <c r="AL612" t="s">
        <v>1782</v>
      </c>
      <c r="AM612" t="s">
        <v>1783</v>
      </c>
      <c r="AN612" t="s">
        <v>1784</v>
      </c>
      <c r="AO612" t="s">
        <v>2928</v>
      </c>
      <c r="AP612" t="s">
        <v>2929</v>
      </c>
      <c r="AQ612" t="s">
        <v>74</v>
      </c>
      <c r="AR612" t="s">
        <v>2930</v>
      </c>
      <c r="AS612" t="s">
        <v>2931</v>
      </c>
      <c r="AT612" t="s">
        <v>11844</v>
      </c>
      <c r="AU612">
        <v>2023</v>
      </c>
      <c r="AV612" t="s">
        <v>74</v>
      </c>
      <c r="AW612" t="s">
        <v>74</v>
      </c>
      <c r="AX612" t="s">
        <v>74</v>
      </c>
      <c r="AY612" t="s">
        <v>74</v>
      </c>
      <c r="AZ612" t="s">
        <v>74</v>
      </c>
      <c r="BA612" t="s">
        <v>74</v>
      </c>
      <c r="BB612" t="s">
        <v>74</v>
      </c>
      <c r="BC612" t="s">
        <v>74</v>
      </c>
      <c r="BD612" t="s">
        <v>74</v>
      </c>
      <c r="BE612" t="s">
        <v>11845</v>
      </c>
      <c r="BF612" t="str">
        <f>HYPERLINK("http://dx.doi.org/10.1017/jog.2023.80","http://dx.doi.org/10.1017/jog.2023.80")</f>
        <v>http://dx.doi.org/10.1017/jog.2023.80</v>
      </c>
      <c r="BG612" t="s">
        <v>74</v>
      </c>
      <c r="BH612" t="s">
        <v>11428</v>
      </c>
      <c r="BI612">
        <v>13</v>
      </c>
      <c r="BJ612" t="s">
        <v>984</v>
      </c>
      <c r="BK612" t="s">
        <v>100</v>
      </c>
      <c r="BL612" t="s">
        <v>985</v>
      </c>
      <c r="BM612" t="s">
        <v>11846</v>
      </c>
      <c r="BN612" t="s">
        <v>74</v>
      </c>
      <c r="BO612" t="s">
        <v>131</v>
      </c>
      <c r="BP612" t="s">
        <v>74</v>
      </c>
      <c r="BQ612" t="s">
        <v>74</v>
      </c>
      <c r="BR612" t="s">
        <v>104</v>
      </c>
      <c r="BS612" t="s">
        <v>11847</v>
      </c>
      <c r="BT612" t="str">
        <f>HYPERLINK("https%3A%2F%2Fwww.webofscience.com%2Fwos%2Fwoscc%2Ffull-record%2FWOS:001091339400001","View Full Record in Web of Science")</f>
        <v>View Full Record in Web of Science</v>
      </c>
    </row>
    <row r="613" spans="1:72" x14ac:dyDescent="0.15">
      <c r="A613" t="s">
        <v>72</v>
      </c>
      <c r="B613" t="s">
        <v>11848</v>
      </c>
      <c r="C613" t="s">
        <v>74</v>
      </c>
      <c r="D613" t="s">
        <v>74</v>
      </c>
      <c r="E613" t="s">
        <v>74</v>
      </c>
      <c r="F613" t="s">
        <v>11849</v>
      </c>
      <c r="G613" t="s">
        <v>74</v>
      </c>
      <c r="H613" t="s">
        <v>74</v>
      </c>
      <c r="I613" t="s">
        <v>11850</v>
      </c>
      <c r="J613" t="s">
        <v>7738</v>
      </c>
      <c r="K613" t="s">
        <v>74</v>
      </c>
      <c r="L613" t="s">
        <v>74</v>
      </c>
      <c r="M613" t="s">
        <v>78</v>
      </c>
      <c r="N613" t="s">
        <v>79</v>
      </c>
      <c r="O613" t="s">
        <v>74</v>
      </c>
      <c r="P613" t="s">
        <v>74</v>
      </c>
      <c r="Q613" t="s">
        <v>74</v>
      </c>
      <c r="R613" t="s">
        <v>74</v>
      </c>
      <c r="S613" t="s">
        <v>74</v>
      </c>
      <c r="T613" t="s">
        <v>74</v>
      </c>
      <c r="U613" t="s">
        <v>11851</v>
      </c>
      <c r="V613" t="s">
        <v>11852</v>
      </c>
      <c r="W613" t="s">
        <v>11853</v>
      </c>
      <c r="X613" t="s">
        <v>11854</v>
      </c>
      <c r="Y613" t="s">
        <v>11855</v>
      </c>
      <c r="Z613" t="s">
        <v>11856</v>
      </c>
      <c r="AA613" t="s">
        <v>11857</v>
      </c>
      <c r="AB613" t="s">
        <v>11858</v>
      </c>
      <c r="AC613" t="s">
        <v>11859</v>
      </c>
      <c r="AD613" t="s">
        <v>11860</v>
      </c>
      <c r="AE613" t="s">
        <v>11861</v>
      </c>
      <c r="AF613" t="s">
        <v>74</v>
      </c>
      <c r="AG613">
        <v>75</v>
      </c>
      <c r="AH613">
        <v>0</v>
      </c>
      <c r="AI613">
        <v>0</v>
      </c>
      <c r="AJ613">
        <v>16</v>
      </c>
      <c r="AK613">
        <v>16</v>
      </c>
      <c r="AL613" t="s">
        <v>1101</v>
      </c>
      <c r="AM613" t="s">
        <v>1102</v>
      </c>
      <c r="AN613" t="s">
        <v>1103</v>
      </c>
      <c r="AO613" t="s">
        <v>7750</v>
      </c>
      <c r="AP613" t="s">
        <v>7751</v>
      </c>
      <c r="AQ613" t="s">
        <v>74</v>
      </c>
      <c r="AR613" t="s">
        <v>7752</v>
      </c>
      <c r="AS613" t="s">
        <v>7753</v>
      </c>
      <c r="AT613" t="s">
        <v>1947</v>
      </c>
      <c r="AU613">
        <v>2023</v>
      </c>
      <c r="AV613">
        <v>68</v>
      </c>
      <c r="AW613">
        <v>12</v>
      </c>
      <c r="AX613" t="s">
        <v>74</v>
      </c>
      <c r="AY613" t="s">
        <v>74</v>
      </c>
      <c r="AZ613" t="s">
        <v>74</v>
      </c>
      <c r="BA613" t="s">
        <v>74</v>
      </c>
      <c r="BB613">
        <v>2642</v>
      </c>
      <c r="BC613">
        <v>2653</v>
      </c>
      <c r="BD613" t="s">
        <v>74</v>
      </c>
      <c r="BE613" t="s">
        <v>11862</v>
      </c>
      <c r="BF613" t="str">
        <f>HYPERLINK("http://dx.doi.org/10.1002/lno.12446","http://dx.doi.org/10.1002/lno.12446")</f>
        <v>http://dx.doi.org/10.1002/lno.12446</v>
      </c>
      <c r="BG613" t="s">
        <v>74</v>
      </c>
      <c r="BH613" t="s">
        <v>11428</v>
      </c>
      <c r="BI613">
        <v>12</v>
      </c>
      <c r="BJ613" t="s">
        <v>7755</v>
      </c>
      <c r="BK613" t="s">
        <v>100</v>
      </c>
      <c r="BL613" t="s">
        <v>1476</v>
      </c>
      <c r="BM613" t="s">
        <v>7756</v>
      </c>
      <c r="BN613" t="s">
        <v>74</v>
      </c>
      <c r="BO613" t="s">
        <v>103</v>
      </c>
      <c r="BP613" t="s">
        <v>74</v>
      </c>
      <c r="BQ613" t="s">
        <v>74</v>
      </c>
      <c r="BR613" t="s">
        <v>104</v>
      </c>
      <c r="BS613" t="s">
        <v>11863</v>
      </c>
      <c r="BT613" t="str">
        <f>HYPERLINK("https%3A%2F%2Fwww.webofscience.com%2Fwos%2Fwoscc%2Ffull-record%2FWOS:001090614800001","View Full Record in Web of Science")</f>
        <v>View Full Record in Web of Science</v>
      </c>
    </row>
    <row r="614" spans="1:72" x14ac:dyDescent="0.15">
      <c r="A614" t="s">
        <v>72</v>
      </c>
      <c r="B614" t="s">
        <v>11864</v>
      </c>
      <c r="C614" t="s">
        <v>74</v>
      </c>
      <c r="D614" t="s">
        <v>74</v>
      </c>
      <c r="E614" t="s">
        <v>74</v>
      </c>
      <c r="F614" t="s">
        <v>11865</v>
      </c>
      <c r="G614" t="s">
        <v>74</v>
      </c>
      <c r="H614" t="s">
        <v>74</v>
      </c>
      <c r="I614" t="s">
        <v>11866</v>
      </c>
      <c r="J614" t="s">
        <v>9674</v>
      </c>
      <c r="K614" t="s">
        <v>74</v>
      </c>
      <c r="L614" t="s">
        <v>74</v>
      </c>
      <c r="M614" t="s">
        <v>78</v>
      </c>
      <c r="N614" t="s">
        <v>79</v>
      </c>
      <c r="O614" t="s">
        <v>74</v>
      </c>
      <c r="P614" t="s">
        <v>74</v>
      </c>
      <c r="Q614" t="s">
        <v>74</v>
      </c>
      <c r="R614" t="s">
        <v>74</v>
      </c>
      <c r="S614" t="s">
        <v>74</v>
      </c>
      <c r="T614" t="s">
        <v>11867</v>
      </c>
      <c r="U614" t="s">
        <v>11868</v>
      </c>
      <c r="V614" t="s">
        <v>11869</v>
      </c>
      <c r="W614" t="s">
        <v>11870</v>
      </c>
      <c r="X614" t="s">
        <v>11871</v>
      </c>
      <c r="Y614" t="s">
        <v>11872</v>
      </c>
      <c r="Z614" t="s">
        <v>11873</v>
      </c>
      <c r="AA614" t="s">
        <v>11874</v>
      </c>
      <c r="AB614" t="s">
        <v>11875</v>
      </c>
      <c r="AC614" t="s">
        <v>11876</v>
      </c>
      <c r="AD614" t="s">
        <v>11877</v>
      </c>
      <c r="AE614" t="s">
        <v>11878</v>
      </c>
      <c r="AF614" t="s">
        <v>74</v>
      </c>
      <c r="AG614">
        <v>66</v>
      </c>
      <c r="AH614">
        <v>0</v>
      </c>
      <c r="AI614">
        <v>0</v>
      </c>
      <c r="AJ614">
        <v>2</v>
      </c>
      <c r="AK614">
        <v>2</v>
      </c>
      <c r="AL614" t="s">
        <v>1101</v>
      </c>
      <c r="AM614" t="s">
        <v>1102</v>
      </c>
      <c r="AN614" t="s">
        <v>1103</v>
      </c>
      <c r="AO614" t="s">
        <v>9687</v>
      </c>
      <c r="AP614" t="s">
        <v>9688</v>
      </c>
      <c r="AQ614" t="s">
        <v>74</v>
      </c>
      <c r="AR614" t="s">
        <v>9689</v>
      </c>
      <c r="AS614" t="s">
        <v>9690</v>
      </c>
      <c r="AT614" t="s">
        <v>1649</v>
      </c>
      <c r="AU614">
        <v>2023</v>
      </c>
      <c r="AV614">
        <v>43</v>
      </c>
      <c r="AW614">
        <v>16</v>
      </c>
      <c r="AX614" t="s">
        <v>74</v>
      </c>
      <c r="AY614" t="s">
        <v>74</v>
      </c>
      <c r="AZ614" t="s">
        <v>74</v>
      </c>
      <c r="BA614" t="s">
        <v>74</v>
      </c>
      <c r="BB614">
        <v>7565</v>
      </c>
      <c r="BC614">
        <v>7587</v>
      </c>
      <c r="BD614" t="s">
        <v>74</v>
      </c>
      <c r="BE614" t="s">
        <v>11879</v>
      </c>
      <c r="BF614" t="str">
        <f>HYPERLINK("http://dx.doi.org/10.1002/joc.8280","http://dx.doi.org/10.1002/joc.8280")</f>
        <v>http://dx.doi.org/10.1002/joc.8280</v>
      </c>
      <c r="BG614" t="s">
        <v>74</v>
      </c>
      <c r="BH614" t="s">
        <v>11428</v>
      </c>
      <c r="BI614">
        <v>23</v>
      </c>
      <c r="BJ614" t="s">
        <v>1522</v>
      </c>
      <c r="BK614" t="s">
        <v>100</v>
      </c>
      <c r="BL614" t="s">
        <v>1522</v>
      </c>
      <c r="BM614" t="s">
        <v>9692</v>
      </c>
      <c r="BN614" t="s">
        <v>74</v>
      </c>
      <c r="BO614" t="s">
        <v>74</v>
      </c>
      <c r="BP614" t="s">
        <v>74</v>
      </c>
      <c r="BQ614" t="s">
        <v>74</v>
      </c>
      <c r="BR614" t="s">
        <v>104</v>
      </c>
      <c r="BS614" t="s">
        <v>11880</v>
      </c>
      <c r="BT614" t="str">
        <f>HYPERLINK("https%3A%2F%2Fwww.webofscience.com%2Fwos%2Fwoscc%2Ffull-record%2FWOS:001092032100001","View Full Record in Web of Science")</f>
        <v>View Full Record in Web of Science</v>
      </c>
    </row>
    <row r="615" spans="1:72" x14ac:dyDescent="0.15">
      <c r="A615" t="s">
        <v>72</v>
      </c>
      <c r="B615" t="s">
        <v>11881</v>
      </c>
      <c r="C615" t="s">
        <v>74</v>
      </c>
      <c r="D615" t="s">
        <v>74</v>
      </c>
      <c r="E615" t="s">
        <v>74</v>
      </c>
      <c r="F615" t="s">
        <v>11882</v>
      </c>
      <c r="G615" t="s">
        <v>74</v>
      </c>
      <c r="H615" t="s">
        <v>74</v>
      </c>
      <c r="I615" t="s">
        <v>11883</v>
      </c>
      <c r="J615" t="s">
        <v>7055</v>
      </c>
      <c r="K615" t="s">
        <v>74</v>
      </c>
      <c r="L615" t="s">
        <v>74</v>
      </c>
      <c r="M615" t="s">
        <v>78</v>
      </c>
      <c r="N615" t="s">
        <v>79</v>
      </c>
      <c r="O615" t="s">
        <v>74</v>
      </c>
      <c r="P615" t="s">
        <v>74</v>
      </c>
      <c r="Q615" t="s">
        <v>74</v>
      </c>
      <c r="R615" t="s">
        <v>74</v>
      </c>
      <c r="S615" t="s">
        <v>74</v>
      </c>
      <c r="T615" t="s">
        <v>11884</v>
      </c>
      <c r="U615" t="s">
        <v>11885</v>
      </c>
      <c r="V615" t="s">
        <v>11886</v>
      </c>
      <c r="W615" t="s">
        <v>11887</v>
      </c>
      <c r="X615" t="s">
        <v>11888</v>
      </c>
      <c r="Y615" t="s">
        <v>11889</v>
      </c>
      <c r="Z615" t="s">
        <v>11890</v>
      </c>
      <c r="AA615" t="s">
        <v>11891</v>
      </c>
      <c r="AB615" t="s">
        <v>11892</v>
      </c>
      <c r="AC615" t="s">
        <v>11893</v>
      </c>
      <c r="AD615" t="s">
        <v>11894</v>
      </c>
      <c r="AE615" t="s">
        <v>11895</v>
      </c>
      <c r="AF615" t="s">
        <v>74</v>
      </c>
      <c r="AG615">
        <v>40</v>
      </c>
      <c r="AH615">
        <v>1</v>
      </c>
      <c r="AI615">
        <v>1</v>
      </c>
      <c r="AJ615">
        <v>3</v>
      </c>
      <c r="AK615">
        <v>3</v>
      </c>
      <c r="AL615" t="s">
        <v>7066</v>
      </c>
      <c r="AM615" t="s">
        <v>3058</v>
      </c>
      <c r="AN615" t="s">
        <v>7067</v>
      </c>
      <c r="AO615" t="s">
        <v>7068</v>
      </c>
      <c r="AP615" t="s">
        <v>7069</v>
      </c>
      <c r="AQ615" t="s">
        <v>74</v>
      </c>
      <c r="AR615" t="s">
        <v>7070</v>
      </c>
      <c r="AS615" t="s">
        <v>7071</v>
      </c>
      <c r="AT615" t="s">
        <v>11896</v>
      </c>
      <c r="AU615">
        <v>2024</v>
      </c>
      <c r="AV615">
        <v>67</v>
      </c>
      <c r="AW615">
        <v>2</v>
      </c>
      <c r="AX615" t="s">
        <v>74</v>
      </c>
      <c r="AY615" t="s">
        <v>74</v>
      </c>
      <c r="AZ615" t="s">
        <v>74</v>
      </c>
      <c r="BA615" t="s">
        <v>74</v>
      </c>
      <c r="BB615">
        <v>131</v>
      </c>
      <c r="BC615">
        <v>138</v>
      </c>
      <c r="BD615" t="s">
        <v>74</v>
      </c>
      <c r="BE615" t="s">
        <v>11897</v>
      </c>
      <c r="BF615" t="str">
        <f>HYPERLINK("http://dx.doi.org/10.1515/bot-2023-0053","http://dx.doi.org/10.1515/bot-2023-0053")</f>
        <v>http://dx.doi.org/10.1515/bot-2023-0053</v>
      </c>
      <c r="BG615" t="s">
        <v>74</v>
      </c>
      <c r="BH615" t="s">
        <v>11428</v>
      </c>
      <c r="BI615">
        <v>8</v>
      </c>
      <c r="BJ615" t="s">
        <v>1058</v>
      </c>
      <c r="BK615" t="s">
        <v>100</v>
      </c>
      <c r="BL615" t="s">
        <v>1058</v>
      </c>
      <c r="BM615" t="s">
        <v>11898</v>
      </c>
      <c r="BN615" t="s">
        <v>74</v>
      </c>
      <c r="BO615" t="s">
        <v>103</v>
      </c>
      <c r="BP615" t="s">
        <v>74</v>
      </c>
      <c r="BQ615" t="s">
        <v>74</v>
      </c>
      <c r="BR615" t="s">
        <v>104</v>
      </c>
      <c r="BS615" t="s">
        <v>11899</v>
      </c>
      <c r="BT615" t="str">
        <f>HYPERLINK("https%3A%2F%2Fwww.webofscience.com%2Fwos%2Fwoscc%2Ffull-record%2FWOS:001089828300001","View Full Record in Web of Science")</f>
        <v>View Full Record in Web of Science</v>
      </c>
    </row>
    <row r="616" spans="1:72" x14ac:dyDescent="0.15">
      <c r="A616" t="s">
        <v>72</v>
      </c>
      <c r="B616" t="s">
        <v>11900</v>
      </c>
      <c r="C616" t="s">
        <v>74</v>
      </c>
      <c r="D616" t="s">
        <v>74</v>
      </c>
      <c r="E616" t="s">
        <v>74</v>
      </c>
      <c r="F616" t="s">
        <v>11901</v>
      </c>
      <c r="G616" t="s">
        <v>74</v>
      </c>
      <c r="H616" t="s">
        <v>74</v>
      </c>
      <c r="I616" t="s">
        <v>11902</v>
      </c>
      <c r="J616" t="s">
        <v>11903</v>
      </c>
      <c r="K616" t="s">
        <v>74</v>
      </c>
      <c r="L616" t="s">
        <v>74</v>
      </c>
      <c r="M616" t="s">
        <v>78</v>
      </c>
      <c r="N616" t="s">
        <v>1547</v>
      </c>
      <c r="O616" t="s">
        <v>74</v>
      </c>
      <c r="P616" t="s">
        <v>74</v>
      </c>
      <c r="Q616" t="s">
        <v>74</v>
      </c>
      <c r="R616" t="s">
        <v>74</v>
      </c>
      <c r="S616" t="s">
        <v>74</v>
      </c>
      <c r="T616" t="s">
        <v>11904</v>
      </c>
      <c r="U616" t="s">
        <v>11905</v>
      </c>
      <c r="V616" t="s">
        <v>11906</v>
      </c>
      <c r="W616" t="s">
        <v>11907</v>
      </c>
      <c r="X616" t="s">
        <v>2773</v>
      </c>
      <c r="Y616" t="s">
        <v>11908</v>
      </c>
      <c r="Z616" t="s">
        <v>11909</v>
      </c>
      <c r="AA616" t="s">
        <v>74</v>
      </c>
      <c r="AB616" t="s">
        <v>11910</v>
      </c>
      <c r="AC616" t="s">
        <v>11911</v>
      </c>
      <c r="AD616" t="s">
        <v>11912</v>
      </c>
      <c r="AE616" t="s">
        <v>11913</v>
      </c>
      <c r="AF616" t="s">
        <v>74</v>
      </c>
      <c r="AG616">
        <v>120</v>
      </c>
      <c r="AH616">
        <v>1</v>
      </c>
      <c r="AI616">
        <v>1</v>
      </c>
      <c r="AJ616">
        <v>5</v>
      </c>
      <c r="AK616">
        <v>5</v>
      </c>
      <c r="AL616" t="s">
        <v>830</v>
      </c>
      <c r="AM616" t="s">
        <v>831</v>
      </c>
      <c r="AN616" t="s">
        <v>832</v>
      </c>
      <c r="AO616" t="s">
        <v>11914</v>
      </c>
      <c r="AP616" t="s">
        <v>11915</v>
      </c>
      <c r="AQ616" t="s">
        <v>74</v>
      </c>
      <c r="AR616" t="s">
        <v>11903</v>
      </c>
      <c r="AS616" t="s">
        <v>11916</v>
      </c>
      <c r="AT616" t="s">
        <v>11917</v>
      </c>
      <c r="AU616">
        <v>2023</v>
      </c>
      <c r="AV616" t="s">
        <v>74</v>
      </c>
      <c r="AW616" t="s">
        <v>74</v>
      </c>
      <c r="AX616" t="s">
        <v>74</v>
      </c>
      <c r="AY616" t="s">
        <v>74</v>
      </c>
      <c r="AZ616" t="s">
        <v>74</v>
      </c>
      <c r="BA616" t="s">
        <v>74</v>
      </c>
      <c r="BB616" t="s">
        <v>74</v>
      </c>
      <c r="BC616" t="s">
        <v>74</v>
      </c>
      <c r="BD616" t="s">
        <v>74</v>
      </c>
      <c r="BE616" t="s">
        <v>11918</v>
      </c>
      <c r="BF616" t="str">
        <f>HYPERLINK("http://dx.doi.org/10.1080/01916122.2023.2273267","http://dx.doi.org/10.1080/01916122.2023.2273267")</f>
        <v>http://dx.doi.org/10.1080/01916122.2023.2273267</v>
      </c>
      <c r="BG616" t="s">
        <v>74</v>
      </c>
      <c r="BH616" t="s">
        <v>11428</v>
      </c>
      <c r="BI616">
        <v>25</v>
      </c>
      <c r="BJ616" t="s">
        <v>11919</v>
      </c>
      <c r="BK616" t="s">
        <v>100</v>
      </c>
      <c r="BL616" t="s">
        <v>11919</v>
      </c>
      <c r="BM616" t="s">
        <v>11920</v>
      </c>
      <c r="BN616" t="s">
        <v>74</v>
      </c>
      <c r="BO616" t="s">
        <v>74</v>
      </c>
      <c r="BP616" t="s">
        <v>74</v>
      </c>
      <c r="BQ616" t="s">
        <v>74</v>
      </c>
      <c r="BR616" t="s">
        <v>104</v>
      </c>
      <c r="BS616" t="s">
        <v>11921</v>
      </c>
      <c r="BT616" t="str">
        <f>HYPERLINK("https%3A%2F%2Fwww.webofscience.com%2Fwos%2Fwoscc%2Ffull-record%2FWOS:001106247200001","View Full Record in Web of Science")</f>
        <v>View Full Record in Web of Science</v>
      </c>
    </row>
    <row r="617" spans="1:72" x14ac:dyDescent="0.15">
      <c r="A617" t="s">
        <v>72</v>
      </c>
      <c r="B617" t="s">
        <v>11922</v>
      </c>
      <c r="C617" t="s">
        <v>74</v>
      </c>
      <c r="D617" t="s">
        <v>74</v>
      </c>
      <c r="E617" t="s">
        <v>74</v>
      </c>
      <c r="F617" t="s">
        <v>11923</v>
      </c>
      <c r="G617" t="s">
        <v>74</v>
      </c>
      <c r="H617" t="s">
        <v>74</v>
      </c>
      <c r="I617" t="s">
        <v>11924</v>
      </c>
      <c r="J617" t="s">
        <v>11925</v>
      </c>
      <c r="K617" t="s">
        <v>74</v>
      </c>
      <c r="L617" t="s">
        <v>74</v>
      </c>
      <c r="M617" t="s">
        <v>78</v>
      </c>
      <c r="N617" t="s">
        <v>11926</v>
      </c>
      <c r="O617" t="s">
        <v>74</v>
      </c>
      <c r="P617" t="s">
        <v>74</v>
      </c>
      <c r="Q617" t="s">
        <v>74</v>
      </c>
      <c r="R617" t="s">
        <v>74</v>
      </c>
      <c r="S617" t="s">
        <v>74</v>
      </c>
      <c r="T617" t="s">
        <v>74</v>
      </c>
      <c r="U617" t="s">
        <v>74</v>
      </c>
      <c r="V617" t="s">
        <v>74</v>
      </c>
      <c r="W617" t="s">
        <v>11927</v>
      </c>
      <c r="X617" t="s">
        <v>2696</v>
      </c>
      <c r="Y617" t="s">
        <v>11928</v>
      </c>
      <c r="Z617" t="s">
        <v>11929</v>
      </c>
      <c r="AA617" t="s">
        <v>11930</v>
      </c>
      <c r="AB617" t="s">
        <v>11931</v>
      </c>
      <c r="AC617" t="s">
        <v>74</v>
      </c>
      <c r="AD617" t="s">
        <v>74</v>
      </c>
      <c r="AE617" t="s">
        <v>74</v>
      </c>
      <c r="AF617" t="s">
        <v>74</v>
      </c>
      <c r="AG617">
        <v>1</v>
      </c>
      <c r="AH617">
        <v>0</v>
      </c>
      <c r="AI617">
        <v>0</v>
      </c>
      <c r="AJ617">
        <v>1</v>
      </c>
      <c r="AK617">
        <v>1</v>
      </c>
      <c r="AL617" t="s">
        <v>119</v>
      </c>
      <c r="AM617" t="s">
        <v>120</v>
      </c>
      <c r="AN617" t="s">
        <v>121</v>
      </c>
      <c r="AO617" t="s">
        <v>11932</v>
      </c>
      <c r="AP617" t="s">
        <v>11933</v>
      </c>
      <c r="AQ617" t="s">
        <v>74</v>
      </c>
      <c r="AR617" t="s">
        <v>11934</v>
      </c>
      <c r="AS617" t="s">
        <v>11935</v>
      </c>
      <c r="AT617" t="s">
        <v>11936</v>
      </c>
      <c r="AU617">
        <v>2023</v>
      </c>
      <c r="AV617">
        <v>13</v>
      </c>
      <c r="AW617">
        <v>2</v>
      </c>
      <c r="AX617" t="s">
        <v>74</v>
      </c>
      <c r="AY617" t="s">
        <v>74</v>
      </c>
      <c r="AZ617" t="s">
        <v>4005</v>
      </c>
      <c r="BA617" t="s">
        <v>74</v>
      </c>
      <c r="BB617">
        <v>358</v>
      </c>
      <c r="BC617">
        <v>359</v>
      </c>
      <c r="BD617" t="s">
        <v>74</v>
      </c>
      <c r="BE617" t="s">
        <v>11937</v>
      </c>
      <c r="BF617" t="str">
        <f>HYPERLINK("http://dx.doi.org/10.1080/2154896X.2023.2271210","http://dx.doi.org/10.1080/2154896X.2023.2271210")</f>
        <v>http://dx.doi.org/10.1080/2154896X.2023.2271210</v>
      </c>
      <c r="BG617" t="s">
        <v>74</v>
      </c>
      <c r="BH617" t="s">
        <v>11428</v>
      </c>
      <c r="BI617">
        <v>2</v>
      </c>
      <c r="BJ617" t="s">
        <v>11938</v>
      </c>
      <c r="BK617" t="s">
        <v>912</v>
      </c>
      <c r="BL617" t="s">
        <v>11939</v>
      </c>
      <c r="BM617" t="s">
        <v>11940</v>
      </c>
      <c r="BN617" t="s">
        <v>74</v>
      </c>
      <c r="BO617" t="s">
        <v>74</v>
      </c>
      <c r="BP617" t="s">
        <v>74</v>
      </c>
      <c r="BQ617" t="s">
        <v>74</v>
      </c>
      <c r="BR617" t="s">
        <v>104</v>
      </c>
      <c r="BS617" t="s">
        <v>11941</v>
      </c>
      <c r="BT617" t="str">
        <f>HYPERLINK("https%3A%2F%2Fwww.webofscience.com%2Fwos%2Fwoscc%2Ffull-record%2FWOS:001098851700001","View Full Record in Web of Science")</f>
        <v>View Full Record in Web of Science</v>
      </c>
    </row>
    <row r="618" spans="1:72" x14ac:dyDescent="0.15">
      <c r="A618" t="s">
        <v>72</v>
      </c>
      <c r="B618" t="s">
        <v>11942</v>
      </c>
      <c r="C618" t="s">
        <v>74</v>
      </c>
      <c r="D618" t="s">
        <v>74</v>
      </c>
      <c r="E618" t="s">
        <v>74</v>
      </c>
      <c r="F618" t="s">
        <v>11943</v>
      </c>
      <c r="G618" t="s">
        <v>74</v>
      </c>
      <c r="H618" t="s">
        <v>74</v>
      </c>
      <c r="I618" t="s">
        <v>11944</v>
      </c>
      <c r="J618" t="s">
        <v>1770</v>
      </c>
      <c r="K618" t="s">
        <v>74</v>
      </c>
      <c r="L618" t="s">
        <v>74</v>
      </c>
      <c r="M618" t="s">
        <v>78</v>
      </c>
      <c r="N618" t="s">
        <v>1547</v>
      </c>
      <c r="O618" t="s">
        <v>74</v>
      </c>
      <c r="P618" t="s">
        <v>74</v>
      </c>
      <c r="Q618" t="s">
        <v>74</v>
      </c>
      <c r="R618" t="s">
        <v>74</v>
      </c>
      <c r="S618" t="s">
        <v>74</v>
      </c>
      <c r="T618" t="s">
        <v>11945</v>
      </c>
      <c r="U618" t="s">
        <v>11946</v>
      </c>
      <c r="V618" t="s">
        <v>11947</v>
      </c>
      <c r="W618" t="s">
        <v>11948</v>
      </c>
      <c r="X618" t="s">
        <v>2773</v>
      </c>
      <c r="Y618" t="s">
        <v>11949</v>
      </c>
      <c r="Z618" t="s">
        <v>11950</v>
      </c>
      <c r="AA618" t="s">
        <v>11951</v>
      </c>
      <c r="AB618" t="s">
        <v>11952</v>
      </c>
      <c r="AC618" t="s">
        <v>11953</v>
      </c>
      <c r="AD618" t="s">
        <v>11953</v>
      </c>
      <c r="AE618" t="s">
        <v>11953</v>
      </c>
      <c r="AF618" t="s">
        <v>74</v>
      </c>
      <c r="AG618">
        <v>58</v>
      </c>
      <c r="AH618">
        <v>0</v>
      </c>
      <c r="AI618">
        <v>0</v>
      </c>
      <c r="AJ618">
        <v>0</v>
      </c>
      <c r="AK618">
        <v>0</v>
      </c>
      <c r="AL618" t="s">
        <v>1782</v>
      </c>
      <c r="AM618" t="s">
        <v>1076</v>
      </c>
      <c r="AN618" t="s">
        <v>11954</v>
      </c>
      <c r="AO618" t="s">
        <v>1785</v>
      </c>
      <c r="AP618" t="s">
        <v>1786</v>
      </c>
      <c r="AQ618" t="s">
        <v>74</v>
      </c>
      <c r="AR618" t="s">
        <v>1787</v>
      </c>
      <c r="AS618" t="s">
        <v>1788</v>
      </c>
      <c r="AT618" t="s">
        <v>11917</v>
      </c>
      <c r="AU618">
        <v>2023</v>
      </c>
      <c r="AV618" t="s">
        <v>74</v>
      </c>
      <c r="AW618" t="s">
        <v>74</v>
      </c>
      <c r="AX618" t="s">
        <v>74</v>
      </c>
      <c r="AY618" t="s">
        <v>74</v>
      </c>
      <c r="AZ618" t="s">
        <v>74</v>
      </c>
      <c r="BA618" t="s">
        <v>74</v>
      </c>
      <c r="BB618" t="s">
        <v>74</v>
      </c>
      <c r="BC618" t="s">
        <v>74</v>
      </c>
      <c r="BD618" t="s">
        <v>74</v>
      </c>
      <c r="BE618" t="s">
        <v>11955</v>
      </c>
      <c r="BF618" t="str">
        <f>HYPERLINK("http://dx.doi.org/10.1017/S0954102023000263","http://dx.doi.org/10.1017/S0954102023000263")</f>
        <v>http://dx.doi.org/10.1017/S0954102023000263</v>
      </c>
      <c r="BG618" t="s">
        <v>74</v>
      </c>
      <c r="BH618" t="s">
        <v>11428</v>
      </c>
      <c r="BI618">
        <v>12</v>
      </c>
      <c r="BJ618" t="s">
        <v>1791</v>
      </c>
      <c r="BK618" t="s">
        <v>100</v>
      </c>
      <c r="BL618" t="s">
        <v>1792</v>
      </c>
      <c r="BM618" t="s">
        <v>11956</v>
      </c>
      <c r="BN618" t="s">
        <v>74</v>
      </c>
      <c r="BO618" t="s">
        <v>103</v>
      </c>
      <c r="BP618" t="s">
        <v>74</v>
      </c>
      <c r="BQ618" t="s">
        <v>74</v>
      </c>
      <c r="BR618" t="s">
        <v>104</v>
      </c>
      <c r="BS618" t="s">
        <v>11957</v>
      </c>
      <c r="BT618" t="str">
        <f>HYPERLINK("https%3A%2F%2Fwww.webofscience.com%2Fwos%2Fwoscc%2Ffull-record%2FWOS:001087377400001","View Full Record in Web of Science")</f>
        <v>View Full Record in Web of Science</v>
      </c>
    </row>
    <row r="619" spans="1:72" x14ac:dyDescent="0.15">
      <c r="A619" t="s">
        <v>72</v>
      </c>
      <c r="B619" t="s">
        <v>11958</v>
      </c>
      <c r="C619" t="s">
        <v>74</v>
      </c>
      <c r="D619" t="s">
        <v>74</v>
      </c>
      <c r="E619" t="s">
        <v>74</v>
      </c>
      <c r="F619" t="s">
        <v>11959</v>
      </c>
      <c r="G619" t="s">
        <v>74</v>
      </c>
      <c r="H619" t="s">
        <v>74</v>
      </c>
      <c r="I619" t="s">
        <v>11960</v>
      </c>
      <c r="J619" t="s">
        <v>2915</v>
      </c>
      <c r="K619" t="s">
        <v>74</v>
      </c>
      <c r="L619" t="s">
        <v>74</v>
      </c>
      <c r="M619" t="s">
        <v>78</v>
      </c>
      <c r="N619" t="s">
        <v>1547</v>
      </c>
      <c r="O619" t="s">
        <v>74</v>
      </c>
      <c r="P619" t="s">
        <v>74</v>
      </c>
      <c r="Q619" t="s">
        <v>74</v>
      </c>
      <c r="R619" t="s">
        <v>74</v>
      </c>
      <c r="S619" t="s">
        <v>74</v>
      </c>
      <c r="T619" t="s">
        <v>11961</v>
      </c>
      <c r="U619" t="s">
        <v>11962</v>
      </c>
      <c r="V619" t="s">
        <v>11963</v>
      </c>
      <c r="W619" t="s">
        <v>11964</v>
      </c>
      <c r="X619" t="s">
        <v>11965</v>
      </c>
      <c r="Y619" t="s">
        <v>11966</v>
      </c>
      <c r="Z619" t="s">
        <v>11967</v>
      </c>
      <c r="AA619" t="s">
        <v>11968</v>
      </c>
      <c r="AB619" t="s">
        <v>11969</v>
      </c>
      <c r="AC619" t="s">
        <v>11970</v>
      </c>
      <c r="AD619" t="s">
        <v>11970</v>
      </c>
      <c r="AE619" t="s">
        <v>11971</v>
      </c>
      <c r="AF619" t="s">
        <v>74</v>
      </c>
      <c r="AG619">
        <v>65</v>
      </c>
      <c r="AH619">
        <v>0</v>
      </c>
      <c r="AI619">
        <v>0</v>
      </c>
      <c r="AJ619">
        <v>0</v>
      </c>
      <c r="AK619">
        <v>0</v>
      </c>
      <c r="AL619" t="s">
        <v>1782</v>
      </c>
      <c r="AM619" t="s">
        <v>1783</v>
      </c>
      <c r="AN619" t="s">
        <v>1784</v>
      </c>
      <c r="AO619" t="s">
        <v>2928</v>
      </c>
      <c r="AP619" t="s">
        <v>2929</v>
      </c>
      <c r="AQ619" t="s">
        <v>74</v>
      </c>
      <c r="AR619" t="s">
        <v>2930</v>
      </c>
      <c r="AS619" t="s">
        <v>2931</v>
      </c>
      <c r="AT619" t="s">
        <v>11917</v>
      </c>
      <c r="AU619">
        <v>2023</v>
      </c>
      <c r="AV619" t="s">
        <v>74</v>
      </c>
      <c r="AW619" t="s">
        <v>74</v>
      </c>
      <c r="AX619" t="s">
        <v>74</v>
      </c>
      <c r="AY619" t="s">
        <v>74</v>
      </c>
      <c r="AZ619" t="s">
        <v>74</v>
      </c>
      <c r="BA619" t="s">
        <v>74</v>
      </c>
      <c r="BB619" t="s">
        <v>74</v>
      </c>
      <c r="BC619" t="s">
        <v>74</v>
      </c>
      <c r="BD619" t="s">
        <v>74</v>
      </c>
      <c r="BE619" t="s">
        <v>11972</v>
      </c>
      <c r="BF619" t="str">
        <f>HYPERLINK("http://dx.doi.org/10.1017/jog.2023.82","http://dx.doi.org/10.1017/jog.2023.82")</f>
        <v>http://dx.doi.org/10.1017/jog.2023.82</v>
      </c>
      <c r="BG619" t="s">
        <v>74</v>
      </c>
      <c r="BH619" t="s">
        <v>11428</v>
      </c>
      <c r="BI619">
        <v>12</v>
      </c>
      <c r="BJ619" t="s">
        <v>984</v>
      </c>
      <c r="BK619" t="s">
        <v>100</v>
      </c>
      <c r="BL619" t="s">
        <v>985</v>
      </c>
      <c r="BM619" t="s">
        <v>11973</v>
      </c>
      <c r="BN619" t="s">
        <v>74</v>
      </c>
      <c r="BO619" t="s">
        <v>4781</v>
      </c>
      <c r="BP619" t="s">
        <v>74</v>
      </c>
      <c r="BQ619" t="s">
        <v>74</v>
      </c>
      <c r="BR619" t="s">
        <v>104</v>
      </c>
      <c r="BS619" t="s">
        <v>11974</v>
      </c>
      <c r="BT619" t="str">
        <f>HYPERLINK("https%3A%2F%2Fwww.webofscience.com%2Fwos%2Fwoscc%2Ffull-record%2FWOS:001087376800001","View Full Record in Web of Science")</f>
        <v>View Full Record in Web of Science</v>
      </c>
    </row>
    <row r="620" spans="1:72" x14ac:dyDescent="0.15">
      <c r="A620" t="s">
        <v>72</v>
      </c>
      <c r="B620" t="s">
        <v>11975</v>
      </c>
      <c r="C620" t="s">
        <v>74</v>
      </c>
      <c r="D620" t="s">
        <v>74</v>
      </c>
      <c r="E620" t="s">
        <v>74</v>
      </c>
      <c r="F620" t="s">
        <v>11976</v>
      </c>
      <c r="G620" t="s">
        <v>74</v>
      </c>
      <c r="H620" t="s">
        <v>74</v>
      </c>
      <c r="I620" t="s">
        <v>11977</v>
      </c>
      <c r="J620" t="s">
        <v>9551</v>
      </c>
      <c r="K620" t="s">
        <v>74</v>
      </c>
      <c r="L620" t="s">
        <v>74</v>
      </c>
      <c r="M620" t="s">
        <v>78</v>
      </c>
      <c r="N620" t="s">
        <v>441</v>
      </c>
      <c r="O620" t="s">
        <v>74</v>
      </c>
      <c r="P620" t="s">
        <v>74</v>
      </c>
      <c r="Q620" t="s">
        <v>74</v>
      </c>
      <c r="R620" t="s">
        <v>74</v>
      </c>
      <c r="S620" t="s">
        <v>74</v>
      </c>
      <c r="T620" t="s">
        <v>11978</v>
      </c>
      <c r="U620" t="s">
        <v>11979</v>
      </c>
      <c r="V620" t="s">
        <v>11980</v>
      </c>
      <c r="W620" t="s">
        <v>11981</v>
      </c>
      <c r="X620" t="s">
        <v>11982</v>
      </c>
      <c r="Y620" t="s">
        <v>11983</v>
      </c>
      <c r="Z620" t="s">
        <v>11984</v>
      </c>
      <c r="AA620" t="s">
        <v>11985</v>
      </c>
      <c r="AB620" t="s">
        <v>11986</v>
      </c>
      <c r="AC620" t="s">
        <v>11987</v>
      </c>
      <c r="AD620" t="s">
        <v>11988</v>
      </c>
      <c r="AE620" t="s">
        <v>11989</v>
      </c>
      <c r="AF620" t="s">
        <v>74</v>
      </c>
      <c r="AG620">
        <v>173</v>
      </c>
      <c r="AH620">
        <v>0</v>
      </c>
      <c r="AI620">
        <v>0</v>
      </c>
      <c r="AJ620">
        <v>35</v>
      </c>
      <c r="AK620">
        <v>35</v>
      </c>
      <c r="AL620" t="s">
        <v>1101</v>
      </c>
      <c r="AM620" t="s">
        <v>1102</v>
      </c>
      <c r="AN620" t="s">
        <v>1103</v>
      </c>
      <c r="AO620" t="s">
        <v>9564</v>
      </c>
      <c r="AP620" t="s">
        <v>9565</v>
      </c>
      <c r="AQ620" t="s">
        <v>74</v>
      </c>
      <c r="AR620" t="s">
        <v>9566</v>
      </c>
      <c r="AS620" t="s">
        <v>9567</v>
      </c>
      <c r="AT620" t="s">
        <v>954</v>
      </c>
      <c r="AU620">
        <v>2024</v>
      </c>
      <c r="AV620">
        <v>30</v>
      </c>
      <c r="AW620">
        <v>1</v>
      </c>
      <c r="AX620" t="s">
        <v>74</v>
      </c>
      <c r="AY620" t="s">
        <v>74</v>
      </c>
      <c r="AZ620" t="s">
        <v>74</v>
      </c>
      <c r="BA620" t="s">
        <v>74</v>
      </c>
      <c r="BB620" t="s">
        <v>74</v>
      </c>
      <c r="BC620" t="s">
        <v>74</v>
      </c>
      <c r="BD620" t="s">
        <v>74</v>
      </c>
      <c r="BE620" t="s">
        <v>11990</v>
      </c>
      <c r="BF620" t="str">
        <f>HYPERLINK("http://dx.doi.org/10.1111/gcb.16972","http://dx.doi.org/10.1111/gcb.16972")</f>
        <v>http://dx.doi.org/10.1111/gcb.16972</v>
      </c>
      <c r="BG620" t="s">
        <v>74</v>
      </c>
      <c r="BH620" t="s">
        <v>11428</v>
      </c>
      <c r="BI620">
        <v>22</v>
      </c>
      <c r="BJ620" t="s">
        <v>8763</v>
      </c>
      <c r="BK620" t="s">
        <v>100</v>
      </c>
      <c r="BL620" t="s">
        <v>913</v>
      </c>
      <c r="BM620" t="s">
        <v>9570</v>
      </c>
      <c r="BN620">
        <v>37882506</v>
      </c>
      <c r="BO620" t="s">
        <v>103</v>
      </c>
      <c r="BP620" t="s">
        <v>74</v>
      </c>
      <c r="BQ620" t="s">
        <v>74</v>
      </c>
      <c r="BR620" t="s">
        <v>104</v>
      </c>
      <c r="BS620" t="s">
        <v>11991</v>
      </c>
      <c r="BT620" t="str">
        <f>HYPERLINK("https%3A%2F%2Fwww.webofscience.com%2Fwos%2Fwoscc%2Ffull-record%2FWOS:001090093800001","View Full Record in Web of Science")</f>
        <v>View Full Record in Web of Science</v>
      </c>
    </row>
    <row r="621" spans="1:72" x14ac:dyDescent="0.15">
      <c r="A621" t="s">
        <v>72</v>
      </c>
      <c r="B621" t="s">
        <v>11992</v>
      </c>
      <c r="C621" t="s">
        <v>74</v>
      </c>
      <c r="D621" t="s">
        <v>74</v>
      </c>
      <c r="E621" t="s">
        <v>74</v>
      </c>
      <c r="F621" t="s">
        <v>11993</v>
      </c>
      <c r="G621" t="s">
        <v>74</v>
      </c>
      <c r="H621" t="s">
        <v>74</v>
      </c>
      <c r="I621" t="s">
        <v>11994</v>
      </c>
      <c r="J621" t="s">
        <v>4870</v>
      </c>
      <c r="K621" t="s">
        <v>74</v>
      </c>
      <c r="L621" t="s">
        <v>74</v>
      </c>
      <c r="M621" t="s">
        <v>78</v>
      </c>
      <c r="N621" t="s">
        <v>79</v>
      </c>
      <c r="O621" t="s">
        <v>74</v>
      </c>
      <c r="P621" t="s">
        <v>74</v>
      </c>
      <c r="Q621" t="s">
        <v>74</v>
      </c>
      <c r="R621" t="s">
        <v>74</v>
      </c>
      <c r="S621" t="s">
        <v>74</v>
      </c>
      <c r="T621" t="s">
        <v>74</v>
      </c>
      <c r="U621" t="s">
        <v>11995</v>
      </c>
      <c r="V621" t="s">
        <v>11996</v>
      </c>
      <c r="W621" t="s">
        <v>11997</v>
      </c>
      <c r="X621" t="s">
        <v>11998</v>
      </c>
      <c r="Y621" t="s">
        <v>11999</v>
      </c>
      <c r="Z621" t="s">
        <v>12000</v>
      </c>
      <c r="AA621" t="s">
        <v>12001</v>
      </c>
      <c r="AB621" t="s">
        <v>12002</v>
      </c>
      <c r="AC621" t="s">
        <v>12003</v>
      </c>
      <c r="AD621" t="s">
        <v>12004</v>
      </c>
      <c r="AE621" t="s">
        <v>12005</v>
      </c>
      <c r="AF621" t="s">
        <v>74</v>
      </c>
      <c r="AG621">
        <v>86</v>
      </c>
      <c r="AH621">
        <v>0</v>
      </c>
      <c r="AI621">
        <v>0</v>
      </c>
      <c r="AJ621">
        <v>19</v>
      </c>
      <c r="AK621">
        <v>19</v>
      </c>
      <c r="AL621" t="s">
        <v>3057</v>
      </c>
      <c r="AM621" t="s">
        <v>3058</v>
      </c>
      <c r="AN621" t="s">
        <v>3059</v>
      </c>
      <c r="AO621" t="s">
        <v>4881</v>
      </c>
      <c r="AP621" t="s">
        <v>4882</v>
      </c>
      <c r="AQ621" t="s">
        <v>74</v>
      </c>
      <c r="AR621" t="s">
        <v>4883</v>
      </c>
      <c r="AS621" t="s">
        <v>4884</v>
      </c>
      <c r="AT621" t="s">
        <v>1947</v>
      </c>
      <c r="AU621">
        <v>2023</v>
      </c>
      <c r="AV621">
        <v>16</v>
      </c>
      <c r="AW621">
        <v>12</v>
      </c>
      <c r="AX621" t="s">
        <v>74</v>
      </c>
      <c r="AY621" t="s">
        <v>74</v>
      </c>
      <c r="AZ621" t="s">
        <v>74</v>
      </c>
      <c r="BA621" t="s">
        <v>74</v>
      </c>
      <c r="BB621" t="s">
        <v>74</v>
      </c>
      <c r="BC621" t="s">
        <v>74</v>
      </c>
      <c r="BD621" t="s">
        <v>74</v>
      </c>
      <c r="BE621" t="s">
        <v>12006</v>
      </c>
      <c r="BF621" t="str">
        <f>HYPERLINK("http://dx.doi.org/10.1038/s41561-023-01297-x","http://dx.doi.org/10.1038/s41561-023-01297-x")</f>
        <v>http://dx.doi.org/10.1038/s41561-023-01297-x</v>
      </c>
      <c r="BG621" t="s">
        <v>74</v>
      </c>
      <c r="BH621" t="s">
        <v>11428</v>
      </c>
      <c r="BI621">
        <v>21</v>
      </c>
      <c r="BJ621" t="s">
        <v>535</v>
      </c>
      <c r="BK621" t="s">
        <v>100</v>
      </c>
      <c r="BL621" t="s">
        <v>536</v>
      </c>
      <c r="BM621" t="s">
        <v>7733</v>
      </c>
      <c r="BN621" t="s">
        <v>74</v>
      </c>
      <c r="BO621" t="s">
        <v>10844</v>
      </c>
      <c r="BP621" t="s">
        <v>74</v>
      </c>
      <c r="BQ621" t="s">
        <v>74</v>
      </c>
      <c r="BR621" t="s">
        <v>104</v>
      </c>
      <c r="BS621" t="s">
        <v>12007</v>
      </c>
      <c r="BT621" t="str">
        <f>HYPERLINK("https%3A%2F%2Fwww.webofscience.com%2Fwos%2Fwoscc%2Ffull-record%2FWOS:001089878800001","View Full Record in Web of Science")</f>
        <v>View Full Record in Web of Science</v>
      </c>
    </row>
    <row r="622" spans="1:72" x14ac:dyDescent="0.15">
      <c r="A622" t="s">
        <v>72</v>
      </c>
      <c r="B622" t="s">
        <v>12008</v>
      </c>
      <c r="C622" t="s">
        <v>74</v>
      </c>
      <c r="D622" t="s">
        <v>74</v>
      </c>
      <c r="E622" t="s">
        <v>74</v>
      </c>
      <c r="F622" t="s">
        <v>12009</v>
      </c>
      <c r="G622" t="s">
        <v>74</v>
      </c>
      <c r="H622" t="s">
        <v>74</v>
      </c>
      <c r="I622" t="s">
        <v>12010</v>
      </c>
      <c r="J622" t="s">
        <v>12011</v>
      </c>
      <c r="K622" t="s">
        <v>74</v>
      </c>
      <c r="L622" t="s">
        <v>74</v>
      </c>
      <c r="M622" t="s">
        <v>78</v>
      </c>
      <c r="N622" t="s">
        <v>79</v>
      </c>
      <c r="O622" t="s">
        <v>74</v>
      </c>
      <c r="P622" t="s">
        <v>74</v>
      </c>
      <c r="Q622" t="s">
        <v>74</v>
      </c>
      <c r="R622" t="s">
        <v>74</v>
      </c>
      <c r="S622" t="s">
        <v>74</v>
      </c>
      <c r="T622" t="s">
        <v>12012</v>
      </c>
      <c r="U622" t="s">
        <v>12013</v>
      </c>
      <c r="V622" t="s">
        <v>12014</v>
      </c>
      <c r="W622" t="s">
        <v>12015</v>
      </c>
      <c r="X622" t="s">
        <v>12016</v>
      </c>
      <c r="Y622" t="s">
        <v>12017</v>
      </c>
      <c r="Z622" t="s">
        <v>12018</v>
      </c>
      <c r="AA622" t="s">
        <v>74</v>
      </c>
      <c r="AB622" t="s">
        <v>74</v>
      </c>
      <c r="AC622" t="s">
        <v>12019</v>
      </c>
      <c r="AD622" t="s">
        <v>12020</v>
      </c>
      <c r="AE622" t="s">
        <v>12021</v>
      </c>
      <c r="AF622" t="s">
        <v>74</v>
      </c>
      <c r="AG622">
        <v>81</v>
      </c>
      <c r="AH622">
        <v>0</v>
      </c>
      <c r="AI622">
        <v>0</v>
      </c>
      <c r="AJ622">
        <v>7</v>
      </c>
      <c r="AK622">
        <v>7</v>
      </c>
      <c r="AL622" t="s">
        <v>947</v>
      </c>
      <c r="AM622" t="s">
        <v>948</v>
      </c>
      <c r="AN622" t="s">
        <v>949</v>
      </c>
      <c r="AO622" t="s">
        <v>12022</v>
      </c>
      <c r="AP622" t="s">
        <v>12023</v>
      </c>
      <c r="AQ622" t="s">
        <v>74</v>
      </c>
      <c r="AR622" t="s">
        <v>12024</v>
      </c>
      <c r="AS622" t="s">
        <v>12025</v>
      </c>
      <c r="AT622" t="s">
        <v>954</v>
      </c>
      <c r="AU622">
        <v>2024</v>
      </c>
      <c r="AV622">
        <v>187</v>
      </c>
      <c r="AW622" t="s">
        <v>74</v>
      </c>
      <c r="AX622" t="s">
        <v>74</v>
      </c>
      <c r="AY622" t="s">
        <v>74</v>
      </c>
      <c r="AZ622" t="s">
        <v>74</v>
      </c>
      <c r="BA622" t="s">
        <v>74</v>
      </c>
      <c r="BB622" t="s">
        <v>74</v>
      </c>
      <c r="BC622" t="s">
        <v>74</v>
      </c>
      <c r="BD622">
        <v>104419</v>
      </c>
      <c r="BE622" t="s">
        <v>12026</v>
      </c>
      <c r="BF622" t="str">
        <f>HYPERLINK("http://dx.doi.org/10.1016/j.coastaleng.2023.104419","http://dx.doi.org/10.1016/j.coastaleng.2023.104419")</f>
        <v>http://dx.doi.org/10.1016/j.coastaleng.2023.104419</v>
      </c>
      <c r="BG622" t="s">
        <v>74</v>
      </c>
      <c r="BH622" t="s">
        <v>11428</v>
      </c>
      <c r="BI622">
        <v>10</v>
      </c>
      <c r="BJ622" t="s">
        <v>4976</v>
      </c>
      <c r="BK622" t="s">
        <v>100</v>
      </c>
      <c r="BL622" t="s">
        <v>4031</v>
      </c>
      <c r="BM622" t="s">
        <v>12027</v>
      </c>
      <c r="BN622" t="s">
        <v>74</v>
      </c>
      <c r="BO622" t="s">
        <v>74</v>
      </c>
      <c r="BP622" t="s">
        <v>74</v>
      </c>
      <c r="BQ622" t="s">
        <v>74</v>
      </c>
      <c r="BR622" t="s">
        <v>104</v>
      </c>
      <c r="BS622" t="s">
        <v>12028</v>
      </c>
      <c r="BT622" t="str">
        <f>HYPERLINK("https%3A%2F%2Fwww.webofscience.com%2Fwos%2Fwoscc%2Ffull-record%2FWOS:001098580400001","View Full Record in Web of Science")</f>
        <v>View Full Record in Web of Science</v>
      </c>
    </row>
    <row r="623" spans="1:72" x14ac:dyDescent="0.15">
      <c r="A623" t="s">
        <v>72</v>
      </c>
      <c r="B623" t="s">
        <v>12029</v>
      </c>
      <c r="C623" t="s">
        <v>74</v>
      </c>
      <c r="D623" t="s">
        <v>74</v>
      </c>
      <c r="E623" t="s">
        <v>74</v>
      </c>
      <c r="F623" t="s">
        <v>12030</v>
      </c>
      <c r="G623" t="s">
        <v>74</v>
      </c>
      <c r="H623" t="s">
        <v>74</v>
      </c>
      <c r="I623" t="s">
        <v>12031</v>
      </c>
      <c r="J623" t="s">
        <v>1574</v>
      </c>
      <c r="K623" t="s">
        <v>74</v>
      </c>
      <c r="L623" t="s">
        <v>74</v>
      </c>
      <c r="M623" t="s">
        <v>78</v>
      </c>
      <c r="N623" t="s">
        <v>79</v>
      </c>
      <c r="O623" t="s">
        <v>74</v>
      </c>
      <c r="P623" t="s">
        <v>74</v>
      </c>
      <c r="Q623" t="s">
        <v>74</v>
      </c>
      <c r="R623" t="s">
        <v>74</v>
      </c>
      <c r="S623" t="s">
        <v>74</v>
      </c>
      <c r="T623" t="s">
        <v>12032</v>
      </c>
      <c r="U623" t="s">
        <v>12033</v>
      </c>
      <c r="V623" t="s">
        <v>12034</v>
      </c>
      <c r="W623" t="s">
        <v>12035</v>
      </c>
      <c r="X623" t="s">
        <v>12036</v>
      </c>
      <c r="Y623" t="s">
        <v>12037</v>
      </c>
      <c r="Z623" t="s">
        <v>12038</v>
      </c>
      <c r="AA623" t="s">
        <v>12039</v>
      </c>
      <c r="AB623" t="s">
        <v>12040</v>
      </c>
      <c r="AC623" t="s">
        <v>12041</v>
      </c>
      <c r="AD623" t="s">
        <v>12042</v>
      </c>
      <c r="AE623" t="s">
        <v>12043</v>
      </c>
      <c r="AF623" t="s">
        <v>74</v>
      </c>
      <c r="AG623">
        <v>106</v>
      </c>
      <c r="AH623">
        <v>0</v>
      </c>
      <c r="AI623">
        <v>0</v>
      </c>
      <c r="AJ623">
        <v>39</v>
      </c>
      <c r="AK623">
        <v>39</v>
      </c>
      <c r="AL623" t="s">
        <v>947</v>
      </c>
      <c r="AM623" t="s">
        <v>948</v>
      </c>
      <c r="AN623" t="s">
        <v>949</v>
      </c>
      <c r="AO623" t="s">
        <v>1586</v>
      </c>
      <c r="AP623" t="s">
        <v>1587</v>
      </c>
      <c r="AQ623" t="s">
        <v>74</v>
      </c>
      <c r="AR623" t="s">
        <v>1588</v>
      </c>
      <c r="AS623" t="s">
        <v>1589</v>
      </c>
      <c r="AT623" t="s">
        <v>12044</v>
      </c>
      <c r="AU623">
        <v>2024</v>
      </c>
      <c r="AV623">
        <v>463</v>
      </c>
      <c r="AW623" t="s">
        <v>74</v>
      </c>
      <c r="AX623" t="s">
        <v>74</v>
      </c>
      <c r="AY623" t="s">
        <v>74</v>
      </c>
      <c r="AZ623" t="s">
        <v>74</v>
      </c>
      <c r="BA623" t="s">
        <v>74</v>
      </c>
      <c r="BB623" t="s">
        <v>74</v>
      </c>
      <c r="BC623" t="s">
        <v>74</v>
      </c>
      <c r="BD623">
        <v>132824</v>
      </c>
      <c r="BE623" t="s">
        <v>12045</v>
      </c>
      <c r="BF623" t="str">
        <f>HYPERLINK("http://dx.doi.org/10.1016/j.jhazmat.2023.132824","http://dx.doi.org/10.1016/j.jhazmat.2023.132824")</f>
        <v>http://dx.doi.org/10.1016/j.jhazmat.2023.132824</v>
      </c>
      <c r="BG623" t="s">
        <v>74</v>
      </c>
      <c r="BH623" t="s">
        <v>11428</v>
      </c>
      <c r="BI623">
        <v>12</v>
      </c>
      <c r="BJ623" t="s">
        <v>1592</v>
      </c>
      <c r="BK623" t="s">
        <v>100</v>
      </c>
      <c r="BL623" t="s">
        <v>1593</v>
      </c>
      <c r="BM623" t="s">
        <v>12046</v>
      </c>
      <c r="BN623">
        <v>37890383</v>
      </c>
      <c r="BO623" t="s">
        <v>74</v>
      </c>
      <c r="BP623" t="s">
        <v>74</v>
      </c>
      <c r="BQ623" t="s">
        <v>74</v>
      </c>
      <c r="BR623" t="s">
        <v>104</v>
      </c>
      <c r="BS623" t="s">
        <v>12047</v>
      </c>
      <c r="BT623" t="str">
        <f>HYPERLINK("https%3A%2F%2Fwww.webofscience.com%2Fwos%2Fwoscc%2Ffull-record%2FWOS:001105053700001","View Full Record in Web of Science")</f>
        <v>View Full Record in Web of Science</v>
      </c>
    </row>
    <row r="624" spans="1:72" x14ac:dyDescent="0.15">
      <c r="A624" t="s">
        <v>72</v>
      </c>
      <c r="B624" t="s">
        <v>12048</v>
      </c>
      <c r="C624" t="s">
        <v>74</v>
      </c>
      <c r="D624" t="s">
        <v>74</v>
      </c>
      <c r="E624" t="s">
        <v>74</v>
      </c>
      <c r="F624" t="s">
        <v>12049</v>
      </c>
      <c r="G624" t="s">
        <v>74</v>
      </c>
      <c r="H624" t="s">
        <v>74</v>
      </c>
      <c r="I624" t="s">
        <v>12050</v>
      </c>
      <c r="J624" t="s">
        <v>1746</v>
      </c>
      <c r="K624" t="s">
        <v>74</v>
      </c>
      <c r="L624" t="s">
        <v>74</v>
      </c>
      <c r="M624" t="s">
        <v>78</v>
      </c>
      <c r="N624" t="s">
        <v>79</v>
      </c>
      <c r="O624" t="s">
        <v>74</v>
      </c>
      <c r="P624" t="s">
        <v>74</v>
      </c>
      <c r="Q624" t="s">
        <v>74</v>
      </c>
      <c r="R624" t="s">
        <v>74</v>
      </c>
      <c r="S624" t="s">
        <v>74</v>
      </c>
      <c r="T624" t="s">
        <v>12051</v>
      </c>
      <c r="U624" t="s">
        <v>12052</v>
      </c>
      <c r="V624" t="s">
        <v>12053</v>
      </c>
      <c r="W624" t="s">
        <v>12054</v>
      </c>
      <c r="X624" t="s">
        <v>12055</v>
      </c>
      <c r="Y624" t="s">
        <v>12056</v>
      </c>
      <c r="Z624" t="s">
        <v>74</v>
      </c>
      <c r="AA624" t="s">
        <v>74</v>
      </c>
      <c r="AB624" t="s">
        <v>74</v>
      </c>
      <c r="AC624" t="s">
        <v>12057</v>
      </c>
      <c r="AD624" t="s">
        <v>12058</v>
      </c>
      <c r="AE624" t="s">
        <v>12059</v>
      </c>
      <c r="AF624" t="s">
        <v>74</v>
      </c>
      <c r="AG624">
        <v>58</v>
      </c>
      <c r="AH624">
        <v>0</v>
      </c>
      <c r="AI624">
        <v>0</v>
      </c>
      <c r="AJ624">
        <v>8</v>
      </c>
      <c r="AK624">
        <v>8</v>
      </c>
      <c r="AL624" t="s">
        <v>1758</v>
      </c>
      <c r="AM624" t="s">
        <v>1759</v>
      </c>
      <c r="AN624" t="s">
        <v>1760</v>
      </c>
      <c r="AO624" t="s">
        <v>74</v>
      </c>
      <c r="AP624" t="s">
        <v>1761</v>
      </c>
      <c r="AQ624" t="s">
        <v>74</v>
      </c>
      <c r="AR624" t="s">
        <v>1762</v>
      </c>
      <c r="AS624" t="s">
        <v>1763</v>
      </c>
      <c r="AT624" t="s">
        <v>12060</v>
      </c>
      <c r="AU624">
        <v>2023</v>
      </c>
      <c r="AV624">
        <v>10</v>
      </c>
      <c r="AW624" t="s">
        <v>74</v>
      </c>
      <c r="AX624" t="s">
        <v>74</v>
      </c>
      <c r="AY624" t="s">
        <v>74</v>
      </c>
      <c r="AZ624" t="s">
        <v>74</v>
      </c>
      <c r="BA624" t="s">
        <v>74</v>
      </c>
      <c r="BB624" t="s">
        <v>74</v>
      </c>
      <c r="BC624" t="s">
        <v>74</v>
      </c>
      <c r="BD624">
        <v>1223853</v>
      </c>
      <c r="BE624" t="s">
        <v>12061</v>
      </c>
      <c r="BF624" t="str">
        <f>HYPERLINK("http://dx.doi.org/10.3389/fmars.2023.1223853","http://dx.doi.org/10.3389/fmars.2023.1223853")</f>
        <v>http://dx.doi.org/10.3389/fmars.2023.1223853</v>
      </c>
      <c r="BG624" t="s">
        <v>74</v>
      </c>
      <c r="BH624" t="s">
        <v>74</v>
      </c>
      <c r="BI624">
        <v>15</v>
      </c>
      <c r="BJ624" t="s">
        <v>1135</v>
      </c>
      <c r="BK624" t="s">
        <v>100</v>
      </c>
      <c r="BL624" t="s">
        <v>1136</v>
      </c>
      <c r="BM624" t="s">
        <v>12062</v>
      </c>
      <c r="BN624" t="s">
        <v>74</v>
      </c>
      <c r="BO624" t="s">
        <v>200</v>
      </c>
      <c r="BP624" t="s">
        <v>74</v>
      </c>
      <c r="BQ624" t="s">
        <v>74</v>
      </c>
      <c r="BR624" t="s">
        <v>104</v>
      </c>
      <c r="BS624" t="s">
        <v>12063</v>
      </c>
      <c r="BT624" t="str">
        <f>HYPERLINK("https%3A%2F%2Fwww.webofscience.com%2Fwos%2Fwoscc%2Ffull-record%2FWOS:001098873500001","View Full Record in Web of Science")</f>
        <v>View Full Record in Web of Science</v>
      </c>
    </row>
    <row r="625" spans="1:72" x14ac:dyDescent="0.15">
      <c r="A625" t="s">
        <v>72</v>
      </c>
      <c r="B625" t="s">
        <v>12064</v>
      </c>
      <c r="C625" t="s">
        <v>74</v>
      </c>
      <c r="D625" t="s">
        <v>74</v>
      </c>
      <c r="E625" t="s">
        <v>74</v>
      </c>
      <c r="F625" t="s">
        <v>12065</v>
      </c>
      <c r="G625" t="s">
        <v>74</v>
      </c>
      <c r="H625" t="s">
        <v>74</v>
      </c>
      <c r="I625" t="s">
        <v>12066</v>
      </c>
      <c r="J625" t="s">
        <v>12067</v>
      </c>
      <c r="K625" t="s">
        <v>74</v>
      </c>
      <c r="L625" t="s">
        <v>74</v>
      </c>
      <c r="M625" t="s">
        <v>78</v>
      </c>
      <c r="N625" t="s">
        <v>79</v>
      </c>
      <c r="O625" t="s">
        <v>74</v>
      </c>
      <c r="P625" t="s">
        <v>74</v>
      </c>
      <c r="Q625" t="s">
        <v>74</v>
      </c>
      <c r="R625" t="s">
        <v>74</v>
      </c>
      <c r="S625" t="s">
        <v>74</v>
      </c>
      <c r="T625" t="s">
        <v>12068</v>
      </c>
      <c r="U625" t="s">
        <v>12069</v>
      </c>
      <c r="V625" t="s">
        <v>12070</v>
      </c>
      <c r="W625" t="s">
        <v>12071</v>
      </c>
      <c r="X625" t="s">
        <v>12072</v>
      </c>
      <c r="Y625" t="s">
        <v>12073</v>
      </c>
      <c r="Z625" t="s">
        <v>12074</v>
      </c>
      <c r="AA625" t="s">
        <v>12075</v>
      </c>
      <c r="AB625" t="s">
        <v>12076</v>
      </c>
      <c r="AC625" t="s">
        <v>12077</v>
      </c>
      <c r="AD625" t="s">
        <v>12078</v>
      </c>
      <c r="AE625" t="s">
        <v>12079</v>
      </c>
      <c r="AF625" t="s">
        <v>74</v>
      </c>
      <c r="AG625">
        <v>82</v>
      </c>
      <c r="AH625">
        <v>0</v>
      </c>
      <c r="AI625">
        <v>0</v>
      </c>
      <c r="AJ625">
        <v>1</v>
      </c>
      <c r="AK625">
        <v>1</v>
      </c>
      <c r="AL625" t="s">
        <v>12080</v>
      </c>
      <c r="AM625" t="s">
        <v>12081</v>
      </c>
      <c r="AN625" t="s">
        <v>12082</v>
      </c>
      <c r="AO625" t="s">
        <v>12083</v>
      </c>
      <c r="AP625" t="s">
        <v>74</v>
      </c>
      <c r="AQ625" t="s">
        <v>74</v>
      </c>
      <c r="AR625" t="s">
        <v>12084</v>
      </c>
      <c r="AS625" t="s">
        <v>12085</v>
      </c>
      <c r="AT625" t="s">
        <v>954</v>
      </c>
      <c r="AU625">
        <v>2024</v>
      </c>
      <c r="AV625">
        <v>15</v>
      </c>
      <c r="AW625">
        <v>1</v>
      </c>
      <c r="AX625" t="s">
        <v>74</v>
      </c>
      <c r="AY625" t="s">
        <v>74</v>
      </c>
      <c r="AZ625" t="s">
        <v>74</v>
      </c>
      <c r="BA625" t="s">
        <v>74</v>
      </c>
      <c r="BB625" t="s">
        <v>74</v>
      </c>
      <c r="BC625" t="s">
        <v>74</v>
      </c>
      <c r="BD625">
        <v>101727</v>
      </c>
      <c r="BE625" t="s">
        <v>12086</v>
      </c>
      <c r="BF625" t="str">
        <f>HYPERLINK("http://dx.doi.org/10.1016/j.gsf.2023.101727","http://dx.doi.org/10.1016/j.gsf.2023.101727")</f>
        <v>http://dx.doi.org/10.1016/j.gsf.2023.101727</v>
      </c>
      <c r="BG625" t="s">
        <v>74</v>
      </c>
      <c r="BH625" t="s">
        <v>11428</v>
      </c>
      <c r="BI625">
        <v>21</v>
      </c>
      <c r="BJ625" t="s">
        <v>535</v>
      </c>
      <c r="BK625" t="s">
        <v>100</v>
      </c>
      <c r="BL625" t="s">
        <v>536</v>
      </c>
      <c r="BM625" t="s">
        <v>12087</v>
      </c>
      <c r="BN625" t="s">
        <v>74</v>
      </c>
      <c r="BO625" t="s">
        <v>131</v>
      </c>
      <c r="BP625" t="s">
        <v>74</v>
      </c>
      <c r="BQ625" t="s">
        <v>74</v>
      </c>
      <c r="BR625" t="s">
        <v>104</v>
      </c>
      <c r="BS625" t="s">
        <v>12088</v>
      </c>
      <c r="BT625" t="str">
        <f>HYPERLINK("https%3A%2F%2Fwww.webofscience.com%2Fwos%2Fwoscc%2Ffull-record%2FWOS:001098818900001","View Full Record in Web of Science")</f>
        <v>View Full Record in Web of Science</v>
      </c>
    </row>
    <row r="626" spans="1:72" x14ac:dyDescent="0.15">
      <c r="A626" t="s">
        <v>72</v>
      </c>
      <c r="B626" t="s">
        <v>12089</v>
      </c>
      <c r="C626" t="s">
        <v>74</v>
      </c>
      <c r="D626" t="s">
        <v>74</v>
      </c>
      <c r="E626" t="s">
        <v>74</v>
      </c>
      <c r="F626" t="s">
        <v>12090</v>
      </c>
      <c r="G626" t="s">
        <v>74</v>
      </c>
      <c r="H626" t="s">
        <v>74</v>
      </c>
      <c r="I626" t="s">
        <v>12091</v>
      </c>
      <c r="J626" t="s">
        <v>962</v>
      </c>
      <c r="K626" t="s">
        <v>74</v>
      </c>
      <c r="L626" t="s">
        <v>74</v>
      </c>
      <c r="M626" t="s">
        <v>78</v>
      </c>
      <c r="N626" t="s">
        <v>79</v>
      </c>
      <c r="O626" t="s">
        <v>74</v>
      </c>
      <c r="P626" t="s">
        <v>74</v>
      </c>
      <c r="Q626" t="s">
        <v>74</v>
      </c>
      <c r="R626" t="s">
        <v>74</v>
      </c>
      <c r="S626" t="s">
        <v>74</v>
      </c>
      <c r="T626" t="s">
        <v>12092</v>
      </c>
      <c r="U626" t="s">
        <v>12093</v>
      </c>
      <c r="V626" t="s">
        <v>12094</v>
      </c>
      <c r="W626" t="s">
        <v>12095</v>
      </c>
      <c r="X626" t="s">
        <v>12096</v>
      </c>
      <c r="Y626" t="s">
        <v>12097</v>
      </c>
      <c r="Z626" t="s">
        <v>12098</v>
      </c>
      <c r="AA626" t="s">
        <v>74</v>
      </c>
      <c r="AB626" t="s">
        <v>12099</v>
      </c>
      <c r="AC626" t="s">
        <v>12100</v>
      </c>
      <c r="AD626" t="s">
        <v>12101</v>
      </c>
      <c r="AE626" t="s">
        <v>12102</v>
      </c>
      <c r="AF626" t="s">
        <v>74</v>
      </c>
      <c r="AG626">
        <v>44</v>
      </c>
      <c r="AH626">
        <v>0</v>
      </c>
      <c r="AI626">
        <v>0</v>
      </c>
      <c r="AJ626">
        <v>4</v>
      </c>
      <c r="AK626">
        <v>4</v>
      </c>
      <c r="AL626" t="s">
        <v>975</v>
      </c>
      <c r="AM626" t="s">
        <v>976</v>
      </c>
      <c r="AN626" t="s">
        <v>977</v>
      </c>
      <c r="AO626" t="s">
        <v>978</v>
      </c>
      <c r="AP626" t="s">
        <v>979</v>
      </c>
      <c r="AQ626" t="s">
        <v>74</v>
      </c>
      <c r="AR626" t="s">
        <v>980</v>
      </c>
      <c r="AS626" t="s">
        <v>981</v>
      </c>
      <c r="AT626" t="s">
        <v>5341</v>
      </c>
      <c r="AU626">
        <v>2023</v>
      </c>
      <c r="AV626">
        <v>321</v>
      </c>
      <c r="AW626" t="s">
        <v>74</v>
      </c>
      <c r="AX626" t="s">
        <v>74</v>
      </c>
      <c r="AY626" t="s">
        <v>74</v>
      </c>
      <c r="AZ626" t="s">
        <v>74</v>
      </c>
      <c r="BA626" t="s">
        <v>74</v>
      </c>
      <c r="BB626" t="s">
        <v>74</v>
      </c>
      <c r="BC626" t="s">
        <v>74</v>
      </c>
      <c r="BD626">
        <v>108346</v>
      </c>
      <c r="BE626" t="s">
        <v>12103</v>
      </c>
      <c r="BF626" t="str">
        <f>HYPERLINK("http://dx.doi.org/10.1016/j.quascirev.2023.108346","http://dx.doi.org/10.1016/j.quascirev.2023.108346")</f>
        <v>http://dx.doi.org/10.1016/j.quascirev.2023.108346</v>
      </c>
      <c r="BG626" t="s">
        <v>74</v>
      </c>
      <c r="BH626" t="s">
        <v>11428</v>
      </c>
      <c r="BI626">
        <v>13</v>
      </c>
      <c r="BJ626" t="s">
        <v>984</v>
      </c>
      <c r="BK626" t="s">
        <v>100</v>
      </c>
      <c r="BL626" t="s">
        <v>985</v>
      </c>
      <c r="BM626" t="s">
        <v>12104</v>
      </c>
      <c r="BN626" t="s">
        <v>74</v>
      </c>
      <c r="BO626" t="s">
        <v>103</v>
      </c>
      <c r="BP626" t="s">
        <v>74</v>
      </c>
      <c r="BQ626" t="s">
        <v>74</v>
      </c>
      <c r="BR626" t="s">
        <v>104</v>
      </c>
      <c r="BS626" t="s">
        <v>12105</v>
      </c>
      <c r="BT626" t="str">
        <f>HYPERLINK("https%3A%2F%2Fwww.webofscience.com%2Fwos%2Fwoscc%2Ffull-record%2FWOS:001100010100001","View Full Record in Web of Science")</f>
        <v>View Full Record in Web of Science</v>
      </c>
    </row>
    <row r="627" spans="1:72" x14ac:dyDescent="0.15">
      <c r="A627" t="s">
        <v>72</v>
      </c>
      <c r="B627" t="s">
        <v>12106</v>
      </c>
      <c r="C627" t="s">
        <v>74</v>
      </c>
      <c r="D627" t="s">
        <v>74</v>
      </c>
      <c r="E627" t="s">
        <v>74</v>
      </c>
      <c r="F627" t="s">
        <v>12107</v>
      </c>
      <c r="G627" t="s">
        <v>74</v>
      </c>
      <c r="H627" t="s">
        <v>74</v>
      </c>
      <c r="I627" t="s">
        <v>12108</v>
      </c>
      <c r="J627" t="s">
        <v>12109</v>
      </c>
      <c r="K627" t="s">
        <v>74</v>
      </c>
      <c r="L627" t="s">
        <v>74</v>
      </c>
      <c r="M627" t="s">
        <v>78</v>
      </c>
      <c r="N627" t="s">
        <v>79</v>
      </c>
      <c r="O627" t="s">
        <v>74</v>
      </c>
      <c r="P627" t="s">
        <v>74</v>
      </c>
      <c r="Q627" t="s">
        <v>74</v>
      </c>
      <c r="R627" t="s">
        <v>74</v>
      </c>
      <c r="S627" t="s">
        <v>74</v>
      </c>
      <c r="T627" t="s">
        <v>12110</v>
      </c>
      <c r="U627" t="s">
        <v>12111</v>
      </c>
      <c r="V627" t="s">
        <v>12112</v>
      </c>
      <c r="W627" t="s">
        <v>12113</v>
      </c>
      <c r="X627" t="s">
        <v>12114</v>
      </c>
      <c r="Y627" t="s">
        <v>12115</v>
      </c>
      <c r="Z627" t="s">
        <v>12116</v>
      </c>
      <c r="AA627" t="s">
        <v>12117</v>
      </c>
      <c r="AB627" t="s">
        <v>74</v>
      </c>
      <c r="AC627" t="s">
        <v>12118</v>
      </c>
      <c r="AD627" t="s">
        <v>1002</v>
      </c>
      <c r="AE627" t="s">
        <v>12119</v>
      </c>
      <c r="AF627" t="s">
        <v>74</v>
      </c>
      <c r="AG627">
        <v>131</v>
      </c>
      <c r="AH627">
        <v>1</v>
      </c>
      <c r="AI627">
        <v>1</v>
      </c>
      <c r="AJ627">
        <v>5</v>
      </c>
      <c r="AK627">
        <v>5</v>
      </c>
      <c r="AL627" t="s">
        <v>947</v>
      </c>
      <c r="AM627" t="s">
        <v>948</v>
      </c>
      <c r="AN627" t="s">
        <v>949</v>
      </c>
      <c r="AO627" t="s">
        <v>12120</v>
      </c>
      <c r="AP627" t="s">
        <v>12121</v>
      </c>
      <c r="AQ627" t="s">
        <v>74</v>
      </c>
      <c r="AR627" t="s">
        <v>12122</v>
      </c>
      <c r="AS627" t="s">
        <v>12123</v>
      </c>
      <c r="AT627" t="s">
        <v>2358</v>
      </c>
      <c r="AU627">
        <v>2023</v>
      </c>
      <c r="AV627">
        <v>641</v>
      </c>
      <c r="AW627" t="s">
        <v>74</v>
      </c>
      <c r="AX627" t="s">
        <v>74</v>
      </c>
      <c r="AY627" t="s">
        <v>74</v>
      </c>
      <c r="AZ627" t="s">
        <v>74</v>
      </c>
      <c r="BA627" t="s">
        <v>74</v>
      </c>
      <c r="BB627" t="s">
        <v>74</v>
      </c>
      <c r="BC627" t="s">
        <v>74</v>
      </c>
      <c r="BD627">
        <v>121780</v>
      </c>
      <c r="BE627" t="s">
        <v>12124</v>
      </c>
      <c r="BF627" t="str">
        <f>HYPERLINK("http://dx.doi.org/10.1016/j.chemgeo.2023.121780","http://dx.doi.org/10.1016/j.chemgeo.2023.121780")</f>
        <v>http://dx.doi.org/10.1016/j.chemgeo.2023.121780</v>
      </c>
      <c r="BG627" t="s">
        <v>74</v>
      </c>
      <c r="BH627" t="s">
        <v>11428</v>
      </c>
      <c r="BI627">
        <v>17</v>
      </c>
      <c r="BJ627" t="s">
        <v>4252</v>
      </c>
      <c r="BK627" t="s">
        <v>100</v>
      </c>
      <c r="BL627" t="s">
        <v>4252</v>
      </c>
      <c r="BM627" t="s">
        <v>12125</v>
      </c>
      <c r="BN627" t="s">
        <v>74</v>
      </c>
      <c r="BO627" t="s">
        <v>103</v>
      </c>
      <c r="BP627" t="s">
        <v>74</v>
      </c>
      <c r="BQ627" t="s">
        <v>74</v>
      </c>
      <c r="BR627" t="s">
        <v>104</v>
      </c>
      <c r="BS627" t="s">
        <v>12126</v>
      </c>
      <c r="BT627" t="str">
        <f>HYPERLINK("https%3A%2F%2Fwww.webofscience.com%2Fwos%2Fwoscc%2Ffull-record%2FWOS:001095131200001","View Full Record in Web of Science")</f>
        <v>View Full Record in Web of Science</v>
      </c>
    </row>
    <row r="628" spans="1:72" x14ac:dyDescent="0.15">
      <c r="A628" t="s">
        <v>72</v>
      </c>
      <c r="B628" t="s">
        <v>12127</v>
      </c>
      <c r="C628" t="s">
        <v>74</v>
      </c>
      <c r="D628" t="s">
        <v>74</v>
      </c>
      <c r="E628" t="s">
        <v>74</v>
      </c>
      <c r="F628" t="s">
        <v>12128</v>
      </c>
      <c r="G628" t="s">
        <v>74</v>
      </c>
      <c r="H628" t="s">
        <v>74</v>
      </c>
      <c r="I628" t="s">
        <v>12129</v>
      </c>
      <c r="J628" t="s">
        <v>9674</v>
      </c>
      <c r="K628" t="s">
        <v>74</v>
      </c>
      <c r="L628" t="s">
        <v>74</v>
      </c>
      <c r="M628" t="s">
        <v>78</v>
      </c>
      <c r="N628" t="s">
        <v>79</v>
      </c>
      <c r="O628" t="s">
        <v>74</v>
      </c>
      <c r="P628" t="s">
        <v>74</v>
      </c>
      <c r="Q628" t="s">
        <v>74</v>
      </c>
      <c r="R628" t="s">
        <v>74</v>
      </c>
      <c r="S628" t="s">
        <v>74</v>
      </c>
      <c r="T628" t="s">
        <v>12130</v>
      </c>
      <c r="U628" t="s">
        <v>12131</v>
      </c>
      <c r="V628" t="s">
        <v>12132</v>
      </c>
      <c r="W628" t="s">
        <v>12133</v>
      </c>
      <c r="X628" t="s">
        <v>12134</v>
      </c>
      <c r="Y628" t="s">
        <v>12135</v>
      </c>
      <c r="Z628" t="s">
        <v>12136</v>
      </c>
      <c r="AA628" t="s">
        <v>12137</v>
      </c>
      <c r="AB628" t="s">
        <v>12138</v>
      </c>
      <c r="AC628" t="s">
        <v>12139</v>
      </c>
      <c r="AD628" t="s">
        <v>12140</v>
      </c>
      <c r="AE628" t="s">
        <v>12141</v>
      </c>
      <c r="AF628" t="s">
        <v>74</v>
      </c>
      <c r="AG628">
        <v>52</v>
      </c>
      <c r="AH628">
        <v>0</v>
      </c>
      <c r="AI628">
        <v>0</v>
      </c>
      <c r="AJ628">
        <v>1</v>
      </c>
      <c r="AK628">
        <v>1</v>
      </c>
      <c r="AL628" t="s">
        <v>1101</v>
      </c>
      <c r="AM628" t="s">
        <v>1102</v>
      </c>
      <c r="AN628" t="s">
        <v>1103</v>
      </c>
      <c r="AO628" t="s">
        <v>9687</v>
      </c>
      <c r="AP628" t="s">
        <v>9688</v>
      </c>
      <c r="AQ628" t="s">
        <v>74</v>
      </c>
      <c r="AR628" t="s">
        <v>9689</v>
      </c>
      <c r="AS628" t="s">
        <v>9690</v>
      </c>
      <c r="AT628" t="s">
        <v>1649</v>
      </c>
      <c r="AU628">
        <v>2023</v>
      </c>
      <c r="AV628">
        <v>43</v>
      </c>
      <c r="AW628">
        <v>16</v>
      </c>
      <c r="AX628" t="s">
        <v>74</v>
      </c>
      <c r="AY628" t="s">
        <v>74</v>
      </c>
      <c r="AZ628" t="s">
        <v>74</v>
      </c>
      <c r="BA628" t="s">
        <v>74</v>
      </c>
      <c r="BB628">
        <v>7745</v>
      </c>
      <c r="BC628">
        <v>7760</v>
      </c>
      <c r="BD628" t="s">
        <v>74</v>
      </c>
      <c r="BE628" t="s">
        <v>12142</v>
      </c>
      <c r="BF628" t="str">
        <f>HYPERLINK("http://dx.doi.org/10.1002/joc.8290","http://dx.doi.org/10.1002/joc.8290")</f>
        <v>http://dx.doi.org/10.1002/joc.8290</v>
      </c>
      <c r="BG628" t="s">
        <v>74</v>
      </c>
      <c r="BH628" t="s">
        <v>11428</v>
      </c>
      <c r="BI628">
        <v>16</v>
      </c>
      <c r="BJ628" t="s">
        <v>1522</v>
      </c>
      <c r="BK628" t="s">
        <v>100</v>
      </c>
      <c r="BL628" t="s">
        <v>1522</v>
      </c>
      <c r="BM628" t="s">
        <v>9692</v>
      </c>
      <c r="BN628" t="s">
        <v>74</v>
      </c>
      <c r="BO628" t="s">
        <v>74</v>
      </c>
      <c r="BP628" t="s">
        <v>74</v>
      </c>
      <c r="BQ628" t="s">
        <v>74</v>
      </c>
      <c r="BR628" t="s">
        <v>104</v>
      </c>
      <c r="BS628" t="s">
        <v>12143</v>
      </c>
      <c r="BT628" t="str">
        <f>HYPERLINK("https%3A%2F%2Fwww.webofscience.com%2Fwos%2Fwoscc%2Ffull-record%2FWOS:001090969100001","View Full Record in Web of Science")</f>
        <v>View Full Record in Web of Science</v>
      </c>
    </row>
    <row r="629" spans="1:72" x14ac:dyDescent="0.15">
      <c r="A629" t="s">
        <v>72</v>
      </c>
      <c r="B629" t="s">
        <v>12144</v>
      </c>
      <c r="C629" t="s">
        <v>74</v>
      </c>
      <c r="D629" t="s">
        <v>74</v>
      </c>
      <c r="E629" t="s">
        <v>74</v>
      </c>
      <c r="F629" t="s">
        <v>12145</v>
      </c>
      <c r="G629" t="s">
        <v>74</v>
      </c>
      <c r="H629" t="s">
        <v>74</v>
      </c>
      <c r="I629" t="s">
        <v>12146</v>
      </c>
      <c r="J629" t="s">
        <v>4622</v>
      </c>
      <c r="K629" t="s">
        <v>74</v>
      </c>
      <c r="L629" t="s">
        <v>74</v>
      </c>
      <c r="M629" t="s">
        <v>78</v>
      </c>
      <c r="N629" t="s">
        <v>79</v>
      </c>
      <c r="O629" t="s">
        <v>74</v>
      </c>
      <c r="P629" t="s">
        <v>74</v>
      </c>
      <c r="Q629" t="s">
        <v>74</v>
      </c>
      <c r="R629" t="s">
        <v>74</v>
      </c>
      <c r="S629" t="s">
        <v>74</v>
      </c>
      <c r="T629" t="s">
        <v>12147</v>
      </c>
      <c r="U629" t="s">
        <v>12148</v>
      </c>
      <c r="V629" t="s">
        <v>12149</v>
      </c>
      <c r="W629" t="s">
        <v>12150</v>
      </c>
      <c r="X629" t="s">
        <v>12151</v>
      </c>
      <c r="Y629" t="s">
        <v>12152</v>
      </c>
      <c r="Z629" t="s">
        <v>12153</v>
      </c>
      <c r="AA629" t="s">
        <v>12154</v>
      </c>
      <c r="AB629" t="s">
        <v>12155</v>
      </c>
      <c r="AC629" t="s">
        <v>12156</v>
      </c>
      <c r="AD629" t="s">
        <v>12156</v>
      </c>
      <c r="AE629" t="s">
        <v>12156</v>
      </c>
      <c r="AF629" t="s">
        <v>74</v>
      </c>
      <c r="AG629">
        <v>34</v>
      </c>
      <c r="AH629">
        <v>0</v>
      </c>
      <c r="AI629">
        <v>0</v>
      </c>
      <c r="AJ629">
        <v>4</v>
      </c>
      <c r="AK629">
        <v>4</v>
      </c>
      <c r="AL629" t="s">
        <v>2554</v>
      </c>
      <c r="AM629" t="s">
        <v>2294</v>
      </c>
      <c r="AN629" t="s">
        <v>2555</v>
      </c>
      <c r="AO629" t="s">
        <v>4635</v>
      </c>
      <c r="AP629" t="s">
        <v>4636</v>
      </c>
      <c r="AQ629" t="s">
        <v>74</v>
      </c>
      <c r="AR629" t="s">
        <v>4637</v>
      </c>
      <c r="AS629" t="s">
        <v>4638</v>
      </c>
      <c r="AT629" t="s">
        <v>12060</v>
      </c>
      <c r="AU629">
        <v>2023</v>
      </c>
      <c r="AV629">
        <v>19</v>
      </c>
      <c r="AW629">
        <v>10</v>
      </c>
      <c r="AX629" t="s">
        <v>74</v>
      </c>
      <c r="AY629" t="s">
        <v>74</v>
      </c>
      <c r="AZ629" t="s">
        <v>74</v>
      </c>
      <c r="BA629" t="s">
        <v>74</v>
      </c>
      <c r="BB629" t="s">
        <v>74</v>
      </c>
      <c r="BC629" t="s">
        <v>74</v>
      </c>
      <c r="BD629">
        <v>20230142</v>
      </c>
      <c r="BE629" t="s">
        <v>12157</v>
      </c>
      <c r="BF629" t="str">
        <f>HYPERLINK("http://dx.doi.org/10.1098/rsbl.2023.0142","http://dx.doi.org/10.1098/rsbl.2023.0142")</f>
        <v>http://dx.doi.org/10.1098/rsbl.2023.0142</v>
      </c>
      <c r="BG629" t="s">
        <v>74</v>
      </c>
      <c r="BH629" t="s">
        <v>74</v>
      </c>
      <c r="BI629">
        <v>6</v>
      </c>
      <c r="BJ629" t="s">
        <v>4640</v>
      </c>
      <c r="BK629" t="s">
        <v>100</v>
      </c>
      <c r="BL629" t="s">
        <v>4641</v>
      </c>
      <c r="BM629" t="s">
        <v>12158</v>
      </c>
      <c r="BN629">
        <v>37875159</v>
      </c>
      <c r="BO629" t="s">
        <v>1717</v>
      </c>
      <c r="BP629" t="s">
        <v>74</v>
      </c>
      <c r="BQ629" t="s">
        <v>74</v>
      </c>
      <c r="BR629" t="s">
        <v>104</v>
      </c>
      <c r="BS629" t="s">
        <v>12159</v>
      </c>
      <c r="BT629" t="str">
        <f>HYPERLINK("https%3A%2F%2Fwww.webofscience.com%2Fwos%2Fwoscc%2Ffull-record%2FWOS:001088328600001","View Full Record in Web of Science")</f>
        <v>View Full Record in Web of Science</v>
      </c>
    </row>
    <row r="630" spans="1:72" x14ac:dyDescent="0.15">
      <c r="A630" t="s">
        <v>72</v>
      </c>
      <c r="B630" t="s">
        <v>12160</v>
      </c>
      <c r="C630" t="s">
        <v>74</v>
      </c>
      <c r="D630" t="s">
        <v>74</v>
      </c>
      <c r="E630" t="s">
        <v>74</v>
      </c>
      <c r="F630" t="s">
        <v>12161</v>
      </c>
      <c r="G630" t="s">
        <v>74</v>
      </c>
      <c r="H630" t="s">
        <v>74</v>
      </c>
      <c r="I630" t="s">
        <v>12162</v>
      </c>
      <c r="J630" t="s">
        <v>12163</v>
      </c>
      <c r="K630" t="s">
        <v>74</v>
      </c>
      <c r="L630" t="s">
        <v>74</v>
      </c>
      <c r="M630" t="s">
        <v>78</v>
      </c>
      <c r="N630" t="s">
        <v>79</v>
      </c>
      <c r="O630" t="s">
        <v>74</v>
      </c>
      <c r="P630" t="s">
        <v>74</v>
      </c>
      <c r="Q630" t="s">
        <v>74</v>
      </c>
      <c r="R630" t="s">
        <v>74</v>
      </c>
      <c r="S630" t="s">
        <v>74</v>
      </c>
      <c r="T630" t="s">
        <v>12164</v>
      </c>
      <c r="U630" t="s">
        <v>12165</v>
      </c>
      <c r="V630" t="s">
        <v>12166</v>
      </c>
      <c r="W630" t="s">
        <v>12167</v>
      </c>
      <c r="X630" t="s">
        <v>12168</v>
      </c>
      <c r="Y630" t="s">
        <v>12169</v>
      </c>
      <c r="Z630" t="s">
        <v>12170</v>
      </c>
      <c r="AA630" t="s">
        <v>12171</v>
      </c>
      <c r="AB630" t="s">
        <v>12172</v>
      </c>
      <c r="AC630" t="s">
        <v>12173</v>
      </c>
      <c r="AD630" t="s">
        <v>12174</v>
      </c>
      <c r="AE630" t="s">
        <v>12175</v>
      </c>
      <c r="AF630" t="s">
        <v>74</v>
      </c>
      <c r="AG630">
        <v>165</v>
      </c>
      <c r="AH630">
        <v>1</v>
      </c>
      <c r="AI630">
        <v>1</v>
      </c>
      <c r="AJ630">
        <v>11</v>
      </c>
      <c r="AK630">
        <v>11</v>
      </c>
      <c r="AL630" t="s">
        <v>1075</v>
      </c>
      <c r="AM630" t="s">
        <v>2949</v>
      </c>
      <c r="AN630" t="s">
        <v>2950</v>
      </c>
      <c r="AO630" t="s">
        <v>12176</v>
      </c>
      <c r="AP630" t="s">
        <v>12177</v>
      </c>
      <c r="AQ630" t="s">
        <v>74</v>
      </c>
      <c r="AR630" t="s">
        <v>12163</v>
      </c>
      <c r="AS630" t="s">
        <v>12178</v>
      </c>
      <c r="AT630" t="s">
        <v>10415</v>
      </c>
      <c r="AU630">
        <v>2023</v>
      </c>
      <c r="AV630">
        <v>32</v>
      </c>
      <c r="AW630">
        <v>8</v>
      </c>
      <c r="AX630" t="s">
        <v>74</v>
      </c>
      <c r="AY630" t="s">
        <v>74</v>
      </c>
      <c r="AZ630" t="s">
        <v>4005</v>
      </c>
      <c r="BA630" t="s">
        <v>74</v>
      </c>
      <c r="BB630">
        <v>1024</v>
      </c>
      <c r="BC630">
        <v>1049</v>
      </c>
      <c r="BD630" t="s">
        <v>74</v>
      </c>
      <c r="BE630" t="s">
        <v>12179</v>
      </c>
      <c r="BF630" t="str">
        <f>HYPERLINK("http://dx.doi.org/10.1007/s10646-023-02709-9","http://dx.doi.org/10.1007/s10646-023-02709-9")</f>
        <v>http://dx.doi.org/10.1007/s10646-023-02709-9</v>
      </c>
      <c r="BG630" t="s">
        <v>74</v>
      </c>
      <c r="BH630" t="s">
        <v>11428</v>
      </c>
      <c r="BI630">
        <v>26</v>
      </c>
      <c r="BJ630" t="s">
        <v>12180</v>
      </c>
      <c r="BK630" t="s">
        <v>100</v>
      </c>
      <c r="BL630" t="s">
        <v>12181</v>
      </c>
      <c r="BM630" t="s">
        <v>12182</v>
      </c>
      <c r="BN630">
        <v>37878111</v>
      </c>
      <c r="BO630" t="s">
        <v>74</v>
      </c>
      <c r="BP630" t="s">
        <v>74</v>
      </c>
      <c r="BQ630" t="s">
        <v>74</v>
      </c>
      <c r="BR630" t="s">
        <v>104</v>
      </c>
      <c r="BS630" t="s">
        <v>12183</v>
      </c>
      <c r="BT630" t="str">
        <f>HYPERLINK("https%3A%2F%2Fwww.webofscience.com%2Fwos%2Fwoscc%2Ffull-record%2FWOS:001086809900001","View Full Record in Web of Science")</f>
        <v>View Full Record in Web of Science</v>
      </c>
    </row>
    <row r="631" spans="1:72" x14ac:dyDescent="0.15">
      <c r="A631" t="s">
        <v>72</v>
      </c>
      <c r="B631" t="s">
        <v>12184</v>
      </c>
      <c r="C631" t="s">
        <v>74</v>
      </c>
      <c r="D631" t="s">
        <v>74</v>
      </c>
      <c r="E631" t="s">
        <v>74</v>
      </c>
      <c r="F631" t="s">
        <v>12185</v>
      </c>
      <c r="G631" t="s">
        <v>74</v>
      </c>
      <c r="H631" t="s">
        <v>74</v>
      </c>
      <c r="I631" t="s">
        <v>12186</v>
      </c>
      <c r="J631" t="s">
        <v>2366</v>
      </c>
      <c r="K631" t="s">
        <v>74</v>
      </c>
      <c r="L631" t="s">
        <v>74</v>
      </c>
      <c r="M631" t="s">
        <v>78</v>
      </c>
      <c r="N631" t="s">
        <v>79</v>
      </c>
      <c r="O631" t="s">
        <v>74</v>
      </c>
      <c r="P631" t="s">
        <v>74</v>
      </c>
      <c r="Q631" t="s">
        <v>74</v>
      </c>
      <c r="R631" t="s">
        <v>74</v>
      </c>
      <c r="S631" t="s">
        <v>74</v>
      </c>
      <c r="T631" t="s">
        <v>74</v>
      </c>
      <c r="U631" t="s">
        <v>12187</v>
      </c>
      <c r="V631" t="s">
        <v>12188</v>
      </c>
      <c r="W631" t="s">
        <v>12189</v>
      </c>
      <c r="X631" t="s">
        <v>12190</v>
      </c>
      <c r="Y631" t="s">
        <v>12191</v>
      </c>
      <c r="Z631" t="s">
        <v>12192</v>
      </c>
      <c r="AA631" t="s">
        <v>12193</v>
      </c>
      <c r="AB631" t="s">
        <v>12194</v>
      </c>
      <c r="AC631" t="s">
        <v>12195</v>
      </c>
      <c r="AD631" t="s">
        <v>12196</v>
      </c>
      <c r="AE631" t="s">
        <v>12197</v>
      </c>
      <c r="AF631" t="s">
        <v>74</v>
      </c>
      <c r="AG631">
        <v>65</v>
      </c>
      <c r="AH631">
        <v>0</v>
      </c>
      <c r="AI631">
        <v>0</v>
      </c>
      <c r="AJ631">
        <v>3</v>
      </c>
      <c r="AK631">
        <v>3</v>
      </c>
      <c r="AL631" t="s">
        <v>1838</v>
      </c>
      <c r="AM631" t="s">
        <v>1839</v>
      </c>
      <c r="AN631" t="s">
        <v>1840</v>
      </c>
      <c r="AO631" t="s">
        <v>2377</v>
      </c>
      <c r="AP631" t="s">
        <v>2378</v>
      </c>
      <c r="AQ631" t="s">
        <v>74</v>
      </c>
      <c r="AR631" t="s">
        <v>2379</v>
      </c>
      <c r="AS631" t="s">
        <v>2380</v>
      </c>
      <c r="AT631" t="s">
        <v>12198</v>
      </c>
      <c r="AU631">
        <v>2023</v>
      </c>
      <c r="AV631">
        <v>23</v>
      </c>
      <c r="AW631">
        <v>20</v>
      </c>
      <c r="AX631" t="s">
        <v>74</v>
      </c>
      <c r="AY631" t="s">
        <v>74</v>
      </c>
      <c r="AZ631" t="s">
        <v>74</v>
      </c>
      <c r="BA631" t="s">
        <v>74</v>
      </c>
      <c r="BB631">
        <v>13387</v>
      </c>
      <c r="BC631">
        <v>13411</v>
      </c>
      <c r="BD631" t="s">
        <v>74</v>
      </c>
      <c r="BE631" t="s">
        <v>12199</v>
      </c>
      <c r="BF631" t="str">
        <f>HYPERLINK("http://dx.doi.org/10.5194/acp-23-13387-2023","http://dx.doi.org/10.5194/acp-23-13387-2023")</f>
        <v>http://dx.doi.org/10.5194/acp-23-13387-2023</v>
      </c>
      <c r="BG631" t="s">
        <v>74</v>
      </c>
      <c r="BH631" t="s">
        <v>74</v>
      </c>
      <c r="BI631">
        <v>25</v>
      </c>
      <c r="BJ631" t="s">
        <v>2382</v>
      </c>
      <c r="BK631" t="s">
        <v>100</v>
      </c>
      <c r="BL631" t="s">
        <v>2383</v>
      </c>
      <c r="BM631" t="s">
        <v>12200</v>
      </c>
      <c r="BN631" t="s">
        <v>74</v>
      </c>
      <c r="BO631" t="s">
        <v>183</v>
      </c>
      <c r="BP631" t="s">
        <v>74</v>
      </c>
      <c r="BQ631" t="s">
        <v>74</v>
      </c>
      <c r="BR631" t="s">
        <v>104</v>
      </c>
      <c r="BS631" t="s">
        <v>12201</v>
      </c>
      <c r="BT631" t="str">
        <f>HYPERLINK("https%3A%2F%2Fwww.webofscience.com%2Fwos%2Fwoscc%2Ffull-record%2FWOS:001161799200001","View Full Record in Web of Science")</f>
        <v>View Full Record in Web of Science</v>
      </c>
    </row>
    <row r="632" spans="1:72" x14ac:dyDescent="0.15">
      <c r="A632" t="s">
        <v>72</v>
      </c>
      <c r="B632" t="s">
        <v>12202</v>
      </c>
      <c r="C632" t="s">
        <v>74</v>
      </c>
      <c r="D632" t="s">
        <v>74</v>
      </c>
      <c r="E632" t="s">
        <v>74</v>
      </c>
      <c r="F632" t="s">
        <v>12203</v>
      </c>
      <c r="G632" t="s">
        <v>74</v>
      </c>
      <c r="H632" t="s">
        <v>74</v>
      </c>
      <c r="I632" t="s">
        <v>12204</v>
      </c>
      <c r="J632" t="s">
        <v>1017</v>
      </c>
      <c r="K632" t="s">
        <v>74</v>
      </c>
      <c r="L632" t="s">
        <v>74</v>
      </c>
      <c r="M632" t="s">
        <v>78</v>
      </c>
      <c r="N632" t="s">
        <v>79</v>
      </c>
      <c r="O632" t="s">
        <v>74</v>
      </c>
      <c r="P632" t="s">
        <v>74</v>
      </c>
      <c r="Q632" t="s">
        <v>74</v>
      </c>
      <c r="R632" t="s">
        <v>74</v>
      </c>
      <c r="S632" t="s">
        <v>74</v>
      </c>
      <c r="T632" t="s">
        <v>74</v>
      </c>
      <c r="U632" t="s">
        <v>12205</v>
      </c>
      <c r="V632" t="s">
        <v>12206</v>
      </c>
      <c r="W632" t="s">
        <v>12207</v>
      </c>
      <c r="X632" t="s">
        <v>12208</v>
      </c>
      <c r="Y632" t="s">
        <v>12209</v>
      </c>
      <c r="Z632" t="s">
        <v>12210</v>
      </c>
      <c r="AA632" t="s">
        <v>74</v>
      </c>
      <c r="AB632" t="s">
        <v>12211</v>
      </c>
      <c r="AC632" t="s">
        <v>74</v>
      </c>
      <c r="AD632" t="s">
        <v>74</v>
      </c>
      <c r="AE632" t="s">
        <v>74</v>
      </c>
      <c r="AF632" t="s">
        <v>74</v>
      </c>
      <c r="AG632">
        <v>100</v>
      </c>
      <c r="AH632">
        <v>0</v>
      </c>
      <c r="AI632">
        <v>0</v>
      </c>
      <c r="AJ632">
        <v>10</v>
      </c>
      <c r="AK632">
        <v>10</v>
      </c>
      <c r="AL632" t="s">
        <v>1027</v>
      </c>
      <c r="AM632" t="s">
        <v>1028</v>
      </c>
      <c r="AN632" t="s">
        <v>1029</v>
      </c>
      <c r="AO632" t="s">
        <v>1030</v>
      </c>
      <c r="AP632" t="s">
        <v>74</v>
      </c>
      <c r="AQ632" t="s">
        <v>74</v>
      </c>
      <c r="AR632" t="s">
        <v>1017</v>
      </c>
      <c r="AS632" t="s">
        <v>1031</v>
      </c>
      <c r="AT632" t="s">
        <v>12198</v>
      </c>
      <c r="AU632">
        <v>2023</v>
      </c>
      <c r="AV632">
        <v>18</v>
      </c>
      <c r="AW632">
        <v>10</v>
      </c>
      <c r="AX632" t="s">
        <v>74</v>
      </c>
      <c r="AY632" t="s">
        <v>74</v>
      </c>
      <c r="AZ632" t="s">
        <v>74</v>
      </c>
      <c r="BA632" t="s">
        <v>74</v>
      </c>
      <c r="BB632" t="s">
        <v>74</v>
      </c>
      <c r="BC632" t="s">
        <v>74</v>
      </c>
      <c r="BD632" t="s">
        <v>12212</v>
      </c>
      <c r="BE632" t="s">
        <v>12213</v>
      </c>
      <c r="BF632" t="str">
        <f>HYPERLINK("http://dx.doi.org/10.1371/journal.pone.0289736","http://dx.doi.org/10.1371/journal.pone.0289736")</f>
        <v>http://dx.doi.org/10.1371/journal.pone.0289736</v>
      </c>
      <c r="BG632" t="s">
        <v>74</v>
      </c>
      <c r="BH632" t="s">
        <v>74</v>
      </c>
      <c r="BI632">
        <v>27</v>
      </c>
      <c r="BJ632" t="s">
        <v>1035</v>
      </c>
      <c r="BK632" t="s">
        <v>100</v>
      </c>
      <c r="BL632" t="s">
        <v>1036</v>
      </c>
      <c r="BM632" t="s">
        <v>12214</v>
      </c>
      <c r="BN632">
        <v>37874844</v>
      </c>
      <c r="BO632" t="s">
        <v>265</v>
      </c>
      <c r="BP632" t="s">
        <v>74</v>
      </c>
      <c r="BQ632" t="s">
        <v>74</v>
      </c>
      <c r="BR632" t="s">
        <v>104</v>
      </c>
      <c r="BS632" t="s">
        <v>12215</v>
      </c>
      <c r="BT632" t="str">
        <f>HYPERLINK("https%3A%2F%2Fwww.webofscience.com%2Fwos%2Fwoscc%2Ffull-record%2FWOS:001099104900003","View Full Record in Web of Science")</f>
        <v>View Full Record in Web of Science</v>
      </c>
    </row>
    <row r="633" spans="1:72" x14ac:dyDescent="0.15">
      <c r="A633" t="s">
        <v>72</v>
      </c>
      <c r="B633" t="s">
        <v>12216</v>
      </c>
      <c r="C633" t="s">
        <v>74</v>
      </c>
      <c r="D633" t="s">
        <v>74</v>
      </c>
      <c r="E633" t="s">
        <v>74</v>
      </c>
      <c r="F633" t="s">
        <v>12217</v>
      </c>
      <c r="G633" t="s">
        <v>74</v>
      </c>
      <c r="H633" t="s">
        <v>74</v>
      </c>
      <c r="I633" t="s">
        <v>12218</v>
      </c>
      <c r="J633" t="s">
        <v>3384</v>
      </c>
      <c r="K633" t="s">
        <v>74</v>
      </c>
      <c r="L633" t="s">
        <v>74</v>
      </c>
      <c r="M633" t="s">
        <v>78</v>
      </c>
      <c r="N633" t="s">
        <v>79</v>
      </c>
      <c r="O633" t="s">
        <v>74</v>
      </c>
      <c r="P633" t="s">
        <v>74</v>
      </c>
      <c r="Q633" t="s">
        <v>74</v>
      </c>
      <c r="R633" t="s">
        <v>74</v>
      </c>
      <c r="S633" t="s">
        <v>74</v>
      </c>
      <c r="T633" t="s">
        <v>74</v>
      </c>
      <c r="U633" t="s">
        <v>12219</v>
      </c>
      <c r="V633" t="s">
        <v>12220</v>
      </c>
      <c r="W633" t="s">
        <v>12221</v>
      </c>
      <c r="X633" t="s">
        <v>12222</v>
      </c>
      <c r="Y633" t="s">
        <v>12223</v>
      </c>
      <c r="Z633" t="s">
        <v>12224</v>
      </c>
      <c r="AA633" t="s">
        <v>12225</v>
      </c>
      <c r="AB633" t="s">
        <v>12226</v>
      </c>
      <c r="AC633" t="s">
        <v>12227</v>
      </c>
      <c r="AD633" t="s">
        <v>12228</v>
      </c>
      <c r="AE633" t="s">
        <v>12229</v>
      </c>
      <c r="AF633" t="s">
        <v>74</v>
      </c>
      <c r="AG633">
        <v>74</v>
      </c>
      <c r="AH633">
        <v>3</v>
      </c>
      <c r="AI633">
        <v>3</v>
      </c>
      <c r="AJ633">
        <v>6</v>
      </c>
      <c r="AK633">
        <v>6</v>
      </c>
      <c r="AL633" t="s">
        <v>3057</v>
      </c>
      <c r="AM633" t="s">
        <v>3058</v>
      </c>
      <c r="AN633" t="s">
        <v>3059</v>
      </c>
      <c r="AO633" t="s">
        <v>74</v>
      </c>
      <c r="AP633" t="s">
        <v>3396</v>
      </c>
      <c r="AQ633" t="s">
        <v>74</v>
      </c>
      <c r="AR633" t="s">
        <v>3397</v>
      </c>
      <c r="AS633" t="s">
        <v>3398</v>
      </c>
      <c r="AT633" t="s">
        <v>12198</v>
      </c>
      <c r="AU633">
        <v>2023</v>
      </c>
      <c r="AV633">
        <v>14</v>
      </c>
      <c r="AW633">
        <v>1</v>
      </c>
      <c r="AX633" t="s">
        <v>74</v>
      </c>
      <c r="AY633" t="s">
        <v>74</v>
      </c>
      <c r="AZ633" t="s">
        <v>74</v>
      </c>
      <c r="BA633" t="s">
        <v>74</v>
      </c>
      <c r="BB633" t="s">
        <v>74</v>
      </c>
      <c r="BC633" t="s">
        <v>74</v>
      </c>
      <c r="BD633">
        <v>6507</v>
      </c>
      <c r="BE633" t="s">
        <v>12230</v>
      </c>
      <c r="BF633" t="str">
        <f>HYPERLINK("http://dx.doi.org/10.1038/s41467-023-42152-2","http://dx.doi.org/10.1038/s41467-023-42152-2")</f>
        <v>http://dx.doi.org/10.1038/s41467-023-42152-2</v>
      </c>
      <c r="BG633" t="s">
        <v>74</v>
      </c>
      <c r="BH633" t="s">
        <v>74</v>
      </c>
      <c r="BI633">
        <v>12</v>
      </c>
      <c r="BJ633" t="s">
        <v>1035</v>
      </c>
      <c r="BK633" t="s">
        <v>100</v>
      </c>
      <c r="BL633" t="s">
        <v>1036</v>
      </c>
      <c r="BM633" t="s">
        <v>12231</v>
      </c>
      <c r="BN633">
        <v>37875503</v>
      </c>
      <c r="BO633" t="s">
        <v>265</v>
      </c>
      <c r="BP633" t="s">
        <v>74</v>
      </c>
      <c r="BQ633" t="s">
        <v>74</v>
      </c>
      <c r="BR633" t="s">
        <v>104</v>
      </c>
      <c r="BS633" t="s">
        <v>12232</v>
      </c>
      <c r="BT633" t="str">
        <f>HYPERLINK("https%3A%2F%2Fwww.webofscience.com%2Fwos%2Fwoscc%2Ffull-record%2FWOS:001089230100022","View Full Record in Web of Science")</f>
        <v>View Full Record in Web of Science</v>
      </c>
    </row>
    <row r="634" spans="1:72" x14ac:dyDescent="0.15">
      <c r="A634" t="s">
        <v>72</v>
      </c>
      <c r="B634" t="s">
        <v>12233</v>
      </c>
      <c r="C634" t="s">
        <v>74</v>
      </c>
      <c r="D634" t="s">
        <v>74</v>
      </c>
      <c r="E634" t="s">
        <v>74</v>
      </c>
      <c r="F634" t="s">
        <v>12234</v>
      </c>
      <c r="G634" t="s">
        <v>74</v>
      </c>
      <c r="H634" t="s">
        <v>74</v>
      </c>
      <c r="I634" t="s">
        <v>12235</v>
      </c>
      <c r="J634" t="s">
        <v>12236</v>
      </c>
      <c r="K634" t="s">
        <v>74</v>
      </c>
      <c r="L634" t="s">
        <v>74</v>
      </c>
      <c r="M634" t="s">
        <v>78</v>
      </c>
      <c r="N634" t="s">
        <v>79</v>
      </c>
      <c r="O634" t="s">
        <v>74</v>
      </c>
      <c r="P634" t="s">
        <v>74</v>
      </c>
      <c r="Q634" t="s">
        <v>74</v>
      </c>
      <c r="R634" t="s">
        <v>74</v>
      </c>
      <c r="S634" t="s">
        <v>74</v>
      </c>
      <c r="T634" t="s">
        <v>12237</v>
      </c>
      <c r="U634" t="s">
        <v>12238</v>
      </c>
      <c r="V634" t="s">
        <v>12239</v>
      </c>
      <c r="W634" t="s">
        <v>12240</v>
      </c>
      <c r="X634" t="s">
        <v>12241</v>
      </c>
      <c r="Y634" t="s">
        <v>12242</v>
      </c>
      <c r="Z634" t="s">
        <v>2653</v>
      </c>
      <c r="AA634" t="s">
        <v>12243</v>
      </c>
      <c r="AB634" t="s">
        <v>12244</v>
      </c>
      <c r="AC634" t="s">
        <v>12245</v>
      </c>
      <c r="AD634" t="s">
        <v>12246</v>
      </c>
      <c r="AE634" t="s">
        <v>12247</v>
      </c>
      <c r="AF634" t="s">
        <v>74</v>
      </c>
      <c r="AG634">
        <v>104</v>
      </c>
      <c r="AH634">
        <v>1</v>
      </c>
      <c r="AI634">
        <v>1</v>
      </c>
      <c r="AJ634">
        <v>1</v>
      </c>
      <c r="AK634">
        <v>1</v>
      </c>
      <c r="AL634" t="s">
        <v>1101</v>
      </c>
      <c r="AM634" t="s">
        <v>1102</v>
      </c>
      <c r="AN634" t="s">
        <v>1103</v>
      </c>
      <c r="AO634" t="s">
        <v>12248</v>
      </c>
      <c r="AP634" t="s">
        <v>12249</v>
      </c>
      <c r="AQ634" t="s">
        <v>74</v>
      </c>
      <c r="AR634" t="s">
        <v>12250</v>
      </c>
      <c r="AS634" t="s">
        <v>12251</v>
      </c>
      <c r="AT634" t="s">
        <v>4250</v>
      </c>
      <c r="AU634">
        <v>2024</v>
      </c>
      <c r="AV634">
        <v>35</v>
      </c>
      <c r="AW634">
        <v>1</v>
      </c>
      <c r="AX634" t="s">
        <v>74</v>
      </c>
      <c r="AY634" t="s">
        <v>74</v>
      </c>
      <c r="AZ634" t="s">
        <v>74</v>
      </c>
      <c r="BA634" t="s">
        <v>74</v>
      </c>
      <c r="BB634">
        <v>378</v>
      </c>
      <c r="BC634">
        <v>393</v>
      </c>
      <c r="BD634" t="s">
        <v>74</v>
      </c>
      <c r="BE634" t="s">
        <v>12252</v>
      </c>
      <c r="BF634" t="str">
        <f>HYPERLINK("http://dx.doi.org/10.1002/ldr.4922","http://dx.doi.org/10.1002/ldr.4922")</f>
        <v>http://dx.doi.org/10.1002/ldr.4922</v>
      </c>
      <c r="BG634" t="s">
        <v>74</v>
      </c>
      <c r="BH634" t="s">
        <v>11428</v>
      </c>
      <c r="BI634">
        <v>16</v>
      </c>
      <c r="BJ634" t="s">
        <v>12253</v>
      </c>
      <c r="BK634" t="s">
        <v>100</v>
      </c>
      <c r="BL634" t="s">
        <v>12254</v>
      </c>
      <c r="BM634" t="s">
        <v>12255</v>
      </c>
      <c r="BN634" t="s">
        <v>74</v>
      </c>
      <c r="BO634" t="s">
        <v>103</v>
      </c>
      <c r="BP634" t="s">
        <v>74</v>
      </c>
      <c r="BQ634" t="s">
        <v>74</v>
      </c>
      <c r="BR634" t="s">
        <v>104</v>
      </c>
      <c r="BS634" t="s">
        <v>12256</v>
      </c>
      <c r="BT634" t="str">
        <f>HYPERLINK("https%3A%2F%2Fwww.webofscience.com%2Fwos%2Fwoscc%2Ffull-record%2FWOS:001090769000001","View Full Record in Web of Science")</f>
        <v>View Full Record in Web of Science</v>
      </c>
    </row>
    <row r="635" spans="1:72" x14ac:dyDescent="0.15">
      <c r="A635" t="s">
        <v>72</v>
      </c>
      <c r="B635" t="s">
        <v>12257</v>
      </c>
      <c r="C635" t="s">
        <v>74</v>
      </c>
      <c r="D635" t="s">
        <v>74</v>
      </c>
      <c r="E635" t="s">
        <v>74</v>
      </c>
      <c r="F635" t="s">
        <v>12258</v>
      </c>
      <c r="G635" t="s">
        <v>74</v>
      </c>
      <c r="H635" t="s">
        <v>74</v>
      </c>
      <c r="I635" t="s">
        <v>12259</v>
      </c>
      <c r="J635" t="s">
        <v>2366</v>
      </c>
      <c r="K635" t="s">
        <v>74</v>
      </c>
      <c r="L635" t="s">
        <v>74</v>
      </c>
      <c r="M635" t="s">
        <v>78</v>
      </c>
      <c r="N635" t="s">
        <v>79</v>
      </c>
      <c r="O635" t="s">
        <v>74</v>
      </c>
      <c r="P635" t="s">
        <v>74</v>
      </c>
      <c r="Q635" t="s">
        <v>74</v>
      </c>
      <c r="R635" t="s">
        <v>74</v>
      </c>
      <c r="S635" t="s">
        <v>74</v>
      </c>
      <c r="T635" t="s">
        <v>74</v>
      </c>
      <c r="U635" t="s">
        <v>12260</v>
      </c>
      <c r="V635" t="s">
        <v>12261</v>
      </c>
      <c r="W635" t="s">
        <v>12262</v>
      </c>
      <c r="X635" t="s">
        <v>12263</v>
      </c>
      <c r="Y635" t="s">
        <v>12264</v>
      </c>
      <c r="Z635" t="s">
        <v>12265</v>
      </c>
      <c r="AA635" t="s">
        <v>12266</v>
      </c>
      <c r="AB635" t="s">
        <v>12267</v>
      </c>
      <c r="AC635" t="s">
        <v>12268</v>
      </c>
      <c r="AD635" t="s">
        <v>12269</v>
      </c>
      <c r="AE635" t="s">
        <v>12270</v>
      </c>
      <c r="AF635" t="s">
        <v>74</v>
      </c>
      <c r="AG635">
        <v>30</v>
      </c>
      <c r="AH635">
        <v>0</v>
      </c>
      <c r="AI635">
        <v>0</v>
      </c>
      <c r="AJ635">
        <v>4</v>
      </c>
      <c r="AK635">
        <v>4</v>
      </c>
      <c r="AL635" t="s">
        <v>1838</v>
      </c>
      <c r="AM635" t="s">
        <v>1839</v>
      </c>
      <c r="AN635" t="s">
        <v>1840</v>
      </c>
      <c r="AO635" t="s">
        <v>2377</v>
      </c>
      <c r="AP635" t="s">
        <v>2378</v>
      </c>
      <c r="AQ635" t="s">
        <v>74</v>
      </c>
      <c r="AR635" t="s">
        <v>2379</v>
      </c>
      <c r="AS635" t="s">
        <v>2380</v>
      </c>
      <c r="AT635" t="s">
        <v>12271</v>
      </c>
      <c r="AU635">
        <v>2023</v>
      </c>
      <c r="AV635">
        <v>23</v>
      </c>
      <c r="AW635">
        <v>20</v>
      </c>
      <c r="AX635" t="s">
        <v>74</v>
      </c>
      <c r="AY635" t="s">
        <v>74</v>
      </c>
      <c r="AZ635" t="s">
        <v>74</v>
      </c>
      <c r="BA635" t="s">
        <v>74</v>
      </c>
      <c r="BB635">
        <v>13355</v>
      </c>
      <c r="BC635">
        <v>13367</v>
      </c>
      <c r="BD635" t="s">
        <v>74</v>
      </c>
      <c r="BE635" t="s">
        <v>12272</v>
      </c>
      <c r="BF635" t="str">
        <f>HYPERLINK("http://dx.doi.org/10.5194/acp-23-13355-2023","http://dx.doi.org/10.5194/acp-23-13355-2023")</f>
        <v>http://dx.doi.org/10.5194/acp-23-13355-2023</v>
      </c>
      <c r="BG635" t="s">
        <v>74</v>
      </c>
      <c r="BH635" t="s">
        <v>74</v>
      </c>
      <c r="BI635">
        <v>13</v>
      </c>
      <c r="BJ635" t="s">
        <v>2382</v>
      </c>
      <c r="BK635" t="s">
        <v>100</v>
      </c>
      <c r="BL635" t="s">
        <v>2383</v>
      </c>
      <c r="BM635" t="s">
        <v>12273</v>
      </c>
      <c r="BN635" t="s">
        <v>74</v>
      </c>
      <c r="BO635" t="s">
        <v>349</v>
      </c>
      <c r="BP635" t="s">
        <v>74</v>
      </c>
      <c r="BQ635" t="s">
        <v>74</v>
      </c>
      <c r="BR635" t="s">
        <v>104</v>
      </c>
      <c r="BS635" t="s">
        <v>12274</v>
      </c>
      <c r="BT635" t="str">
        <f>HYPERLINK("https%3A%2F%2Fwww.webofscience.com%2Fwos%2Fwoscc%2Ffull-record%2FWOS:001161819000001","View Full Record in Web of Science")</f>
        <v>View Full Record in Web of Science</v>
      </c>
    </row>
    <row r="636" spans="1:72" x14ac:dyDescent="0.15">
      <c r="A636" t="s">
        <v>72</v>
      </c>
      <c r="B636" t="s">
        <v>12275</v>
      </c>
      <c r="C636" t="s">
        <v>74</v>
      </c>
      <c r="D636" t="s">
        <v>74</v>
      </c>
      <c r="E636" t="s">
        <v>74</v>
      </c>
      <c r="F636" t="s">
        <v>12276</v>
      </c>
      <c r="G636" t="s">
        <v>74</v>
      </c>
      <c r="H636" t="s">
        <v>74</v>
      </c>
      <c r="I636" t="s">
        <v>12277</v>
      </c>
      <c r="J636" t="s">
        <v>2412</v>
      </c>
      <c r="K636" t="s">
        <v>74</v>
      </c>
      <c r="L636" t="s">
        <v>74</v>
      </c>
      <c r="M636" t="s">
        <v>78</v>
      </c>
      <c r="N636" t="s">
        <v>79</v>
      </c>
      <c r="O636" t="s">
        <v>74</v>
      </c>
      <c r="P636" t="s">
        <v>74</v>
      </c>
      <c r="Q636" t="s">
        <v>74</v>
      </c>
      <c r="R636" t="s">
        <v>74</v>
      </c>
      <c r="S636" t="s">
        <v>74</v>
      </c>
      <c r="T636" t="s">
        <v>12278</v>
      </c>
      <c r="U636" t="s">
        <v>12279</v>
      </c>
      <c r="V636" t="s">
        <v>12280</v>
      </c>
      <c r="W636" t="s">
        <v>12281</v>
      </c>
      <c r="X636" t="s">
        <v>12282</v>
      </c>
      <c r="Y636" t="s">
        <v>12283</v>
      </c>
      <c r="Z636" t="s">
        <v>12284</v>
      </c>
      <c r="AA636" t="s">
        <v>12285</v>
      </c>
      <c r="AB636" t="s">
        <v>12286</v>
      </c>
      <c r="AC636" t="s">
        <v>12287</v>
      </c>
      <c r="AD636" t="s">
        <v>12288</v>
      </c>
      <c r="AE636" t="s">
        <v>12289</v>
      </c>
      <c r="AF636" t="s">
        <v>74</v>
      </c>
      <c r="AG636">
        <v>70</v>
      </c>
      <c r="AH636">
        <v>0</v>
      </c>
      <c r="AI636">
        <v>0</v>
      </c>
      <c r="AJ636">
        <v>6</v>
      </c>
      <c r="AK636">
        <v>6</v>
      </c>
      <c r="AL636" t="s">
        <v>947</v>
      </c>
      <c r="AM636" t="s">
        <v>948</v>
      </c>
      <c r="AN636" t="s">
        <v>949</v>
      </c>
      <c r="AO636" t="s">
        <v>2424</v>
      </c>
      <c r="AP636" t="s">
        <v>2425</v>
      </c>
      <c r="AQ636" t="s">
        <v>74</v>
      </c>
      <c r="AR636" t="s">
        <v>2426</v>
      </c>
      <c r="AS636" t="s">
        <v>2427</v>
      </c>
      <c r="AT636" t="s">
        <v>4525</v>
      </c>
      <c r="AU636">
        <v>2023</v>
      </c>
      <c r="AV636">
        <v>230</v>
      </c>
      <c r="AW636" t="s">
        <v>74</v>
      </c>
      <c r="AX636" t="s">
        <v>74</v>
      </c>
      <c r="AY636" t="s">
        <v>74</v>
      </c>
      <c r="AZ636" t="s">
        <v>74</v>
      </c>
      <c r="BA636" t="s">
        <v>74</v>
      </c>
      <c r="BB636" t="s">
        <v>74</v>
      </c>
      <c r="BC636" t="s">
        <v>74</v>
      </c>
      <c r="BD636">
        <v>104283</v>
      </c>
      <c r="BE636" t="s">
        <v>12290</v>
      </c>
      <c r="BF636" t="str">
        <f>HYPERLINK("http://dx.doi.org/10.1016/j.gloplacha.2023.104283","http://dx.doi.org/10.1016/j.gloplacha.2023.104283")</f>
        <v>http://dx.doi.org/10.1016/j.gloplacha.2023.104283</v>
      </c>
      <c r="BG636" t="s">
        <v>74</v>
      </c>
      <c r="BH636" t="s">
        <v>11428</v>
      </c>
      <c r="BI636">
        <v>13</v>
      </c>
      <c r="BJ636" t="s">
        <v>984</v>
      </c>
      <c r="BK636" t="s">
        <v>100</v>
      </c>
      <c r="BL636" t="s">
        <v>985</v>
      </c>
      <c r="BM636" t="s">
        <v>12291</v>
      </c>
      <c r="BN636" t="s">
        <v>74</v>
      </c>
      <c r="BO636" t="s">
        <v>103</v>
      </c>
      <c r="BP636" t="s">
        <v>74</v>
      </c>
      <c r="BQ636" t="s">
        <v>74</v>
      </c>
      <c r="BR636" t="s">
        <v>104</v>
      </c>
      <c r="BS636" t="s">
        <v>12292</v>
      </c>
      <c r="BT636" t="str">
        <f>HYPERLINK("https%3A%2F%2Fwww.webofscience.com%2Fwos%2Fwoscc%2Ffull-record%2FWOS:001107246700001","View Full Record in Web of Science")</f>
        <v>View Full Record in Web of Science</v>
      </c>
    </row>
    <row r="637" spans="1:72" x14ac:dyDescent="0.15">
      <c r="A637" t="s">
        <v>72</v>
      </c>
      <c r="B637" t="s">
        <v>12293</v>
      </c>
      <c r="C637" t="s">
        <v>74</v>
      </c>
      <c r="D637" t="s">
        <v>74</v>
      </c>
      <c r="E637" t="s">
        <v>74</v>
      </c>
      <c r="F637" t="s">
        <v>12294</v>
      </c>
      <c r="G637" t="s">
        <v>74</v>
      </c>
      <c r="H637" t="s">
        <v>74</v>
      </c>
      <c r="I637" t="s">
        <v>12295</v>
      </c>
      <c r="J637" t="s">
        <v>12296</v>
      </c>
      <c r="K637" t="s">
        <v>74</v>
      </c>
      <c r="L637" t="s">
        <v>74</v>
      </c>
      <c r="M637" t="s">
        <v>78</v>
      </c>
      <c r="N637" t="s">
        <v>79</v>
      </c>
      <c r="O637" t="s">
        <v>74</v>
      </c>
      <c r="P637" t="s">
        <v>74</v>
      </c>
      <c r="Q637" t="s">
        <v>74</v>
      </c>
      <c r="R637" t="s">
        <v>74</v>
      </c>
      <c r="S637" t="s">
        <v>74</v>
      </c>
      <c r="T637" t="s">
        <v>74</v>
      </c>
      <c r="U637" t="s">
        <v>12297</v>
      </c>
      <c r="V637" t="s">
        <v>12298</v>
      </c>
      <c r="W637" t="s">
        <v>12299</v>
      </c>
      <c r="X637" t="s">
        <v>12300</v>
      </c>
      <c r="Y637" t="s">
        <v>12301</v>
      </c>
      <c r="Z637" t="s">
        <v>12302</v>
      </c>
      <c r="AA637" t="s">
        <v>12303</v>
      </c>
      <c r="AB637" t="s">
        <v>12304</v>
      </c>
      <c r="AC637" t="s">
        <v>12305</v>
      </c>
      <c r="AD637" t="s">
        <v>12306</v>
      </c>
      <c r="AE637" t="s">
        <v>12307</v>
      </c>
      <c r="AF637" t="s">
        <v>74</v>
      </c>
      <c r="AG637">
        <v>85</v>
      </c>
      <c r="AH637">
        <v>0</v>
      </c>
      <c r="AI637">
        <v>0</v>
      </c>
      <c r="AJ637">
        <v>10</v>
      </c>
      <c r="AK637">
        <v>10</v>
      </c>
      <c r="AL637" t="s">
        <v>9202</v>
      </c>
      <c r="AM637" t="s">
        <v>1783</v>
      </c>
      <c r="AN637" t="s">
        <v>9203</v>
      </c>
      <c r="AO637" t="s">
        <v>12308</v>
      </c>
      <c r="AP637" t="s">
        <v>12309</v>
      </c>
      <c r="AQ637" t="s">
        <v>74</v>
      </c>
      <c r="AR637" t="s">
        <v>12310</v>
      </c>
      <c r="AS637" t="s">
        <v>12311</v>
      </c>
      <c r="AT637" t="s">
        <v>12271</v>
      </c>
      <c r="AU637">
        <v>2023</v>
      </c>
      <c r="AV637">
        <v>33</v>
      </c>
      <c r="AW637">
        <v>20</v>
      </c>
      <c r="AX637" t="s">
        <v>74</v>
      </c>
      <c r="AY637" t="s">
        <v>74</v>
      </c>
      <c r="AZ637" t="s">
        <v>74</v>
      </c>
      <c r="BA637" t="s">
        <v>74</v>
      </c>
      <c r="BB637">
        <v>4405</v>
      </c>
      <c r="BC637" t="s">
        <v>4088</v>
      </c>
      <c r="BD637" t="s">
        <v>74</v>
      </c>
      <c r="BE637" t="s">
        <v>12312</v>
      </c>
      <c r="BF637" t="str">
        <f>HYPERLINK("http://dx.doi.org/10.1016/j.cub.2023.08.086","http://dx.doi.org/10.1016/j.cub.2023.08.086")</f>
        <v>http://dx.doi.org/10.1016/j.cub.2023.08.086</v>
      </c>
      <c r="BG637" t="s">
        <v>74</v>
      </c>
      <c r="BH637" t="s">
        <v>11428</v>
      </c>
      <c r="BI637">
        <v>15</v>
      </c>
      <c r="BJ637" t="s">
        <v>12313</v>
      </c>
      <c r="BK637" t="s">
        <v>100</v>
      </c>
      <c r="BL637" t="s">
        <v>12314</v>
      </c>
      <c r="BM637" t="s">
        <v>12315</v>
      </c>
      <c r="BN637">
        <v>37769661</v>
      </c>
      <c r="BO637" t="s">
        <v>103</v>
      </c>
      <c r="BP637" t="s">
        <v>74</v>
      </c>
      <c r="BQ637" t="s">
        <v>74</v>
      </c>
      <c r="BR637" t="s">
        <v>104</v>
      </c>
      <c r="BS637" t="s">
        <v>12316</v>
      </c>
      <c r="BT637" t="str">
        <f>HYPERLINK("https%3A%2F%2Fwww.webofscience.com%2Fwos%2Fwoscc%2Ffull-record%2FWOS:001096834700001","View Full Record in Web of Science")</f>
        <v>View Full Record in Web of Science</v>
      </c>
    </row>
    <row r="638" spans="1:72" x14ac:dyDescent="0.15">
      <c r="A638" t="s">
        <v>72</v>
      </c>
      <c r="B638" t="s">
        <v>12317</v>
      </c>
      <c r="C638" t="s">
        <v>74</v>
      </c>
      <c r="D638" t="s">
        <v>74</v>
      </c>
      <c r="E638" t="s">
        <v>74</v>
      </c>
      <c r="F638" t="s">
        <v>12318</v>
      </c>
      <c r="G638" t="s">
        <v>74</v>
      </c>
      <c r="H638" t="s">
        <v>74</v>
      </c>
      <c r="I638" t="s">
        <v>12319</v>
      </c>
      <c r="J638" t="s">
        <v>1746</v>
      </c>
      <c r="K638" t="s">
        <v>74</v>
      </c>
      <c r="L638" t="s">
        <v>74</v>
      </c>
      <c r="M638" t="s">
        <v>78</v>
      </c>
      <c r="N638" t="s">
        <v>79</v>
      </c>
      <c r="O638" t="s">
        <v>74</v>
      </c>
      <c r="P638" t="s">
        <v>74</v>
      </c>
      <c r="Q638" t="s">
        <v>74</v>
      </c>
      <c r="R638" t="s">
        <v>74</v>
      </c>
      <c r="S638" t="s">
        <v>74</v>
      </c>
      <c r="T638" t="s">
        <v>12320</v>
      </c>
      <c r="U638" t="s">
        <v>12321</v>
      </c>
      <c r="V638" t="s">
        <v>12322</v>
      </c>
      <c r="W638" t="s">
        <v>12323</v>
      </c>
      <c r="X638" t="s">
        <v>12324</v>
      </c>
      <c r="Y638" t="s">
        <v>12325</v>
      </c>
      <c r="Z638" t="s">
        <v>12326</v>
      </c>
      <c r="AA638" t="s">
        <v>12327</v>
      </c>
      <c r="AB638" t="s">
        <v>12328</v>
      </c>
      <c r="AC638" t="s">
        <v>12329</v>
      </c>
      <c r="AD638" t="s">
        <v>12330</v>
      </c>
      <c r="AE638" t="s">
        <v>12331</v>
      </c>
      <c r="AF638" t="s">
        <v>74</v>
      </c>
      <c r="AG638">
        <v>112</v>
      </c>
      <c r="AH638">
        <v>0</v>
      </c>
      <c r="AI638">
        <v>0</v>
      </c>
      <c r="AJ638">
        <v>6</v>
      </c>
      <c r="AK638">
        <v>6</v>
      </c>
      <c r="AL638" t="s">
        <v>1758</v>
      </c>
      <c r="AM638" t="s">
        <v>1759</v>
      </c>
      <c r="AN638" t="s">
        <v>1760</v>
      </c>
      <c r="AO638" t="s">
        <v>74</v>
      </c>
      <c r="AP638" t="s">
        <v>1761</v>
      </c>
      <c r="AQ638" t="s">
        <v>74</v>
      </c>
      <c r="AR638" t="s">
        <v>1762</v>
      </c>
      <c r="AS638" t="s">
        <v>1763</v>
      </c>
      <c r="AT638" t="s">
        <v>12271</v>
      </c>
      <c r="AU638">
        <v>2023</v>
      </c>
      <c r="AV638">
        <v>10</v>
      </c>
      <c r="AW638" t="s">
        <v>74</v>
      </c>
      <c r="AX638" t="s">
        <v>74</v>
      </c>
      <c r="AY638" t="s">
        <v>74</v>
      </c>
      <c r="AZ638" t="s">
        <v>74</v>
      </c>
      <c r="BA638" t="s">
        <v>74</v>
      </c>
      <c r="BB638" t="s">
        <v>74</v>
      </c>
      <c r="BC638" t="s">
        <v>74</v>
      </c>
      <c r="BD638">
        <v>1278229</v>
      </c>
      <c r="BE638" t="s">
        <v>12332</v>
      </c>
      <c r="BF638" t="str">
        <f>HYPERLINK("http://dx.doi.org/10.3389/fmars.2023.1278229","http://dx.doi.org/10.3389/fmars.2023.1278229")</f>
        <v>http://dx.doi.org/10.3389/fmars.2023.1278229</v>
      </c>
      <c r="BG638" t="s">
        <v>74</v>
      </c>
      <c r="BH638" t="s">
        <v>74</v>
      </c>
      <c r="BI638">
        <v>16</v>
      </c>
      <c r="BJ638" t="s">
        <v>1135</v>
      </c>
      <c r="BK638" t="s">
        <v>100</v>
      </c>
      <c r="BL638" t="s">
        <v>1136</v>
      </c>
      <c r="BM638" t="s">
        <v>12333</v>
      </c>
      <c r="BN638" t="s">
        <v>74</v>
      </c>
      <c r="BO638" t="s">
        <v>131</v>
      </c>
      <c r="BP638" t="s">
        <v>74</v>
      </c>
      <c r="BQ638" t="s">
        <v>74</v>
      </c>
      <c r="BR638" t="s">
        <v>104</v>
      </c>
      <c r="BS638" t="s">
        <v>12334</v>
      </c>
      <c r="BT638" t="str">
        <f>HYPERLINK("https%3A%2F%2Fwww.webofscience.com%2Fwos%2Fwoscc%2Ffull-record%2FWOS:001098859000001","View Full Record in Web of Science")</f>
        <v>View Full Record in Web of Science</v>
      </c>
    </row>
    <row r="639" spans="1:72" x14ac:dyDescent="0.15">
      <c r="A639" t="s">
        <v>72</v>
      </c>
      <c r="B639" t="s">
        <v>12335</v>
      </c>
      <c r="C639" t="s">
        <v>74</v>
      </c>
      <c r="D639" t="s">
        <v>74</v>
      </c>
      <c r="E639" t="s">
        <v>74</v>
      </c>
      <c r="F639" t="s">
        <v>12336</v>
      </c>
      <c r="G639" t="s">
        <v>74</v>
      </c>
      <c r="H639" t="s">
        <v>74</v>
      </c>
      <c r="I639" t="s">
        <v>12337</v>
      </c>
      <c r="J639" t="s">
        <v>12338</v>
      </c>
      <c r="K639" t="s">
        <v>74</v>
      </c>
      <c r="L639" t="s">
        <v>74</v>
      </c>
      <c r="M639" t="s">
        <v>78</v>
      </c>
      <c r="N639" t="s">
        <v>79</v>
      </c>
      <c r="O639" t="s">
        <v>74</v>
      </c>
      <c r="P639" t="s">
        <v>74</v>
      </c>
      <c r="Q639" t="s">
        <v>74</v>
      </c>
      <c r="R639" t="s">
        <v>74</v>
      </c>
      <c r="S639" t="s">
        <v>74</v>
      </c>
      <c r="T639" t="s">
        <v>74</v>
      </c>
      <c r="U639" t="s">
        <v>12339</v>
      </c>
      <c r="V639" t="s">
        <v>12340</v>
      </c>
      <c r="W639" t="s">
        <v>12341</v>
      </c>
      <c r="X639" t="s">
        <v>12342</v>
      </c>
      <c r="Y639" t="s">
        <v>12343</v>
      </c>
      <c r="Z639" t="s">
        <v>12344</v>
      </c>
      <c r="AA639" t="s">
        <v>74</v>
      </c>
      <c r="AB639" t="s">
        <v>12345</v>
      </c>
      <c r="AC639" t="s">
        <v>12346</v>
      </c>
      <c r="AD639" t="s">
        <v>12347</v>
      </c>
      <c r="AE639" t="s">
        <v>12348</v>
      </c>
      <c r="AF639" t="s">
        <v>74</v>
      </c>
      <c r="AG639">
        <v>101</v>
      </c>
      <c r="AH639">
        <v>0</v>
      </c>
      <c r="AI639">
        <v>0</v>
      </c>
      <c r="AJ639">
        <v>17</v>
      </c>
      <c r="AK639">
        <v>17</v>
      </c>
      <c r="AL639" t="s">
        <v>1560</v>
      </c>
      <c r="AM639" t="s">
        <v>976</v>
      </c>
      <c r="AN639" t="s">
        <v>1561</v>
      </c>
      <c r="AO639" t="s">
        <v>12349</v>
      </c>
      <c r="AP639" t="s">
        <v>12350</v>
      </c>
      <c r="AQ639" t="s">
        <v>74</v>
      </c>
      <c r="AR639" t="s">
        <v>12351</v>
      </c>
      <c r="AS639" t="s">
        <v>12352</v>
      </c>
      <c r="AT639" t="s">
        <v>1947</v>
      </c>
      <c r="AU639">
        <v>2023</v>
      </c>
      <c r="AV639">
        <v>17</v>
      </c>
      <c r="AW639">
        <v>12</v>
      </c>
      <c r="AX639" t="s">
        <v>74</v>
      </c>
      <c r="AY639" t="s">
        <v>74</v>
      </c>
      <c r="AZ639" t="s">
        <v>74</v>
      </c>
      <c r="BA639" t="s">
        <v>74</v>
      </c>
      <c r="BB639">
        <v>2290</v>
      </c>
      <c r="BC639">
        <v>2302</v>
      </c>
      <c r="BD639" t="s">
        <v>74</v>
      </c>
      <c r="BE639" t="s">
        <v>12353</v>
      </c>
      <c r="BF639" t="str">
        <f>HYPERLINK("http://dx.doi.org/10.1038/s41396-023-01536-4","http://dx.doi.org/10.1038/s41396-023-01536-4")</f>
        <v>http://dx.doi.org/10.1038/s41396-023-01536-4</v>
      </c>
      <c r="BG639" t="s">
        <v>74</v>
      </c>
      <c r="BH639" t="s">
        <v>11428</v>
      </c>
      <c r="BI639">
        <v>13</v>
      </c>
      <c r="BJ639" t="s">
        <v>12354</v>
      </c>
      <c r="BK639" t="s">
        <v>100</v>
      </c>
      <c r="BL639" t="s">
        <v>12355</v>
      </c>
      <c r="BM639" t="s">
        <v>12356</v>
      </c>
      <c r="BN639">
        <v>37872274</v>
      </c>
      <c r="BO639" t="s">
        <v>3456</v>
      </c>
      <c r="BP639" t="s">
        <v>74</v>
      </c>
      <c r="BQ639" t="s">
        <v>74</v>
      </c>
      <c r="BR639" t="s">
        <v>104</v>
      </c>
      <c r="BS639" t="s">
        <v>12357</v>
      </c>
      <c r="BT639" t="str">
        <f>HYPERLINK("https%3A%2F%2Fwww.webofscience.com%2Fwos%2Fwoscc%2Ffull-record%2FWOS:001087818500002","View Full Record in Web of Science")</f>
        <v>View Full Record in Web of Science</v>
      </c>
    </row>
    <row r="640" spans="1:72" x14ac:dyDescent="0.15">
      <c r="A640" t="s">
        <v>72</v>
      </c>
      <c r="B640" t="s">
        <v>12358</v>
      </c>
      <c r="C640" t="s">
        <v>74</v>
      </c>
      <c r="D640" t="s">
        <v>74</v>
      </c>
      <c r="E640" t="s">
        <v>74</v>
      </c>
      <c r="F640" t="s">
        <v>12359</v>
      </c>
      <c r="G640" t="s">
        <v>74</v>
      </c>
      <c r="H640" t="s">
        <v>74</v>
      </c>
      <c r="I640" t="s">
        <v>12360</v>
      </c>
      <c r="J640" t="s">
        <v>4933</v>
      </c>
      <c r="K640" t="s">
        <v>74</v>
      </c>
      <c r="L640" t="s">
        <v>74</v>
      </c>
      <c r="M640" t="s">
        <v>78</v>
      </c>
      <c r="N640" t="s">
        <v>920</v>
      </c>
      <c r="O640" t="s">
        <v>74</v>
      </c>
      <c r="P640" t="s">
        <v>74</v>
      </c>
      <c r="Q640" t="s">
        <v>74</v>
      </c>
      <c r="R640" t="s">
        <v>74</v>
      </c>
      <c r="S640" t="s">
        <v>74</v>
      </c>
      <c r="T640" t="s">
        <v>74</v>
      </c>
      <c r="U640" t="s">
        <v>74</v>
      </c>
      <c r="V640" t="s">
        <v>12361</v>
      </c>
      <c r="W640" t="s">
        <v>12362</v>
      </c>
      <c r="X640" t="s">
        <v>12363</v>
      </c>
      <c r="Y640" t="s">
        <v>3112</v>
      </c>
      <c r="Z640" t="s">
        <v>3113</v>
      </c>
      <c r="AA640" t="s">
        <v>12364</v>
      </c>
      <c r="AB640" t="s">
        <v>12365</v>
      </c>
      <c r="AC640" t="s">
        <v>74</v>
      </c>
      <c r="AD640" t="s">
        <v>74</v>
      </c>
      <c r="AE640" t="s">
        <v>74</v>
      </c>
      <c r="AF640" t="s">
        <v>74</v>
      </c>
      <c r="AG640">
        <v>13</v>
      </c>
      <c r="AH640">
        <v>0</v>
      </c>
      <c r="AI640">
        <v>0</v>
      </c>
      <c r="AJ640">
        <v>5</v>
      </c>
      <c r="AK640">
        <v>5</v>
      </c>
      <c r="AL640" t="s">
        <v>3057</v>
      </c>
      <c r="AM640" t="s">
        <v>3058</v>
      </c>
      <c r="AN640" t="s">
        <v>3059</v>
      </c>
      <c r="AO640" t="s">
        <v>4945</v>
      </c>
      <c r="AP640" t="s">
        <v>4946</v>
      </c>
      <c r="AQ640" t="s">
        <v>74</v>
      </c>
      <c r="AR640" t="s">
        <v>4947</v>
      </c>
      <c r="AS640" t="s">
        <v>4948</v>
      </c>
      <c r="AT640" t="s">
        <v>4525</v>
      </c>
      <c r="AU640">
        <v>2023</v>
      </c>
      <c r="AV640">
        <v>13</v>
      </c>
      <c r="AW640">
        <v>11</v>
      </c>
      <c r="AX640" t="s">
        <v>74</v>
      </c>
      <c r="AY640" t="s">
        <v>74</v>
      </c>
      <c r="AZ640" t="s">
        <v>74</v>
      </c>
      <c r="BA640" t="s">
        <v>74</v>
      </c>
      <c r="BB640">
        <v>1164</v>
      </c>
      <c r="BC640">
        <v>1165</v>
      </c>
      <c r="BD640" t="s">
        <v>74</v>
      </c>
      <c r="BE640" t="s">
        <v>12366</v>
      </c>
      <c r="BF640" t="str">
        <f>HYPERLINK("http://dx.doi.org/10.1038/s41558-023-01817-y","http://dx.doi.org/10.1038/s41558-023-01817-y")</f>
        <v>http://dx.doi.org/10.1038/s41558-023-01817-y</v>
      </c>
      <c r="BG640" t="s">
        <v>74</v>
      </c>
      <c r="BH640" t="s">
        <v>11428</v>
      </c>
      <c r="BI640">
        <v>2</v>
      </c>
      <c r="BJ640" t="s">
        <v>4951</v>
      </c>
      <c r="BK640" t="s">
        <v>456</v>
      </c>
      <c r="BL640" t="s">
        <v>2383</v>
      </c>
      <c r="BM640" t="s">
        <v>12367</v>
      </c>
      <c r="BN640" t="s">
        <v>74</v>
      </c>
      <c r="BO640" t="s">
        <v>74</v>
      </c>
      <c r="BP640" t="s">
        <v>74</v>
      </c>
      <c r="BQ640" t="s">
        <v>74</v>
      </c>
      <c r="BR640" t="s">
        <v>104</v>
      </c>
      <c r="BS640" t="s">
        <v>12368</v>
      </c>
      <c r="BT640" t="str">
        <f>HYPERLINK("https%3A%2F%2Fwww.webofscience.com%2Fwos%2Fwoscc%2Ffull-record%2FWOS:001087062600001","View Full Record in Web of Science")</f>
        <v>View Full Record in Web of Science</v>
      </c>
    </row>
    <row r="641" spans="1:72" x14ac:dyDescent="0.15">
      <c r="A641" t="s">
        <v>72</v>
      </c>
      <c r="B641" t="s">
        <v>12369</v>
      </c>
      <c r="C641" t="s">
        <v>74</v>
      </c>
      <c r="D641" t="s">
        <v>74</v>
      </c>
      <c r="E641" t="s">
        <v>74</v>
      </c>
      <c r="F641" t="s">
        <v>12370</v>
      </c>
      <c r="G641" t="s">
        <v>74</v>
      </c>
      <c r="H641" t="s">
        <v>74</v>
      </c>
      <c r="I641" t="s">
        <v>12371</v>
      </c>
      <c r="J641" t="s">
        <v>4933</v>
      </c>
      <c r="K641" t="s">
        <v>74</v>
      </c>
      <c r="L641" t="s">
        <v>74</v>
      </c>
      <c r="M641" t="s">
        <v>78</v>
      </c>
      <c r="N641" t="s">
        <v>79</v>
      </c>
      <c r="O641" t="s">
        <v>74</v>
      </c>
      <c r="P641" t="s">
        <v>74</v>
      </c>
      <c r="Q641" t="s">
        <v>74</v>
      </c>
      <c r="R641" t="s">
        <v>74</v>
      </c>
      <c r="S641" t="s">
        <v>74</v>
      </c>
      <c r="T641" t="s">
        <v>74</v>
      </c>
      <c r="U641" t="s">
        <v>12372</v>
      </c>
      <c r="V641" t="s">
        <v>12373</v>
      </c>
      <c r="W641" t="s">
        <v>12374</v>
      </c>
      <c r="X641" t="s">
        <v>12375</v>
      </c>
      <c r="Y641" t="s">
        <v>12376</v>
      </c>
      <c r="Z641" t="s">
        <v>12377</v>
      </c>
      <c r="AA641" t="s">
        <v>12378</v>
      </c>
      <c r="AB641" t="s">
        <v>12379</v>
      </c>
      <c r="AC641" t="s">
        <v>12380</v>
      </c>
      <c r="AD641" t="s">
        <v>12381</v>
      </c>
      <c r="AE641" t="s">
        <v>12382</v>
      </c>
      <c r="AF641" t="s">
        <v>74</v>
      </c>
      <c r="AG641">
        <v>41</v>
      </c>
      <c r="AH641">
        <v>5</v>
      </c>
      <c r="AI641">
        <v>5</v>
      </c>
      <c r="AJ641">
        <v>11</v>
      </c>
      <c r="AK641">
        <v>11</v>
      </c>
      <c r="AL641" t="s">
        <v>3057</v>
      </c>
      <c r="AM641" t="s">
        <v>3058</v>
      </c>
      <c r="AN641" t="s">
        <v>3059</v>
      </c>
      <c r="AO641" t="s">
        <v>4945</v>
      </c>
      <c r="AP641" t="s">
        <v>4946</v>
      </c>
      <c r="AQ641" t="s">
        <v>74</v>
      </c>
      <c r="AR641" t="s">
        <v>4947</v>
      </c>
      <c r="AS641" t="s">
        <v>4948</v>
      </c>
      <c r="AT641" t="s">
        <v>4525</v>
      </c>
      <c r="AU641">
        <v>2023</v>
      </c>
      <c r="AV641">
        <v>13</v>
      </c>
      <c r="AW641">
        <v>11</v>
      </c>
      <c r="AX641" t="s">
        <v>74</v>
      </c>
      <c r="AY641" t="s">
        <v>74</v>
      </c>
      <c r="AZ641" t="s">
        <v>74</v>
      </c>
      <c r="BA641" t="s">
        <v>74</v>
      </c>
      <c r="BB641">
        <v>1222</v>
      </c>
      <c r="BC641" t="s">
        <v>4088</v>
      </c>
      <c r="BD641" t="s">
        <v>74</v>
      </c>
      <c r="BE641" t="s">
        <v>12383</v>
      </c>
      <c r="BF641" t="str">
        <f>HYPERLINK("http://dx.doi.org/10.1038/s41558-023-01818-x","http://dx.doi.org/10.1038/s41558-023-01818-x")</f>
        <v>http://dx.doi.org/10.1038/s41558-023-01818-x</v>
      </c>
      <c r="BG641" t="s">
        <v>74</v>
      </c>
      <c r="BH641" t="s">
        <v>11428</v>
      </c>
      <c r="BI641">
        <v>20</v>
      </c>
      <c r="BJ641" t="s">
        <v>4951</v>
      </c>
      <c r="BK641" t="s">
        <v>456</v>
      </c>
      <c r="BL641" t="s">
        <v>2383</v>
      </c>
      <c r="BM641" t="s">
        <v>12367</v>
      </c>
      <c r="BN641" t="s">
        <v>74</v>
      </c>
      <c r="BO641" t="s">
        <v>103</v>
      </c>
      <c r="BP641" t="s">
        <v>74</v>
      </c>
      <c r="BQ641" t="s">
        <v>74</v>
      </c>
      <c r="BR641" t="s">
        <v>104</v>
      </c>
      <c r="BS641" t="s">
        <v>12384</v>
      </c>
      <c r="BT641" t="str">
        <f>HYPERLINK("https%3A%2F%2Fwww.webofscience.com%2Fwos%2Fwoscc%2Ffull-record%2FWOS:001087062600003","View Full Record in Web of Science")</f>
        <v>View Full Record in Web of Science</v>
      </c>
    </row>
    <row r="642" spans="1:72" x14ac:dyDescent="0.15">
      <c r="A642" t="s">
        <v>72</v>
      </c>
      <c r="B642" t="s">
        <v>12385</v>
      </c>
      <c r="C642" t="s">
        <v>74</v>
      </c>
      <c r="D642" t="s">
        <v>74</v>
      </c>
      <c r="E642" t="s">
        <v>74</v>
      </c>
      <c r="F642" t="s">
        <v>12386</v>
      </c>
      <c r="G642" t="s">
        <v>74</v>
      </c>
      <c r="H642" t="s">
        <v>74</v>
      </c>
      <c r="I642" t="s">
        <v>12387</v>
      </c>
      <c r="J642" t="s">
        <v>12388</v>
      </c>
      <c r="K642" t="s">
        <v>74</v>
      </c>
      <c r="L642" t="s">
        <v>74</v>
      </c>
      <c r="M642" t="s">
        <v>78</v>
      </c>
      <c r="N642" t="s">
        <v>79</v>
      </c>
      <c r="O642" t="s">
        <v>74</v>
      </c>
      <c r="P642" t="s">
        <v>74</v>
      </c>
      <c r="Q642" t="s">
        <v>74</v>
      </c>
      <c r="R642" t="s">
        <v>74</v>
      </c>
      <c r="S642" t="s">
        <v>74</v>
      </c>
      <c r="T642" t="s">
        <v>12389</v>
      </c>
      <c r="U642" t="s">
        <v>12390</v>
      </c>
      <c r="V642" t="s">
        <v>12391</v>
      </c>
      <c r="W642" t="s">
        <v>12392</v>
      </c>
      <c r="X642" t="s">
        <v>12393</v>
      </c>
      <c r="Y642" t="s">
        <v>12394</v>
      </c>
      <c r="Z642" t="s">
        <v>12395</v>
      </c>
      <c r="AA642" t="s">
        <v>74</v>
      </c>
      <c r="AB642" t="s">
        <v>74</v>
      </c>
      <c r="AC642" t="s">
        <v>12396</v>
      </c>
      <c r="AD642" t="s">
        <v>12397</v>
      </c>
      <c r="AE642" t="s">
        <v>12398</v>
      </c>
      <c r="AF642" t="s">
        <v>74</v>
      </c>
      <c r="AG642">
        <v>53</v>
      </c>
      <c r="AH642">
        <v>0</v>
      </c>
      <c r="AI642">
        <v>0</v>
      </c>
      <c r="AJ642">
        <v>0</v>
      </c>
      <c r="AK642">
        <v>0</v>
      </c>
      <c r="AL642" t="s">
        <v>2884</v>
      </c>
      <c r="AM642" t="s">
        <v>2294</v>
      </c>
      <c r="AN642" t="s">
        <v>2885</v>
      </c>
      <c r="AO642" t="s">
        <v>12399</v>
      </c>
      <c r="AP642" t="s">
        <v>12400</v>
      </c>
      <c r="AQ642" t="s">
        <v>74</v>
      </c>
      <c r="AR642" t="s">
        <v>12401</v>
      </c>
      <c r="AS642" t="s">
        <v>12402</v>
      </c>
      <c r="AT642" t="s">
        <v>12403</v>
      </c>
      <c r="AU642">
        <v>2023</v>
      </c>
      <c r="AV642">
        <v>294</v>
      </c>
      <c r="AW642" t="s">
        <v>74</v>
      </c>
      <c r="AX642" t="s">
        <v>74</v>
      </c>
      <c r="AY642" t="s">
        <v>74</v>
      </c>
      <c r="AZ642" t="s">
        <v>74</v>
      </c>
      <c r="BA642" t="s">
        <v>74</v>
      </c>
      <c r="BB642" t="s">
        <v>74</v>
      </c>
      <c r="BC642" t="s">
        <v>74</v>
      </c>
      <c r="BD642">
        <v>108537</v>
      </c>
      <c r="BE642" t="s">
        <v>12404</v>
      </c>
      <c r="BF642" t="str">
        <f>HYPERLINK("http://dx.doi.org/10.1016/j.ecss.2023.108537","http://dx.doi.org/10.1016/j.ecss.2023.108537")</f>
        <v>http://dx.doi.org/10.1016/j.ecss.2023.108537</v>
      </c>
      <c r="BG642" t="s">
        <v>74</v>
      </c>
      <c r="BH642" t="s">
        <v>11428</v>
      </c>
      <c r="BI642">
        <v>7</v>
      </c>
      <c r="BJ642" t="s">
        <v>1476</v>
      </c>
      <c r="BK642" t="s">
        <v>100</v>
      </c>
      <c r="BL642" t="s">
        <v>1476</v>
      </c>
      <c r="BM642" t="s">
        <v>12405</v>
      </c>
      <c r="BN642" t="s">
        <v>74</v>
      </c>
      <c r="BO642" t="s">
        <v>74</v>
      </c>
      <c r="BP642" t="s">
        <v>74</v>
      </c>
      <c r="BQ642" t="s">
        <v>74</v>
      </c>
      <c r="BR642" t="s">
        <v>104</v>
      </c>
      <c r="BS642" t="s">
        <v>12406</v>
      </c>
      <c r="BT642" t="str">
        <f>HYPERLINK("https%3A%2F%2Fwww.webofscience.com%2Fwos%2Fwoscc%2Ffull-record%2FWOS:001099914100001","View Full Record in Web of Science")</f>
        <v>View Full Record in Web of Science</v>
      </c>
    </row>
    <row r="643" spans="1:72" x14ac:dyDescent="0.15">
      <c r="A643" t="s">
        <v>72</v>
      </c>
      <c r="B643" t="s">
        <v>12407</v>
      </c>
      <c r="C643" t="s">
        <v>74</v>
      </c>
      <c r="D643" t="s">
        <v>74</v>
      </c>
      <c r="E643" t="s">
        <v>74</v>
      </c>
      <c r="F643" t="s">
        <v>12408</v>
      </c>
      <c r="G643" t="s">
        <v>74</v>
      </c>
      <c r="H643" t="s">
        <v>74</v>
      </c>
      <c r="I643" t="s">
        <v>12409</v>
      </c>
      <c r="J643" t="s">
        <v>5307</v>
      </c>
      <c r="K643" t="s">
        <v>74</v>
      </c>
      <c r="L643" t="s">
        <v>74</v>
      </c>
      <c r="M643" t="s">
        <v>78</v>
      </c>
      <c r="N643" t="s">
        <v>441</v>
      </c>
      <c r="O643" t="s">
        <v>74</v>
      </c>
      <c r="P643" t="s">
        <v>74</v>
      </c>
      <c r="Q643" t="s">
        <v>74</v>
      </c>
      <c r="R643" t="s">
        <v>74</v>
      </c>
      <c r="S643" t="s">
        <v>74</v>
      </c>
      <c r="T643" t="s">
        <v>74</v>
      </c>
      <c r="U643" t="s">
        <v>12410</v>
      </c>
      <c r="V643" t="s">
        <v>12411</v>
      </c>
      <c r="W643" t="s">
        <v>12412</v>
      </c>
      <c r="X643" t="s">
        <v>12413</v>
      </c>
      <c r="Y643" t="s">
        <v>12414</v>
      </c>
      <c r="Z643" t="s">
        <v>12415</v>
      </c>
      <c r="AA643" t="s">
        <v>12416</v>
      </c>
      <c r="AB643" t="s">
        <v>12417</v>
      </c>
      <c r="AC643" t="s">
        <v>12418</v>
      </c>
      <c r="AD643" t="s">
        <v>12419</v>
      </c>
      <c r="AE643" t="s">
        <v>12420</v>
      </c>
      <c r="AF643" t="s">
        <v>74</v>
      </c>
      <c r="AG643">
        <v>61</v>
      </c>
      <c r="AH643">
        <v>0</v>
      </c>
      <c r="AI643">
        <v>0</v>
      </c>
      <c r="AJ643">
        <v>11</v>
      </c>
      <c r="AK643">
        <v>11</v>
      </c>
      <c r="AL643" t="s">
        <v>975</v>
      </c>
      <c r="AM643" t="s">
        <v>976</v>
      </c>
      <c r="AN643" t="s">
        <v>977</v>
      </c>
      <c r="AO643" t="s">
        <v>5318</v>
      </c>
      <c r="AP643" t="s">
        <v>5319</v>
      </c>
      <c r="AQ643" t="s">
        <v>74</v>
      </c>
      <c r="AR643" t="s">
        <v>5320</v>
      </c>
      <c r="AS643" t="s">
        <v>5321</v>
      </c>
      <c r="AT643" t="s">
        <v>1947</v>
      </c>
      <c r="AU643">
        <v>2023</v>
      </c>
      <c r="AV643">
        <v>219</v>
      </c>
      <c r="AW643" t="s">
        <v>74</v>
      </c>
      <c r="AX643" t="s">
        <v>74</v>
      </c>
      <c r="AY643" t="s">
        <v>74</v>
      </c>
      <c r="AZ643" t="s">
        <v>74</v>
      </c>
      <c r="BA643" t="s">
        <v>74</v>
      </c>
      <c r="BB643" t="s">
        <v>74</v>
      </c>
      <c r="BC643" t="s">
        <v>74</v>
      </c>
      <c r="BD643">
        <v>103145</v>
      </c>
      <c r="BE643" t="s">
        <v>12421</v>
      </c>
      <c r="BF643" t="str">
        <f>HYPERLINK("http://dx.doi.org/10.1016/j.pocean.2023.103145","http://dx.doi.org/10.1016/j.pocean.2023.103145")</f>
        <v>http://dx.doi.org/10.1016/j.pocean.2023.103145</v>
      </c>
      <c r="BG643" t="s">
        <v>74</v>
      </c>
      <c r="BH643" t="s">
        <v>11428</v>
      </c>
      <c r="BI643">
        <v>11</v>
      </c>
      <c r="BJ643" t="s">
        <v>5060</v>
      </c>
      <c r="BK643" t="s">
        <v>100</v>
      </c>
      <c r="BL643" t="s">
        <v>5060</v>
      </c>
      <c r="BM643" t="s">
        <v>12422</v>
      </c>
      <c r="BN643" t="s">
        <v>74</v>
      </c>
      <c r="BO643" t="s">
        <v>74</v>
      </c>
      <c r="BP643" t="s">
        <v>74</v>
      </c>
      <c r="BQ643" t="s">
        <v>74</v>
      </c>
      <c r="BR643" t="s">
        <v>104</v>
      </c>
      <c r="BS643" t="s">
        <v>12423</v>
      </c>
      <c r="BT643" t="str">
        <f>HYPERLINK("https%3A%2F%2Fwww.webofscience.com%2Fwos%2Fwoscc%2Ffull-record%2FWOS:001105612500001","View Full Record in Web of Science")</f>
        <v>View Full Record in Web of Science</v>
      </c>
    </row>
    <row r="644" spans="1:72" x14ac:dyDescent="0.15">
      <c r="A644" t="s">
        <v>72</v>
      </c>
      <c r="B644" t="s">
        <v>12424</v>
      </c>
      <c r="C644" t="s">
        <v>74</v>
      </c>
      <c r="D644" t="s">
        <v>74</v>
      </c>
      <c r="E644" t="s">
        <v>74</v>
      </c>
      <c r="F644" t="s">
        <v>12425</v>
      </c>
      <c r="G644" t="s">
        <v>74</v>
      </c>
      <c r="H644" t="s">
        <v>74</v>
      </c>
      <c r="I644" t="s">
        <v>12426</v>
      </c>
      <c r="J644" t="s">
        <v>12427</v>
      </c>
      <c r="K644" t="s">
        <v>74</v>
      </c>
      <c r="L644" t="s">
        <v>74</v>
      </c>
      <c r="M644" t="s">
        <v>78</v>
      </c>
      <c r="N644" t="s">
        <v>79</v>
      </c>
      <c r="O644" t="s">
        <v>74</v>
      </c>
      <c r="P644" t="s">
        <v>74</v>
      </c>
      <c r="Q644" t="s">
        <v>74</v>
      </c>
      <c r="R644" t="s">
        <v>74</v>
      </c>
      <c r="S644" t="s">
        <v>74</v>
      </c>
      <c r="T644" t="s">
        <v>74</v>
      </c>
      <c r="U644" t="s">
        <v>12428</v>
      </c>
      <c r="V644" t="s">
        <v>12429</v>
      </c>
      <c r="W644" t="s">
        <v>12430</v>
      </c>
      <c r="X644" t="s">
        <v>12431</v>
      </c>
      <c r="Y644" t="s">
        <v>12432</v>
      </c>
      <c r="Z644" t="s">
        <v>12433</v>
      </c>
      <c r="AA644" t="s">
        <v>12434</v>
      </c>
      <c r="AB644" t="s">
        <v>12435</v>
      </c>
      <c r="AC644" t="s">
        <v>12436</v>
      </c>
      <c r="AD644" t="s">
        <v>12437</v>
      </c>
      <c r="AE644" t="s">
        <v>12438</v>
      </c>
      <c r="AF644" t="s">
        <v>74</v>
      </c>
      <c r="AG644">
        <v>98</v>
      </c>
      <c r="AH644">
        <v>2</v>
      </c>
      <c r="AI644">
        <v>2</v>
      </c>
      <c r="AJ644">
        <v>5</v>
      </c>
      <c r="AK644">
        <v>5</v>
      </c>
      <c r="AL644" t="s">
        <v>2529</v>
      </c>
      <c r="AM644" t="s">
        <v>2294</v>
      </c>
      <c r="AN644" t="s">
        <v>2530</v>
      </c>
      <c r="AO644" t="s">
        <v>74</v>
      </c>
      <c r="AP644" t="s">
        <v>12439</v>
      </c>
      <c r="AQ644" t="s">
        <v>74</v>
      </c>
      <c r="AR644" t="s">
        <v>12440</v>
      </c>
      <c r="AS644" t="s">
        <v>12441</v>
      </c>
      <c r="AT644" t="s">
        <v>12442</v>
      </c>
      <c r="AU644">
        <v>2023</v>
      </c>
      <c r="AV644">
        <v>3</v>
      </c>
      <c r="AW644">
        <v>1</v>
      </c>
      <c r="AX644" t="s">
        <v>74</v>
      </c>
      <c r="AY644" t="s">
        <v>74</v>
      </c>
      <c r="AZ644" t="s">
        <v>74</v>
      </c>
      <c r="BA644" t="s">
        <v>74</v>
      </c>
      <c r="BB644" t="s">
        <v>74</v>
      </c>
      <c r="BC644" t="s">
        <v>74</v>
      </c>
      <c r="BD644">
        <v>114</v>
      </c>
      <c r="BE644" t="s">
        <v>12443</v>
      </c>
      <c r="BF644" t="str">
        <f>HYPERLINK("http://dx.doi.org/10.1038/s43705-023-00320-x","http://dx.doi.org/10.1038/s43705-023-00320-x")</f>
        <v>http://dx.doi.org/10.1038/s43705-023-00320-x</v>
      </c>
      <c r="BG644" t="s">
        <v>74</v>
      </c>
      <c r="BH644" t="s">
        <v>74</v>
      </c>
      <c r="BI644">
        <v>12</v>
      </c>
      <c r="BJ644" t="s">
        <v>12354</v>
      </c>
      <c r="BK644" t="s">
        <v>912</v>
      </c>
      <c r="BL644" t="s">
        <v>12355</v>
      </c>
      <c r="BM644" t="s">
        <v>12444</v>
      </c>
      <c r="BN644">
        <v>37865659</v>
      </c>
      <c r="BO644" t="s">
        <v>200</v>
      </c>
      <c r="BP644" t="s">
        <v>74</v>
      </c>
      <c r="BQ644" t="s">
        <v>74</v>
      </c>
      <c r="BR644" t="s">
        <v>104</v>
      </c>
      <c r="BS644" t="s">
        <v>12445</v>
      </c>
      <c r="BT644" t="str">
        <f>HYPERLINK("https%3A%2F%2Fwww.webofscience.com%2Fwos%2Fwoscc%2Ffull-record%2FWOS:001095845800001","View Full Record in Web of Science")</f>
        <v>View Full Record in Web of Science</v>
      </c>
    </row>
    <row r="645" spans="1:72" x14ac:dyDescent="0.15">
      <c r="A645" t="s">
        <v>72</v>
      </c>
      <c r="B645" t="s">
        <v>12446</v>
      </c>
      <c r="C645" t="s">
        <v>74</v>
      </c>
      <c r="D645" t="s">
        <v>74</v>
      </c>
      <c r="E645" t="s">
        <v>74</v>
      </c>
      <c r="F645" t="s">
        <v>12447</v>
      </c>
      <c r="G645" t="s">
        <v>74</v>
      </c>
      <c r="H645" t="s">
        <v>74</v>
      </c>
      <c r="I645" t="s">
        <v>12448</v>
      </c>
      <c r="J645" t="s">
        <v>12449</v>
      </c>
      <c r="K645" t="s">
        <v>74</v>
      </c>
      <c r="L645" t="s">
        <v>74</v>
      </c>
      <c r="M645" t="s">
        <v>78</v>
      </c>
      <c r="N645" t="s">
        <v>79</v>
      </c>
      <c r="O645" t="s">
        <v>74</v>
      </c>
      <c r="P645" t="s">
        <v>74</v>
      </c>
      <c r="Q645" t="s">
        <v>74</v>
      </c>
      <c r="R645" t="s">
        <v>74</v>
      </c>
      <c r="S645" t="s">
        <v>74</v>
      </c>
      <c r="T645" t="s">
        <v>12450</v>
      </c>
      <c r="U645" t="s">
        <v>12451</v>
      </c>
      <c r="V645" t="s">
        <v>12452</v>
      </c>
      <c r="W645" t="s">
        <v>12453</v>
      </c>
      <c r="X645" t="s">
        <v>12454</v>
      </c>
      <c r="Y645" t="s">
        <v>12455</v>
      </c>
      <c r="Z645" t="s">
        <v>12456</v>
      </c>
      <c r="AA645" t="s">
        <v>12457</v>
      </c>
      <c r="AB645" t="s">
        <v>12458</v>
      </c>
      <c r="AC645" t="s">
        <v>12459</v>
      </c>
      <c r="AD645" t="s">
        <v>12459</v>
      </c>
      <c r="AE645" t="s">
        <v>12460</v>
      </c>
      <c r="AF645" t="s">
        <v>74</v>
      </c>
      <c r="AG645">
        <v>56</v>
      </c>
      <c r="AH645">
        <v>0</v>
      </c>
      <c r="AI645">
        <v>0</v>
      </c>
      <c r="AJ645">
        <v>5</v>
      </c>
      <c r="AK645">
        <v>5</v>
      </c>
      <c r="AL645" t="s">
        <v>1101</v>
      </c>
      <c r="AM645" t="s">
        <v>1102</v>
      </c>
      <c r="AN645" t="s">
        <v>1103</v>
      </c>
      <c r="AO645" t="s">
        <v>12461</v>
      </c>
      <c r="AP645" t="s">
        <v>12462</v>
      </c>
      <c r="AQ645" t="s">
        <v>74</v>
      </c>
      <c r="AR645" t="s">
        <v>12463</v>
      </c>
      <c r="AS645" t="s">
        <v>12464</v>
      </c>
      <c r="AT645" t="s">
        <v>1947</v>
      </c>
      <c r="AU645">
        <v>2023</v>
      </c>
      <c r="AV645">
        <v>60</v>
      </c>
      <c r="AW645">
        <v>12</v>
      </c>
      <c r="AX645" t="s">
        <v>74</v>
      </c>
      <c r="AY645" t="s">
        <v>74</v>
      </c>
      <c r="AZ645" t="s">
        <v>74</v>
      </c>
      <c r="BA645" t="s">
        <v>74</v>
      </c>
      <c r="BB645">
        <v>2602</v>
      </c>
      <c r="BC645">
        <v>2612</v>
      </c>
      <c r="BD645" t="s">
        <v>74</v>
      </c>
      <c r="BE645" t="s">
        <v>12465</v>
      </c>
      <c r="BF645" t="str">
        <f>HYPERLINK("http://dx.doi.org/10.1111/1365-2664.14525","http://dx.doi.org/10.1111/1365-2664.14525")</f>
        <v>http://dx.doi.org/10.1111/1365-2664.14525</v>
      </c>
      <c r="BG645" t="s">
        <v>74</v>
      </c>
      <c r="BH645" t="s">
        <v>11428</v>
      </c>
      <c r="BI645">
        <v>11</v>
      </c>
      <c r="BJ645" t="s">
        <v>1261</v>
      </c>
      <c r="BK645" t="s">
        <v>100</v>
      </c>
      <c r="BL645" t="s">
        <v>913</v>
      </c>
      <c r="BM645" t="s">
        <v>12466</v>
      </c>
      <c r="BN645" t="s">
        <v>74</v>
      </c>
      <c r="BO645" t="s">
        <v>103</v>
      </c>
      <c r="BP645" t="s">
        <v>74</v>
      </c>
      <c r="BQ645" t="s">
        <v>74</v>
      </c>
      <c r="BR645" t="s">
        <v>104</v>
      </c>
      <c r="BS645" t="s">
        <v>12467</v>
      </c>
      <c r="BT645" t="str">
        <f>HYPERLINK("https%3A%2F%2Fwww.webofscience.com%2Fwos%2Fwoscc%2Ffull-record%2FWOS:001090940200001","View Full Record in Web of Science")</f>
        <v>View Full Record in Web of Science</v>
      </c>
    </row>
    <row r="646" spans="1:72" x14ac:dyDescent="0.15">
      <c r="A646" t="s">
        <v>72</v>
      </c>
      <c r="B646" t="s">
        <v>12468</v>
      </c>
      <c r="C646" t="s">
        <v>74</v>
      </c>
      <c r="D646" t="s">
        <v>74</v>
      </c>
      <c r="E646" t="s">
        <v>74</v>
      </c>
      <c r="F646" t="s">
        <v>12469</v>
      </c>
      <c r="G646" t="s">
        <v>74</v>
      </c>
      <c r="H646" t="s">
        <v>74</v>
      </c>
      <c r="I646" t="s">
        <v>12470</v>
      </c>
      <c r="J646" t="s">
        <v>12471</v>
      </c>
      <c r="K646" t="s">
        <v>74</v>
      </c>
      <c r="L646" t="s">
        <v>74</v>
      </c>
      <c r="M646" t="s">
        <v>78</v>
      </c>
      <c r="N646" t="s">
        <v>79</v>
      </c>
      <c r="O646" t="s">
        <v>74</v>
      </c>
      <c r="P646" t="s">
        <v>74</v>
      </c>
      <c r="Q646" t="s">
        <v>74</v>
      </c>
      <c r="R646" t="s">
        <v>74</v>
      </c>
      <c r="S646" t="s">
        <v>74</v>
      </c>
      <c r="T646" t="s">
        <v>12472</v>
      </c>
      <c r="U646" t="s">
        <v>12473</v>
      </c>
      <c r="V646" t="s">
        <v>12474</v>
      </c>
      <c r="W646" t="s">
        <v>12475</v>
      </c>
      <c r="X646" t="s">
        <v>12476</v>
      </c>
      <c r="Y646" t="s">
        <v>12477</v>
      </c>
      <c r="Z646" t="s">
        <v>12478</v>
      </c>
      <c r="AA646" t="s">
        <v>74</v>
      </c>
      <c r="AB646" t="s">
        <v>12479</v>
      </c>
      <c r="AC646" t="s">
        <v>12480</v>
      </c>
      <c r="AD646" t="s">
        <v>12480</v>
      </c>
      <c r="AE646" t="s">
        <v>12480</v>
      </c>
      <c r="AF646" t="s">
        <v>74</v>
      </c>
      <c r="AG646">
        <v>66</v>
      </c>
      <c r="AH646">
        <v>1</v>
      </c>
      <c r="AI646">
        <v>1</v>
      </c>
      <c r="AJ646">
        <v>6</v>
      </c>
      <c r="AK646">
        <v>6</v>
      </c>
      <c r="AL646" t="s">
        <v>1101</v>
      </c>
      <c r="AM646" t="s">
        <v>1102</v>
      </c>
      <c r="AN646" t="s">
        <v>1103</v>
      </c>
      <c r="AO646" t="s">
        <v>12481</v>
      </c>
      <c r="AP646" t="s">
        <v>12482</v>
      </c>
      <c r="AQ646" t="s">
        <v>74</v>
      </c>
      <c r="AR646" t="s">
        <v>12483</v>
      </c>
      <c r="AS646" t="s">
        <v>12484</v>
      </c>
      <c r="AT646" t="s">
        <v>10456</v>
      </c>
      <c r="AU646">
        <v>2024</v>
      </c>
      <c r="AV646">
        <v>141</v>
      </c>
      <c r="AW646">
        <v>2</v>
      </c>
      <c r="AX646" t="s">
        <v>74</v>
      </c>
      <c r="AY646" t="s">
        <v>74</v>
      </c>
      <c r="AZ646" t="s">
        <v>74</v>
      </c>
      <c r="BA646" t="s">
        <v>74</v>
      </c>
      <c r="BB646" t="s">
        <v>74</v>
      </c>
      <c r="BC646" t="s">
        <v>74</v>
      </c>
      <c r="BD646" t="s">
        <v>74</v>
      </c>
      <c r="BE646" t="s">
        <v>12485</v>
      </c>
      <c r="BF646" t="str">
        <f>HYPERLINK("http://dx.doi.org/10.1002/app.54789","http://dx.doi.org/10.1002/app.54789")</f>
        <v>http://dx.doi.org/10.1002/app.54789</v>
      </c>
      <c r="BG646" t="s">
        <v>74</v>
      </c>
      <c r="BH646" t="s">
        <v>11428</v>
      </c>
      <c r="BI646">
        <v>15</v>
      </c>
      <c r="BJ646" t="s">
        <v>8433</v>
      </c>
      <c r="BK646" t="s">
        <v>100</v>
      </c>
      <c r="BL646" t="s">
        <v>8433</v>
      </c>
      <c r="BM646" t="s">
        <v>12486</v>
      </c>
      <c r="BN646" t="s">
        <v>74</v>
      </c>
      <c r="BO646" t="s">
        <v>103</v>
      </c>
      <c r="BP646" t="s">
        <v>74</v>
      </c>
      <c r="BQ646" t="s">
        <v>74</v>
      </c>
      <c r="BR646" t="s">
        <v>104</v>
      </c>
      <c r="BS646" t="s">
        <v>12487</v>
      </c>
      <c r="BT646" t="str">
        <f>HYPERLINK("https%3A%2F%2Fwww.webofscience.com%2Fwos%2Fwoscc%2Ffull-record%2FWOS:001090148800001","View Full Record in Web of Science")</f>
        <v>View Full Record in Web of Science</v>
      </c>
    </row>
    <row r="647" spans="1:72" x14ac:dyDescent="0.15">
      <c r="A647" t="s">
        <v>72</v>
      </c>
      <c r="B647" t="s">
        <v>12488</v>
      </c>
      <c r="C647" t="s">
        <v>74</v>
      </c>
      <c r="D647" t="s">
        <v>74</v>
      </c>
      <c r="E647" t="s">
        <v>74</v>
      </c>
      <c r="F647" t="s">
        <v>12489</v>
      </c>
      <c r="G647" t="s">
        <v>74</v>
      </c>
      <c r="H647" t="s">
        <v>74</v>
      </c>
      <c r="I647" t="s">
        <v>12490</v>
      </c>
      <c r="J647" t="s">
        <v>5328</v>
      </c>
      <c r="K647" t="s">
        <v>74</v>
      </c>
      <c r="L647" t="s">
        <v>74</v>
      </c>
      <c r="M647" t="s">
        <v>78</v>
      </c>
      <c r="N647" t="s">
        <v>79</v>
      </c>
      <c r="O647" t="s">
        <v>74</v>
      </c>
      <c r="P647" t="s">
        <v>74</v>
      </c>
      <c r="Q647" t="s">
        <v>74</v>
      </c>
      <c r="R647" t="s">
        <v>74</v>
      </c>
      <c r="S647" t="s">
        <v>74</v>
      </c>
      <c r="T647" t="s">
        <v>74</v>
      </c>
      <c r="U647" t="s">
        <v>12491</v>
      </c>
      <c r="V647" t="s">
        <v>12492</v>
      </c>
      <c r="W647" t="s">
        <v>12493</v>
      </c>
      <c r="X647" t="s">
        <v>12494</v>
      </c>
      <c r="Y647" t="s">
        <v>12495</v>
      </c>
      <c r="Z647" t="s">
        <v>12496</v>
      </c>
      <c r="AA647" t="s">
        <v>74</v>
      </c>
      <c r="AB647" t="s">
        <v>74</v>
      </c>
      <c r="AC647" t="s">
        <v>12497</v>
      </c>
      <c r="AD647" t="s">
        <v>12498</v>
      </c>
      <c r="AE647" t="s">
        <v>12499</v>
      </c>
      <c r="AF647" t="s">
        <v>74</v>
      </c>
      <c r="AG647">
        <v>51</v>
      </c>
      <c r="AH647">
        <v>0</v>
      </c>
      <c r="AI647">
        <v>0</v>
      </c>
      <c r="AJ647">
        <v>0</v>
      </c>
      <c r="AK647">
        <v>0</v>
      </c>
      <c r="AL647" t="s">
        <v>1838</v>
      </c>
      <c r="AM647" t="s">
        <v>1839</v>
      </c>
      <c r="AN647" t="s">
        <v>1840</v>
      </c>
      <c r="AO647" t="s">
        <v>74</v>
      </c>
      <c r="AP647" t="s">
        <v>5339</v>
      </c>
      <c r="AQ647" t="s">
        <v>74</v>
      </c>
      <c r="AR647" t="s">
        <v>5340</v>
      </c>
      <c r="AS647" t="s">
        <v>5340</v>
      </c>
      <c r="AT647" t="s">
        <v>12500</v>
      </c>
      <c r="AU647">
        <v>2023</v>
      </c>
      <c r="AV647">
        <v>4</v>
      </c>
      <c r="AW647">
        <v>4</v>
      </c>
      <c r="AX647" t="s">
        <v>74</v>
      </c>
      <c r="AY647" t="s">
        <v>74</v>
      </c>
      <c r="AZ647" t="s">
        <v>74</v>
      </c>
      <c r="BA647" t="s">
        <v>74</v>
      </c>
      <c r="BB647">
        <v>875</v>
      </c>
      <c r="BC647">
        <v>886</v>
      </c>
      <c r="BD647" t="s">
        <v>74</v>
      </c>
      <c r="BE647" t="s">
        <v>12501</v>
      </c>
      <c r="BF647" t="str">
        <f>HYPERLINK("http://dx.doi.org/10.5194/wcd-4-875-2023","http://dx.doi.org/10.5194/wcd-4-875-2023")</f>
        <v>http://dx.doi.org/10.5194/wcd-4-875-2023</v>
      </c>
      <c r="BG647" t="s">
        <v>74</v>
      </c>
      <c r="BH647" t="s">
        <v>74</v>
      </c>
      <c r="BI647">
        <v>12</v>
      </c>
      <c r="BJ647" t="s">
        <v>1522</v>
      </c>
      <c r="BK647" t="s">
        <v>912</v>
      </c>
      <c r="BL647" t="s">
        <v>1522</v>
      </c>
      <c r="BM647" t="s">
        <v>12502</v>
      </c>
      <c r="BN647" t="s">
        <v>74</v>
      </c>
      <c r="BO647" t="s">
        <v>183</v>
      </c>
      <c r="BP647" t="s">
        <v>74</v>
      </c>
      <c r="BQ647" t="s">
        <v>74</v>
      </c>
      <c r="BR647" t="s">
        <v>104</v>
      </c>
      <c r="BS647" t="s">
        <v>12503</v>
      </c>
      <c r="BT647" t="str">
        <f>HYPERLINK("https%3A%2F%2Fwww.webofscience.com%2Fwos%2Fwoscc%2Ffull-record%2FWOS:001168845900001","View Full Record in Web of Science")</f>
        <v>View Full Record in Web of Science</v>
      </c>
    </row>
    <row r="648" spans="1:72" x14ac:dyDescent="0.15">
      <c r="A648" t="s">
        <v>72</v>
      </c>
      <c r="B648" t="s">
        <v>12504</v>
      </c>
      <c r="C648" t="s">
        <v>74</v>
      </c>
      <c r="D648" t="s">
        <v>74</v>
      </c>
      <c r="E648" t="s">
        <v>74</v>
      </c>
      <c r="F648" t="s">
        <v>12505</v>
      </c>
      <c r="G648" t="s">
        <v>74</v>
      </c>
      <c r="H648" t="s">
        <v>12506</v>
      </c>
      <c r="I648" t="s">
        <v>12507</v>
      </c>
      <c r="J648" t="s">
        <v>3551</v>
      </c>
      <c r="K648" t="s">
        <v>74</v>
      </c>
      <c r="L648" t="s">
        <v>74</v>
      </c>
      <c r="M648" t="s">
        <v>78</v>
      </c>
      <c r="N648" t="s">
        <v>79</v>
      </c>
      <c r="O648" t="s">
        <v>74</v>
      </c>
      <c r="P648" t="s">
        <v>74</v>
      </c>
      <c r="Q648" t="s">
        <v>74</v>
      </c>
      <c r="R648" t="s">
        <v>74</v>
      </c>
      <c r="S648" t="s">
        <v>74</v>
      </c>
      <c r="T648" t="s">
        <v>12508</v>
      </c>
      <c r="U648" t="s">
        <v>12509</v>
      </c>
      <c r="V648" t="s">
        <v>12510</v>
      </c>
      <c r="W648" t="s">
        <v>12511</v>
      </c>
      <c r="X648" t="s">
        <v>12512</v>
      </c>
      <c r="Y648" t="s">
        <v>12513</v>
      </c>
      <c r="Z648" t="s">
        <v>12514</v>
      </c>
      <c r="AA648" t="s">
        <v>12515</v>
      </c>
      <c r="AB648" t="s">
        <v>12516</v>
      </c>
      <c r="AC648" t="s">
        <v>74</v>
      </c>
      <c r="AD648" t="s">
        <v>74</v>
      </c>
      <c r="AE648" t="s">
        <v>74</v>
      </c>
      <c r="AF648" t="s">
        <v>74</v>
      </c>
      <c r="AG648">
        <v>43</v>
      </c>
      <c r="AH648">
        <v>0</v>
      </c>
      <c r="AI648">
        <v>0</v>
      </c>
      <c r="AJ648">
        <v>5</v>
      </c>
      <c r="AK648">
        <v>5</v>
      </c>
      <c r="AL648" t="s">
        <v>89</v>
      </c>
      <c r="AM648" t="s">
        <v>90</v>
      </c>
      <c r="AN648" t="s">
        <v>91</v>
      </c>
      <c r="AO648" t="s">
        <v>3564</v>
      </c>
      <c r="AP648" t="s">
        <v>3565</v>
      </c>
      <c r="AQ648" t="s">
        <v>74</v>
      </c>
      <c r="AR648" t="s">
        <v>3566</v>
      </c>
      <c r="AS648" t="s">
        <v>3567</v>
      </c>
      <c r="AT648" t="s">
        <v>9002</v>
      </c>
      <c r="AU648">
        <v>2023</v>
      </c>
      <c r="AV648">
        <v>72</v>
      </c>
      <c r="AW648">
        <v>10</v>
      </c>
      <c r="AX648" t="s">
        <v>74</v>
      </c>
      <c r="AY648" t="s">
        <v>74</v>
      </c>
      <c r="AZ648" t="s">
        <v>74</v>
      </c>
      <c r="BA648" t="s">
        <v>74</v>
      </c>
      <c r="BB648">
        <v>4613</v>
      </c>
      <c r="BC648">
        <v>4624</v>
      </c>
      <c r="BD648" t="s">
        <v>74</v>
      </c>
      <c r="BE648" t="s">
        <v>12517</v>
      </c>
      <c r="BF648" t="str">
        <f>HYPERLINK("http://dx.doi.org/10.1016/j.asr.2023.09.027","http://dx.doi.org/10.1016/j.asr.2023.09.027")</f>
        <v>http://dx.doi.org/10.1016/j.asr.2023.09.027</v>
      </c>
      <c r="BG648" t="s">
        <v>74</v>
      </c>
      <c r="BH648" t="s">
        <v>11428</v>
      </c>
      <c r="BI648">
        <v>12</v>
      </c>
      <c r="BJ648" t="s">
        <v>3569</v>
      </c>
      <c r="BK648" t="s">
        <v>100</v>
      </c>
      <c r="BL648" t="s">
        <v>3570</v>
      </c>
      <c r="BM648" t="s">
        <v>12518</v>
      </c>
      <c r="BN648" t="s">
        <v>74</v>
      </c>
      <c r="BO648" t="s">
        <v>3040</v>
      </c>
      <c r="BP648" t="s">
        <v>74</v>
      </c>
      <c r="BQ648" t="s">
        <v>74</v>
      </c>
      <c r="BR648" t="s">
        <v>104</v>
      </c>
      <c r="BS648" t="s">
        <v>12519</v>
      </c>
      <c r="BT648" t="str">
        <f>HYPERLINK("https%3A%2F%2Fwww.webofscience.com%2Fwos%2Fwoscc%2Ffull-record%2FWOS:001121957500001","View Full Record in Web of Science")</f>
        <v>View Full Record in Web of Science</v>
      </c>
    </row>
    <row r="649" spans="1:72" x14ac:dyDescent="0.15">
      <c r="A649" t="s">
        <v>72</v>
      </c>
      <c r="B649" t="s">
        <v>12520</v>
      </c>
      <c r="C649" t="s">
        <v>74</v>
      </c>
      <c r="D649" t="s">
        <v>74</v>
      </c>
      <c r="E649" t="s">
        <v>74</v>
      </c>
      <c r="F649" t="s">
        <v>12521</v>
      </c>
      <c r="G649" t="s">
        <v>74</v>
      </c>
      <c r="H649" t="s">
        <v>74</v>
      </c>
      <c r="I649" t="s">
        <v>12522</v>
      </c>
      <c r="J649" t="s">
        <v>12523</v>
      </c>
      <c r="K649" t="s">
        <v>74</v>
      </c>
      <c r="L649" t="s">
        <v>74</v>
      </c>
      <c r="M649" t="s">
        <v>78</v>
      </c>
      <c r="N649" t="s">
        <v>79</v>
      </c>
      <c r="O649" t="s">
        <v>74</v>
      </c>
      <c r="P649" t="s">
        <v>74</v>
      </c>
      <c r="Q649" t="s">
        <v>74</v>
      </c>
      <c r="R649" t="s">
        <v>74</v>
      </c>
      <c r="S649" t="s">
        <v>74</v>
      </c>
      <c r="T649" t="s">
        <v>12524</v>
      </c>
      <c r="U649" t="s">
        <v>12525</v>
      </c>
      <c r="V649" t="s">
        <v>12526</v>
      </c>
      <c r="W649" t="s">
        <v>12527</v>
      </c>
      <c r="X649" t="s">
        <v>12528</v>
      </c>
      <c r="Y649" t="s">
        <v>12529</v>
      </c>
      <c r="Z649" t="s">
        <v>12530</v>
      </c>
      <c r="AA649" t="s">
        <v>12531</v>
      </c>
      <c r="AB649" t="s">
        <v>12532</v>
      </c>
      <c r="AC649" t="s">
        <v>12533</v>
      </c>
      <c r="AD649" t="s">
        <v>12534</v>
      </c>
      <c r="AE649" t="s">
        <v>12535</v>
      </c>
      <c r="AF649" t="s">
        <v>74</v>
      </c>
      <c r="AG649">
        <v>74</v>
      </c>
      <c r="AH649">
        <v>0</v>
      </c>
      <c r="AI649">
        <v>0</v>
      </c>
      <c r="AJ649">
        <v>4</v>
      </c>
      <c r="AK649">
        <v>4</v>
      </c>
      <c r="AL649" t="s">
        <v>947</v>
      </c>
      <c r="AM649" t="s">
        <v>948</v>
      </c>
      <c r="AN649" t="s">
        <v>949</v>
      </c>
      <c r="AO649" t="s">
        <v>12536</v>
      </c>
      <c r="AP649" t="s">
        <v>12537</v>
      </c>
      <c r="AQ649" t="s">
        <v>74</v>
      </c>
      <c r="AR649" t="s">
        <v>12538</v>
      </c>
      <c r="AS649" t="s">
        <v>12539</v>
      </c>
      <c r="AT649" t="s">
        <v>8300</v>
      </c>
      <c r="AU649">
        <v>2023</v>
      </c>
      <c r="AV649">
        <v>377</v>
      </c>
      <c r="AW649" t="s">
        <v>74</v>
      </c>
      <c r="AX649" t="s">
        <v>74</v>
      </c>
      <c r="AY649" t="s">
        <v>74</v>
      </c>
      <c r="AZ649" t="s">
        <v>74</v>
      </c>
      <c r="BA649" t="s">
        <v>74</v>
      </c>
      <c r="BB649">
        <v>1</v>
      </c>
      <c r="BC649">
        <v>12</v>
      </c>
      <c r="BD649" t="s">
        <v>74</v>
      </c>
      <c r="BE649" t="s">
        <v>12540</v>
      </c>
      <c r="BF649" t="str">
        <f>HYPERLINK("http://dx.doi.org/10.1016/j.jbiotec.2023.10.001","http://dx.doi.org/10.1016/j.jbiotec.2023.10.001")</f>
        <v>http://dx.doi.org/10.1016/j.jbiotec.2023.10.001</v>
      </c>
      <c r="BG649" t="s">
        <v>74</v>
      </c>
      <c r="BH649" t="s">
        <v>11428</v>
      </c>
      <c r="BI649">
        <v>12</v>
      </c>
      <c r="BJ649" t="s">
        <v>5019</v>
      </c>
      <c r="BK649" t="s">
        <v>100</v>
      </c>
      <c r="BL649" t="s">
        <v>5019</v>
      </c>
      <c r="BM649" t="s">
        <v>12541</v>
      </c>
      <c r="BN649">
        <v>37806388</v>
      </c>
      <c r="BO649" t="s">
        <v>74</v>
      </c>
      <c r="BP649" t="s">
        <v>74</v>
      </c>
      <c r="BQ649" t="s">
        <v>74</v>
      </c>
      <c r="BR649" t="s">
        <v>104</v>
      </c>
      <c r="BS649" t="s">
        <v>12542</v>
      </c>
      <c r="BT649" t="str">
        <f>HYPERLINK("https%3A%2F%2Fwww.webofscience.com%2Fwos%2Fwoscc%2Ffull-record%2FWOS:001101328500001","View Full Record in Web of Science")</f>
        <v>View Full Record in Web of Science</v>
      </c>
    </row>
    <row r="650" spans="1:72" x14ac:dyDescent="0.15">
      <c r="A650" t="s">
        <v>72</v>
      </c>
      <c r="B650" t="s">
        <v>12543</v>
      </c>
      <c r="C650" t="s">
        <v>74</v>
      </c>
      <c r="D650" t="s">
        <v>74</v>
      </c>
      <c r="E650" t="s">
        <v>74</v>
      </c>
      <c r="F650" t="s">
        <v>12544</v>
      </c>
      <c r="G650" t="s">
        <v>74</v>
      </c>
      <c r="H650" t="s">
        <v>74</v>
      </c>
      <c r="I650" t="s">
        <v>12545</v>
      </c>
      <c r="J650" t="s">
        <v>4233</v>
      </c>
      <c r="K650" t="s">
        <v>74</v>
      </c>
      <c r="L650" t="s">
        <v>74</v>
      </c>
      <c r="M650" t="s">
        <v>78</v>
      </c>
      <c r="N650" t="s">
        <v>79</v>
      </c>
      <c r="O650" t="s">
        <v>74</v>
      </c>
      <c r="P650" t="s">
        <v>74</v>
      </c>
      <c r="Q650" t="s">
        <v>74</v>
      </c>
      <c r="R650" t="s">
        <v>74</v>
      </c>
      <c r="S650" t="s">
        <v>74</v>
      </c>
      <c r="T650" t="s">
        <v>12546</v>
      </c>
      <c r="U650" t="s">
        <v>12547</v>
      </c>
      <c r="V650" t="s">
        <v>12548</v>
      </c>
      <c r="W650" t="s">
        <v>12549</v>
      </c>
      <c r="X650" t="s">
        <v>12550</v>
      </c>
      <c r="Y650" t="s">
        <v>12551</v>
      </c>
      <c r="Z650" t="s">
        <v>12552</v>
      </c>
      <c r="AA650" t="s">
        <v>74</v>
      </c>
      <c r="AB650" t="s">
        <v>12553</v>
      </c>
      <c r="AC650" t="s">
        <v>12554</v>
      </c>
      <c r="AD650" t="s">
        <v>12554</v>
      </c>
      <c r="AE650" t="s">
        <v>12555</v>
      </c>
      <c r="AF650" t="s">
        <v>74</v>
      </c>
      <c r="AG650">
        <v>106</v>
      </c>
      <c r="AH650">
        <v>0</v>
      </c>
      <c r="AI650">
        <v>0</v>
      </c>
      <c r="AJ650">
        <v>2</v>
      </c>
      <c r="AK650">
        <v>2</v>
      </c>
      <c r="AL650" t="s">
        <v>975</v>
      </c>
      <c r="AM650" t="s">
        <v>976</v>
      </c>
      <c r="AN650" t="s">
        <v>977</v>
      </c>
      <c r="AO650" t="s">
        <v>4246</v>
      </c>
      <c r="AP650" t="s">
        <v>4247</v>
      </c>
      <c r="AQ650" t="s">
        <v>74</v>
      </c>
      <c r="AR650" t="s">
        <v>4248</v>
      </c>
      <c r="AS650" t="s">
        <v>4249</v>
      </c>
      <c r="AT650" t="s">
        <v>10516</v>
      </c>
      <c r="AU650">
        <v>2023</v>
      </c>
      <c r="AV650">
        <v>360</v>
      </c>
      <c r="AW650" t="s">
        <v>74</v>
      </c>
      <c r="AX650" t="s">
        <v>74</v>
      </c>
      <c r="AY650" t="s">
        <v>74</v>
      </c>
      <c r="AZ650" t="s">
        <v>74</v>
      </c>
      <c r="BA650" t="s">
        <v>74</v>
      </c>
      <c r="BB650">
        <v>259</v>
      </c>
      <c r="BC650">
        <v>275</v>
      </c>
      <c r="BD650" t="s">
        <v>74</v>
      </c>
      <c r="BE650" t="s">
        <v>12556</v>
      </c>
      <c r="BF650" t="str">
        <f>HYPERLINK("http://dx.doi.org/10.1016/j.gca.2023.08.023","http://dx.doi.org/10.1016/j.gca.2023.08.023")</f>
        <v>http://dx.doi.org/10.1016/j.gca.2023.08.023</v>
      </c>
      <c r="BG650" t="s">
        <v>74</v>
      </c>
      <c r="BH650" t="s">
        <v>11428</v>
      </c>
      <c r="BI650">
        <v>17</v>
      </c>
      <c r="BJ650" t="s">
        <v>4252</v>
      </c>
      <c r="BK650" t="s">
        <v>100</v>
      </c>
      <c r="BL650" t="s">
        <v>4252</v>
      </c>
      <c r="BM650" t="s">
        <v>12557</v>
      </c>
      <c r="BN650" t="s">
        <v>74</v>
      </c>
      <c r="BO650" t="s">
        <v>103</v>
      </c>
      <c r="BP650" t="s">
        <v>74</v>
      </c>
      <c r="BQ650" t="s">
        <v>74</v>
      </c>
      <c r="BR650" t="s">
        <v>104</v>
      </c>
      <c r="BS650" t="s">
        <v>12558</v>
      </c>
      <c r="BT650" t="str">
        <f>HYPERLINK("https%3A%2F%2Fwww.webofscience.com%2Fwos%2Fwoscc%2Ffull-record%2FWOS:001105622400001","View Full Record in Web of Science")</f>
        <v>View Full Record in Web of Science</v>
      </c>
    </row>
    <row r="651" spans="1:72" x14ac:dyDescent="0.15">
      <c r="A651" t="s">
        <v>72</v>
      </c>
      <c r="B651" t="s">
        <v>12559</v>
      </c>
      <c r="C651" t="s">
        <v>74</v>
      </c>
      <c r="D651" t="s">
        <v>74</v>
      </c>
      <c r="E651" t="s">
        <v>74</v>
      </c>
      <c r="F651" t="s">
        <v>12560</v>
      </c>
      <c r="G651" t="s">
        <v>74</v>
      </c>
      <c r="H651" t="s">
        <v>74</v>
      </c>
      <c r="I651" t="s">
        <v>12561</v>
      </c>
      <c r="J651" t="s">
        <v>4891</v>
      </c>
      <c r="K651" t="s">
        <v>74</v>
      </c>
      <c r="L651" t="s">
        <v>74</v>
      </c>
      <c r="M651" t="s">
        <v>78</v>
      </c>
      <c r="N651" t="s">
        <v>11926</v>
      </c>
      <c r="O651" t="s">
        <v>74</v>
      </c>
      <c r="P651" t="s">
        <v>74</v>
      </c>
      <c r="Q651" t="s">
        <v>74</v>
      </c>
      <c r="R651" t="s">
        <v>74</v>
      </c>
      <c r="S651" t="s">
        <v>74</v>
      </c>
      <c r="T651" t="s">
        <v>74</v>
      </c>
      <c r="U651" t="s">
        <v>74</v>
      </c>
      <c r="V651" t="s">
        <v>74</v>
      </c>
      <c r="W651" t="s">
        <v>12562</v>
      </c>
      <c r="X651" t="s">
        <v>7654</v>
      </c>
      <c r="Y651" t="s">
        <v>12563</v>
      </c>
      <c r="Z651" t="s">
        <v>12564</v>
      </c>
      <c r="AA651" t="s">
        <v>74</v>
      </c>
      <c r="AB651" t="s">
        <v>12565</v>
      </c>
      <c r="AC651" t="s">
        <v>74</v>
      </c>
      <c r="AD651" t="s">
        <v>74</v>
      </c>
      <c r="AE651" t="s">
        <v>74</v>
      </c>
      <c r="AF651" t="s">
        <v>74</v>
      </c>
      <c r="AG651">
        <v>1</v>
      </c>
      <c r="AH651">
        <v>0</v>
      </c>
      <c r="AI651">
        <v>0</v>
      </c>
      <c r="AJ651">
        <v>0</v>
      </c>
      <c r="AK651">
        <v>0</v>
      </c>
      <c r="AL651" t="s">
        <v>1782</v>
      </c>
      <c r="AM651" t="s">
        <v>1783</v>
      </c>
      <c r="AN651" t="s">
        <v>1784</v>
      </c>
      <c r="AO651" t="s">
        <v>4900</v>
      </c>
      <c r="AP651" t="s">
        <v>4901</v>
      </c>
      <c r="AQ651" t="s">
        <v>74</v>
      </c>
      <c r="AR651" t="s">
        <v>4902</v>
      </c>
      <c r="AS651" t="s">
        <v>4903</v>
      </c>
      <c r="AT651" t="s">
        <v>12500</v>
      </c>
      <c r="AU651">
        <v>2023</v>
      </c>
      <c r="AV651">
        <v>59</v>
      </c>
      <c r="AW651" t="s">
        <v>74</v>
      </c>
      <c r="AX651" t="s">
        <v>74</v>
      </c>
      <c r="AY651" t="s">
        <v>74</v>
      </c>
      <c r="AZ651" t="s">
        <v>74</v>
      </c>
      <c r="BA651" t="s">
        <v>74</v>
      </c>
      <c r="BB651" t="s">
        <v>74</v>
      </c>
      <c r="BC651" t="s">
        <v>74</v>
      </c>
      <c r="BD651" t="s">
        <v>74</v>
      </c>
      <c r="BE651" t="s">
        <v>12566</v>
      </c>
      <c r="BF651" t="str">
        <f>HYPERLINK("http://dx.doi.org/10.1017/S0032247423000232","http://dx.doi.org/10.1017/S0032247423000232")</f>
        <v>http://dx.doi.org/10.1017/S0032247423000232</v>
      </c>
      <c r="BG651" t="s">
        <v>74</v>
      </c>
      <c r="BH651" t="s">
        <v>74</v>
      </c>
      <c r="BI651">
        <v>2</v>
      </c>
      <c r="BJ651" t="s">
        <v>4906</v>
      </c>
      <c r="BK651" t="s">
        <v>100</v>
      </c>
      <c r="BL651" t="s">
        <v>1011</v>
      </c>
      <c r="BM651" t="s">
        <v>12567</v>
      </c>
      <c r="BN651" t="s">
        <v>74</v>
      </c>
      <c r="BO651" t="s">
        <v>1794</v>
      </c>
      <c r="BP651" t="s">
        <v>74</v>
      </c>
      <c r="BQ651" t="s">
        <v>74</v>
      </c>
      <c r="BR651" t="s">
        <v>104</v>
      </c>
      <c r="BS651" t="s">
        <v>12568</v>
      </c>
      <c r="BT651" t="str">
        <f>HYPERLINK("https%3A%2F%2Fwww.webofscience.com%2Fwos%2Fwoscc%2Ffull-record%2FWOS:001100090700001","View Full Record in Web of Science")</f>
        <v>View Full Record in Web of Science</v>
      </c>
    </row>
    <row r="652" spans="1:72" x14ac:dyDescent="0.15">
      <c r="A652" t="s">
        <v>72</v>
      </c>
      <c r="B652" t="s">
        <v>12569</v>
      </c>
      <c r="C652" t="s">
        <v>74</v>
      </c>
      <c r="D652" t="s">
        <v>74</v>
      </c>
      <c r="E652" t="s">
        <v>74</v>
      </c>
      <c r="F652" t="s">
        <v>12570</v>
      </c>
      <c r="G652" t="s">
        <v>74</v>
      </c>
      <c r="H652" t="s">
        <v>74</v>
      </c>
      <c r="I652" t="s">
        <v>12571</v>
      </c>
      <c r="J652" t="s">
        <v>3551</v>
      </c>
      <c r="K652" t="s">
        <v>74</v>
      </c>
      <c r="L652" t="s">
        <v>74</v>
      </c>
      <c r="M652" t="s">
        <v>78</v>
      </c>
      <c r="N652" t="s">
        <v>79</v>
      </c>
      <c r="O652" t="s">
        <v>74</v>
      </c>
      <c r="P652" t="s">
        <v>74</v>
      </c>
      <c r="Q652" t="s">
        <v>74</v>
      </c>
      <c r="R652" t="s">
        <v>74</v>
      </c>
      <c r="S652" t="s">
        <v>74</v>
      </c>
      <c r="T652" t="s">
        <v>12572</v>
      </c>
      <c r="U652" t="s">
        <v>12573</v>
      </c>
      <c r="V652" t="s">
        <v>12574</v>
      </c>
      <c r="W652" t="s">
        <v>12575</v>
      </c>
      <c r="X652" t="s">
        <v>12576</v>
      </c>
      <c r="Y652" t="s">
        <v>12577</v>
      </c>
      <c r="Z652" t="s">
        <v>12578</v>
      </c>
      <c r="AA652" t="s">
        <v>74</v>
      </c>
      <c r="AB652" t="s">
        <v>74</v>
      </c>
      <c r="AC652" t="s">
        <v>12579</v>
      </c>
      <c r="AD652" t="s">
        <v>12580</v>
      </c>
      <c r="AE652" t="s">
        <v>12581</v>
      </c>
      <c r="AF652" t="s">
        <v>74</v>
      </c>
      <c r="AG652">
        <v>49</v>
      </c>
      <c r="AH652">
        <v>0</v>
      </c>
      <c r="AI652">
        <v>0</v>
      </c>
      <c r="AJ652">
        <v>5</v>
      </c>
      <c r="AK652">
        <v>5</v>
      </c>
      <c r="AL652" t="s">
        <v>89</v>
      </c>
      <c r="AM652" t="s">
        <v>90</v>
      </c>
      <c r="AN652" t="s">
        <v>91</v>
      </c>
      <c r="AO652" t="s">
        <v>3564</v>
      </c>
      <c r="AP652" t="s">
        <v>3565</v>
      </c>
      <c r="AQ652" t="s">
        <v>74</v>
      </c>
      <c r="AR652" t="s">
        <v>3566</v>
      </c>
      <c r="AS652" t="s">
        <v>3567</v>
      </c>
      <c r="AT652" t="s">
        <v>9002</v>
      </c>
      <c r="AU652">
        <v>2023</v>
      </c>
      <c r="AV652">
        <v>72</v>
      </c>
      <c r="AW652">
        <v>10</v>
      </c>
      <c r="AX652" t="s">
        <v>74</v>
      </c>
      <c r="AY652" t="s">
        <v>74</v>
      </c>
      <c r="AZ652" t="s">
        <v>74</v>
      </c>
      <c r="BA652" t="s">
        <v>74</v>
      </c>
      <c r="BB652">
        <v>4364</v>
      </c>
      <c r="BC652">
        <v>4378</v>
      </c>
      <c r="BD652" t="s">
        <v>74</v>
      </c>
      <c r="BE652" t="s">
        <v>12582</v>
      </c>
      <c r="BF652" t="str">
        <f>HYPERLINK("http://dx.doi.org/10.1016/j.asr.2023.09.035","http://dx.doi.org/10.1016/j.asr.2023.09.035")</f>
        <v>http://dx.doi.org/10.1016/j.asr.2023.09.035</v>
      </c>
      <c r="BG652" t="s">
        <v>74</v>
      </c>
      <c r="BH652" t="s">
        <v>11428</v>
      </c>
      <c r="BI652">
        <v>15</v>
      </c>
      <c r="BJ652" t="s">
        <v>3569</v>
      </c>
      <c r="BK652" t="s">
        <v>100</v>
      </c>
      <c r="BL652" t="s">
        <v>3570</v>
      </c>
      <c r="BM652" t="s">
        <v>12583</v>
      </c>
      <c r="BN652" t="s">
        <v>74</v>
      </c>
      <c r="BO652" t="s">
        <v>103</v>
      </c>
      <c r="BP652" t="s">
        <v>74</v>
      </c>
      <c r="BQ652" t="s">
        <v>74</v>
      </c>
      <c r="BR652" t="s">
        <v>104</v>
      </c>
      <c r="BS652" t="s">
        <v>12584</v>
      </c>
      <c r="BT652" t="str">
        <f>HYPERLINK("https%3A%2F%2Fwww.webofscience.com%2Fwos%2Fwoscc%2Ffull-record%2FWOS:001094414100001","View Full Record in Web of Science")</f>
        <v>View Full Record in Web of Science</v>
      </c>
    </row>
    <row r="653" spans="1:72" x14ac:dyDescent="0.15">
      <c r="A653" t="s">
        <v>72</v>
      </c>
      <c r="B653" t="s">
        <v>12585</v>
      </c>
      <c r="C653" t="s">
        <v>74</v>
      </c>
      <c r="D653" t="s">
        <v>74</v>
      </c>
      <c r="E653" t="s">
        <v>74</v>
      </c>
      <c r="F653" t="s">
        <v>12586</v>
      </c>
      <c r="G653" t="s">
        <v>74</v>
      </c>
      <c r="H653" t="s">
        <v>74</v>
      </c>
      <c r="I653" t="s">
        <v>12587</v>
      </c>
      <c r="J653" t="s">
        <v>1482</v>
      </c>
      <c r="K653" t="s">
        <v>74</v>
      </c>
      <c r="L653" t="s">
        <v>74</v>
      </c>
      <c r="M653" t="s">
        <v>78</v>
      </c>
      <c r="N653" t="s">
        <v>79</v>
      </c>
      <c r="O653" t="s">
        <v>74</v>
      </c>
      <c r="P653" t="s">
        <v>74</v>
      </c>
      <c r="Q653" t="s">
        <v>74</v>
      </c>
      <c r="R653" t="s">
        <v>74</v>
      </c>
      <c r="S653" t="s">
        <v>74</v>
      </c>
      <c r="T653" t="s">
        <v>12588</v>
      </c>
      <c r="U653" t="s">
        <v>12589</v>
      </c>
      <c r="V653" t="s">
        <v>12590</v>
      </c>
      <c r="W653" t="s">
        <v>12591</v>
      </c>
      <c r="X653" t="s">
        <v>12592</v>
      </c>
      <c r="Y653" t="s">
        <v>12593</v>
      </c>
      <c r="Z653" t="s">
        <v>12594</v>
      </c>
      <c r="AA653" t="s">
        <v>74</v>
      </c>
      <c r="AB653" t="s">
        <v>12595</v>
      </c>
      <c r="AC653" t="s">
        <v>12596</v>
      </c>
      <c r="AD653" t="s">
        <v>12597</v>
      </c>
      <c r="AE653" t="s">
        <v>12598</v>
      </c>
      <c r="AF653" t="s">
        <v>74</v>
      </c>
      <c r="AG653">
        <v>96</v>
      </c>
      <c r="AH653">
        <v>1</v>
      </c>
      <c r="AI653">
        <v>1</v>
      </c>
      <c r="AJ653">
        <v>2</v>
      </c>
      <c r="AK653">
        <v>2</v>
      </c>
      <c r="AL653" t="s">
        <v>1101</v>
      </c>
      <c r="AM653" t="s">
        <v>1102</v>
      </c>
      <c r="AN653" t="s">
        <v>1103</v>
      </c>
      <c r="AO653" t="s">
        <v>1492</v>
      </c>
      <c r="AP653" t="s">
        <v>1493</v>
      </c>
      <c r="AQ653" t="s">
        <v>74</v>
      </c>
      <c r="AR653" t="s">
        <v>1494</v>
      </c>
      <c r="AS653" t="s">
        <v>1495</v>
      </c>
      <c r="AT653" t="s">
        <v>954</v>
      </c>
      <c r="AU653">
        <v>2024</v>
      </c>
      <c r="AV653">
        <v>34</v>
      </c>
      <c r="AW653">
        <v>1</v>
      </c>
      <c r="AX653" t="s">
        <v>74</v>
      </c>
      <c r="AY653" t="s">
        <v>74</v>
      </c>
      <c r="AZ653" t="s">
        <v>74</v>
      </c>
      <c r="BA653" t="s">
        <v>74</v>
      </c>
      <c r="BB653" t="s">
        <v>74</v>
      </c>
      <c r="BC653" t="s">
        <v>74</v>
      </c>
      <c r="BD653" t="s">
        <v>74</v>
      </c>
      <c r="BE653" t="s">
        <v>12599</v>
      </c>
      <c r="BF653" t="str">
        <f>HYPERLINK("http://dx.doi.org/10.1002/aqc.4019","http://dx.doi.org/10.1002/aqc.4019")</f>
        <v>http://dx.doi.org/10.1002/aqc.4019</v>
      </c>
      <c r="BG653" t="s">
        <v>74</v>
      </c>
      <c r="BH653" t="s">
        <v>11428</v>
      </c>
      <c r="BI653">
        <v>16</v>
      </c>
      <c r="BJ653" t="s">
        <v>1497</v>
      </c>
      <c r="BK653" t="s">
        <v>100</v>
      </c>
      <c r="BL653" t="s">
        <v>1498</v>
      </c>
      <c r="BM653" t="s">
        <v>12600</v>
      </c>
      <c r="BN653" t="s">
        <v>74</v>
      </c>
      <c r="BO653" t="s">
        <v>103</v>
      </c>
      <c r="BP653" t="s">
        <v>74</v>
      </c>
      <c r="BQ653" t="s">
        <v>74</v>
      </c>
      <c r="BR653" t="s">
        <v>104</v>
      </c>
      <c r="BS653" t="s">
        <v>12601</v>
      </c>
      <c r="BT653" t="str">
        <f>HYPERLINK("https%3A%2F%2Fwww.webofscience.com%2Fwos%2Fwoscc%2Ffull-record%2FWOS:001087085200001","View Full Record in Web of Science")</f>
        <v>View Full Record in Web of Science</v>
      </c>
    </row>
    <row r="654" spans="1:72" x14ac:dyDescent="0.15">
      <c r="A654" t="s">
        <v>72</v>
      </c>
      <c r="B654" t="s">
        <v>12602</v>
      </c>
      <c r="C654" t="s">
        <v>74</v>
      </c>
      <c r="D654" t="s">
        <v>74</v>
      </c>
      <c r="E654" t="s">
        <v>74</v>
      </c>
      <c r="F654" t="s">
        <v>12603</v>
      </c>
      <c r="G654" t="s">
        <v>74</v>
      </c>
      <c r="H654" t="s">
        <v>74</v>
      </c>
      <c r="I654" t="s">
        <v>12604</v>
      </c>
      <c r="J654" t="s">
        <v>12605</v>
      </c>
      <c r="K654" t="s">
        <v>74</v>
      </c>
      <c r="L654" t="s">
        <v>74</v>
      </c>
      <c r="M654" t="s">
        <v>78</v>
      </c>
      <c r="N654" t="s">
        <v>79</v>
      </c>
      <c r="O654" t="s">
        <v>74</v>
      </c>
      <c r="P654" t="s">
        <v>74</v>
      </c>
      <c r="Q654" t="s">
        <v>74</v>
      </c>
      <c r="R654" t="s">
        <v>74</v>
      </c>
      <c r="S654" t="s">
        <v>74</v>
      </c>
      <c r="T654" t="s">
        <v>12606</v>
      </c>
      <c r="U654" t="s">
        <v>12607</v>
      </c>
      <c r="V654" t="s">
        <v>12608</v>
      </c>
      <c r="W654" t="s">
        <v>12609</v>
      </c>
      <c r="X654" t="s">
        <v>12610</v>
      </c>
      <c r="Y654" t="s">
        <v>12611</v>
      </c>
      <c r="Z654" t="s">
        <v>12612</v>
      </c>
      <c r="AA654" t="s">
        <v>74</v>
      </c>
      <c r="AB654" t="s">
        <v>12613</v>
      </c>
      <c r="AC654" t="s">
        <v>12614</v>
      </c>
      <c r="AD654" t="s">
        <v>12615</v>
      </c>
      <c r="AE654" t="s">
        <v>12616</v>
      </c>
      <c r="AF654" t="s">
        <v>74</v>
      </c>
      <c r="AG654">
        <v>32</v>
      </c>
      <c r="AH654">
        <v>0</v>
      </c>
      <c r="AI654">
        <v>0</v>
      </c>
      <c r="AJ654">
        <v>2</v>
      </c>
      <c r="AK654">
        <v>2</v>
      </c>
      <c r="AL654" t="s">
        <v>1101</v>
      </c>
      <c r="AM654" t="s">
        <v>1102</v>
      </c>
      <c r="AN654" t="s">
        <v>1103</v>
      </c>
      <c r="AO654" t="s">
        <v>12617</v>
      </c>
      <c r="AP654" t="s">
        <v>12618</v>
      </c>
      <c r="AQ654" t="s">
        <v>74</v>
      </c>
      <c r="AR654" t="s">
        <v>12605</v>
      </c>
      <c r="AS654" t="s">
        <v>12619</v>
      </c>
      <c r="AT654" t="s">
        <v>1133</v>
      </c>
      <c r="AU654">
        <v>2024</v>
      </c>
      <c r="AV654">
        <v>36</v>
      </c>
      <c r="AW654">
        <v>1</v>
      </c>
      <c r="AX654" t="s">
        <v>74</v>
      </c>
      <c r="AY654" t="s">
        <v>74</v>
      </c>
      <c r="AZ654" t="s">
        <v>74</v>
      </c>
      <c r="BA654" t="s">
        <v>74</v>
      </c>
      <c r="BB654">
        <v>37</v>
      </c>
      <c r="BC654">
        <v>44</v>
      </c>
      <c r="BD654" t="s">
        <v>74</v>
      </c>
      <c r="BE654" t="s">
        <v>12620</v>
      </c>
      <c r="BF654" t="str">
        <f>HYPERLINK("http://dx.doi.org/10.1111/ter.12688","http://dx.doi.org/10.1111/ter.12688")</f>
        <v>http://dx.doi.org/10.1111/ter.12688</v>
      </c>
      <c r="BG654" t="s">
        <v>74</v>
      </c>
      <c r="BH654" t="s">
        <v>11428</v>
      </c>
      <c r="BI654">
        <v>8</v>
      </c>
      <c r="BJ654" t="s">
        <v>535</v>
      </c>
      <c r="BK654" t="s">
        <v>100</v>
      </c>
      <c r="BL654" t="s">
        <v>536</v>
      </c>
      <c r="BM654" t="s">
        <v>12621</v>
      </c>
      <c r="BN654" t="s">
        <v>74</v>
      </c>
      <c r="BO654" t="s">
        <v>1794</v>
      </c>
      <c r="BP654" t="s">
        <v>74</v>
      </c>
      <c r="BQ654" t="s">
        <v>74</v>
      </c>
      <c r="BR654" t="s">
        <v>104</v>
      </c>
      <c r="BS654" t="s">
        <v>12622</v>
      </c>
      <c r="BT654" t="str">
        <f>HYPERLINK("https%3A%2F%2Fwww.webofscience.com%2Fwos%2Fwoscc%2Ffull-record%2FWOS:001086168800001","View Full Record in Web of Science")</f>
        <v>View Full Record in Web of Science</v>
      </c>
    </row>
    <row r="655" spans="1:72" x14ac:dyDescent="0.15">
      <c r="A655" t="s">
        <v>72</v>
      </c>
      <c r="B655" t="s">
        <v>12623</v>
      </c>
      <c r="C655" t="s">
        <v>74</v>
      </c>
      <c r="D655" t="s">
        <v>74</v>
      </c>
      <c r="E655" t="s">
        <v>74</v>
      </c>
      <c r="F655" t="s">
        <v>12624</v>
      </c>
      <c r="G655" t="s">
        <v>74</v>
      </c>
      <c r="H655" t="s">
        <v>74</v>
      </c>
      <c r="I655" t="s">
        <v>12625</v>
      </c>
      <c r="J655" t="s">
        <v>2809</v>
      </c>
      <c r="K655" t="s">
        <v>74</v>
      </c>
      <c r="L655" t="s">
        <v>74</v>
      </c>
      <c r="M655" t="s">
        <v>78</v>
      </c>
      <c r="N655" t="s">
        <v>79</v>
      </c>
      <c r="O655" t="s">
        <v>74</v>
      </c>
      <c r="P655" t="s">
        <v>74</v>
      </c>
      <c r="Q655" t="s">
        <v>74</v>
      </c>
      <c r="R655" t="s">
        <v>74</v>
      </c>
      <c r="S655" t="s">
        <v>74</v>
      </c>
      <c r="T655" t="s">
        <v>74</v>
      </c>
      <c r="U655" t="s">
        <v>12626</v>
      </c>
      <c r="V655" t="s">
        <v>12627</v>
      </c>
      <c r="W655" t="s">
        <v>12628</v>
      </c>
      <c r="X655" t="s">
        <v>12629</v>
      </c>
      <c r="Y655" t="s">
        <v>12630</v>
      </c>
      <c r="Z655" t="s">
        <v>12631</v>
      </c>
      <c r="AA655" t="s">
        <v>12632</v>
      </c>
      <c r="AB655" t="s">
        <v>12633</v>
      </c>
      <c r="AC655" t="s">
        <v>12634</v>
      </c>
      <c r="AD655" t="s">
        <v>1002</v>
      </c>
      <c r="AE655" t="s">
        <v>12635</v>
      </c>
      <c r="AF655" t="s">
        <v>74</v>
      </c>
      <c r="AG655">
        <v>68</v>
      </c>
      <c r="AH655">
        <v>2</v>
      </c>
      <c r="AI655">
        <v>2</v>
      </c>
      <c r="AJ655">
        <v>3</v>
      </c>
      <c r="AK655">
        <v>3</v>
      </c>
      <c r="AL655" t="s">
        <v>1838</v>
      </c>
      <c r="AM655" t="s">
        <v>1839</v>
      </c>
      <c r="AN655" t="s">
        <v>1840</v>
      </c>
      <c r="AO655" t="s">
        <v>2818</v>
      </c>
      <c r="AP655" t="s">
        <v>2819</v>
      </c>
      <c r="AQ655" t="s">
        <v>74</v>
      </c>
      <c r="AR655" t="s">
        <v>2809</v>
      </c>
      <c r="AS655" t="s">
        <v>2820</v>
      </c>
      <c r="AT655" t="s">
        <v>12636</v>
      </c>
      <c r="AU655">
        <v>2023</v>
      </c>
      <c r="AV655">
        <v>17</v>
      </c>
      <c r="AW655">
        <v>10</v>
      </c>
      <c r="AX655" t="s">
        <v>74</v>
      </c>
      <c r="AY655" t="s">
        <v>74</v>
      </c>
      <c r="AZ655" t="s">
        <v>74</v>
      </c>
      <c r="BA655" t="s">
        <v>74</v>
      </c>
      <c r="BB655">
        <v>4399</v>
      </c>
      <c r="BC655">
        <v>4420</v>
      </c>
      <c r="BD655" t="s">
        <v>74</v>
      </c>
      <c r="BE655" t="s">
        <v>12637</v>
      </c>
      <c r="BF655" t="str">
        <f>HYPERLINK("http://dx.doi.org/10.5194/tc-17-4399-2023","http://dx.doi.org/10.5194/tc-17-4399-2023")</f>
        <v>http://dx.doi.org/10.5194/tc-17-4399-2023</v>
      </c>
      <c r="BG655" t="s">
        <v>74</v>
      </c>
      <c r="BH655" t="s">
        <v>74</v>
      </c>
      <c r="BI655">
        <v>22</v>
      </c>
      <c r="BJ655" t="s">
        <v>984</v>
      </c>
      <c r="BK655" t="s">
        <v>100</v>
      </c>
      <c r="BL655" t="s">
        <v>985</v>
      </c>
      <c r="BM655" t="s">
        <v>12638</v>
      </c>
      <c r="BN655" t="s">
        <v>74</v>
      </c>
      <c r="BO655" t="s">
        <v>131</v>
      </c>
      <c r="BP655" t="s">
        <v>74</v>
      </c>
      <c r="BQ655" t="s">
        <v>74</v>
      </c>
      <c r="BR655" t="s">
        <v>104</v>
      </c>
      <c r="BS655" t="s">
        <v>12639</v>
      </c>
      <c r="BT655" t="str">
        <f>HYPERLINK("https%3A%2F%2Fwww.webofscience.com%2Fwos%2Fwoscc%2Ffull-record%2FWOS:001161828000001","View Full Record in Web of Science")</f>
        <v>View Full Record in Web of Science</v>
      </c>
    </row>
    <row r="656" spans="1:72" x14ac:dyDescent="0.15">
      <c r="A656" t="s">
        <v>72</v>
      </c>
      <c r="B656" t="s">
        <v>12640</v>
      </c>
      <c r="C656" t="s">
        <v>74</v>
      </c>
      <c r="D656" t="s">
        <v>74</v>
      </c>
      <c r="E656" t="s">
        <v>74</v>
      </c>
      <c r="F656" t="s">
        <v>12641</v>
      </c>
      <c r="G656" t="s">
        <v>74</v>
      </c>
      <c r="H656" t="s">
        <v>74</v>
      </c>
      <c r="I656" t="s">
        <v>12642</v>
      </c>
      <c r="J656" t="s">
        <v>2809</v>
      </c>
      <c r="K656" t="s">
        <v>74</v>
      </c>
      <c r="L656" t="s">
        <v>74</v>
      </c>
      <c r="M656" t="s">
        <v>78</v>
      </c>
      <c r="N656" t="s">
        <v>79</v>
      </c>
      <c r="O656" t="s">
        <v>74</v>
      </c>
      <c r="P656" t="s">
        <v>74</v>
      </c>
      <c r="Q656" t="s">
        <v>74</v>
      </c>
      <c r="R656" t="s">
        <v>74</v>
      </c>
      <c r="S656" t="s">
        <v>74</v>
      </c>
      <c r="T656" t="s">
        <v>74</v>
      </c>
      <c r="U656" t="s">
        <v>12643</v>
      </c>
      <c r="V656" t="s">
        <v>12644</v>
      </c>
      <c r="W656" t="s">
        <v>12645</v>
      </c>
      <c r="X656" t="s">
        <v>12646</v>
      </c>
      <c r="Y656" t="s">
        <v>12647</v>
      </c>
      <c r="Z656" t="s">
        <v>12648</v>
      </c>
      <c r="AA656" t="s">
        <v>74</v>
      </c>
      <c r="AB656" t="s">
        <v>12649</v>
      </c>
      <c r="AC656" t="s">
        <v>12650</v>
      </c>
      <c r="AD656" t="s">
        <v>12651</v>
      </c>
      <c r="AE656" t="s">
        <v>12652</v>
      </c>
      <c r="AF656" t="s">
        <v>74</v>
      </c>
      <c r="AG656">
        <v>63</v>
      </c>
      <c r="AH656">
        <v>0</v>
      </c>
      <c r="AI656">
        <v>0</v>
      </c>
      <c r="AJ656">
        <v>0</v>
      </c>
      <c r="AK656">
        <v>0</v>
      </c>
      <c r="AL656" t="s">
        <v>1838</v>
      </c>
      <c r="AM656" t="s">
        <v>1839</v>
      </c>
      <c r="AN656" t="s">
        <v>1840</v>
      </c>
      <c r="AO656" t="s">
        <v>2818</v>
      </c>
      <c r="AP656" t="s">
        <v>2819</v>
      </c>
      <c r="AQ656" t="s">
        <v>74</v>
      </c>
      <c r="AR656" t="s">
        <v>2809</v>
      </c>
      <c r="AS656" t="s">
        <v>2820</v>
      </c>
      <c r="AT656" t="s">
        <v>12636</v>
      </c>
      <c r="AU656">
        <v>2023</v>
      </c>
      <c r="AV656">
        <v>17</v>
      </c>
      <c r="AW656">
        <v>10</v>
      </c>
      <c r="AX656" t="s">
        <v>74</v>
      </c>
      <c r="AY656" t="s">
        <v>74</v>
      </c>
      <c r="AZ656" t="s">
        <v>74</v>
      </c>
      <c r="BA656" t="s">
        <v>74</v>
      </c>
      <c r="BB656">
        <v>4421</v>
      </c>
      <c r="BC656">
        <v>4445</v>
      </c>
      <c r="BD656" t="s">
        <v>74</v>
      </c>
      <c r="BE656" t="s">
        <v>12653</v>
      </c>
      <c r="BF656" t="str">
        <f>HYPERLINK("http://dx.doi.org/10.5194/tc-17-4421-2023","http://dx.doi.org/10.5194/tc-17-4421-2023")</f>
        <v>http://dx.doi.org/10.5194/tc-17-4421-2023</v>
      </c>
      <c r="BG656" t="s">
        <v>74</v>
      </c>
      <c r="BH656" t="s">
        <v>74</v>
      </c>
      <c r="BI656">
        <v>25</v>
      </c>
      <c r="BJ656" t="s">
        <v>984</v>
      </c>
      <c r="BK656" t="s">
        <v>100</v>
      </c>
      <c r="BL656" t="s">
        <v>985</v>
      </c>
      <c r="BM656" t="s">
        <v>12654</v>
      </c>
      <c r="BN656" t="s">
        <v>74</v>
      </c>
      <c r="BO656" t="s">
        <v>349</v>
      </c>
      <c r="BP656" t="s">
        <v>74</v>
      </c>
      <c r="BQ656" t="s">
        <v>74</v>
      </c>
      <c r="BR656" t="s">
        <v>104</v>
      </c>
      <c r="BS656" t="s">
        <v>12655</v>
      </c>
      <c r="BT656" t="str">
        <f>HYPERLINK("https%3A%2F%2Fwww.webofscience.com%2Fwos%2Fwoscc%2Ffull-record%2FWOS:001161806400001","View Full Record in Web of Science")</f>
        <v>View Full Record in Web of Science</v>
      </c>
    </row>
    <row r="657" spans="1:72" x14ac:dyDescent="0.15">
      <c r="A657" t="s">
        <v>72</v>
      </c>
      <c r="B657" t="s">
        <v>12656</v>
      </c>
      <c r="C657" t="s">
        <v>74</v>
      </c>
      <c r="D657" t="s">
        <v>74</v>
      </c>
      <c r="E657" t="s">
        <v>74</v>
      </c>
      <c r="F657" t="s">
        <v>12657</v>
      </c>
      <c r="G657" t="s">
        <v>74</v>
      </c>
      <c r="H657" t="s">
        <v>74</v>
      </c>
      <c r="I657" t="s">
        <v>12658</v>
      </c>
      <c r="J657" t="s">
        <v>3748</v>
      </c>
      <c r="K657" t="s">
        <v>74</v>
      </c>
      <c r="L657" t="s">
        <v>74</v>
      </c>
      <c r="M657" t="s">
        <v>78</v>
      </c>
      <c r="N657" t="s">
        <v>3749</v>
      </c>
      <c r="O657" t="s">
        <v>74</v>
      </c>
      <c r="P657" t="s">
        <v>74</v>
      </c>
      <c r="Q657" t="s">
        <v>74</v>
      </c>
      <c r="R657" t="s">
        <v>74</v>
      </c>
      <c r="S657" t="s">
        <v>74</v>
      </c>
      <c r="T657" t="s">
        <v>74</v>
      </c>
      <c r="U657" t="s">
        <v>12659</v>
      </c>
      <c r="V657" t="s">
        <v>12660</v>
      </c>
      <c r="W657" t="s">
        <v>12661</v>
      </c>
      <c r="X657" t="s">
        <v>12662</v>
      </c>
      <c r="Y657" t="s">
        <v>12663</v>
      </c>
      <c r="Z657" t="s">
        <v>74</v>
      </c>
      <c r="AA657" t="s">
        <v>12664</v>
      </c>
      <c r="AB657" t="s">
        <v>12665</v>
      </c>
      <c r="AC657" t="s">
        <v>12666</v>
      </c>
      <c r="AD657" t="s">
        <v>12667</v>
      </c>
      <c r="AE657" t="s">
        <v>12668</v>
      </c>
      <c r="AF657" t="s">
        <v>74</v>
      </c>
      <c r="AG657">
        <v>45</v>
      </c>
      <c r="AH657">
        <v>1</v>
      </c>
      <c r="AI657">
        <v>1</v>
      </c>
      <c r="AJ657">
        <v>4</v>
      </c>
      <c r="AK657">
        <v>4</v>
      </c>
      <c r="AL657" t="s">
        <v>3057</v>
      </c>
      <c r="AM657" t="s">
        <v>3058</v>
      </c>
      <c r="AN657" t="s">
        <v>3059</v>
      </c>
      <c r="AO657" t="s">
        <v>74</v>
      </c>
      <c r="AP657" t="s">
        <v>3760</v>
      </c>
      <c r="AQ657" t="s">
        <v>74</v>
      </c>
      <c r="AR657" t="s">
        <v>3761</v>
      </c>
      <c r="AS657" t="s">
        <v>3762</v>
      </c>
      <c r="AT657" t="s">
        <v>12636</v>
      </c>
      <c r="AU657">
        <v>2023</v>
      </c>
      <c r="AV657">
        <v>10</v>
      </c>
      <c r="AW657">
        <v>1</v>
      </c>
      <c r="AX657" t="s">
        <v>74</v>
      </c>
      <c r="AY657" t="s">
        <v>74</v>
      </c>
      <c r="AZ657" t="s">
        <v>74</v>
      </c>
      <c r="BA657" t="s">
        <v>74</v>
      </c>
      <c r="BB657" t="s">
        <v>74</v>
      </c>
      <c r="BC657" t="s">
        <v>74</v>
      </c>
      <c r="BD657">
        <v>720</v>
      </c>
      <c r="BE657" t="s">
        <v>12669</v>
      </c>
      <c r="BF657" t="str">
        <f>HYPERLINK("http://dx.doi.org/10.1038/s41597-023-02591-4","http://dx.doi.org/10.1038/s41597-023-02591-4")</f>
        <v>http://dx.doi.org/10.1038/s41597-023-02591-4</v>
      </c>
      <c r="BG657" t="s">
        <v>74</v>
      </c>
      <c r="BH657" t="s">
        <v>74</v>
      </c>
      <c r="BI657">
        <v>10</v>
      </c>
      <c r="BJ657" t="s">
        <v>1035</v>
      </c>
      <c r="BK657" t="s">
        <v>100</v>
      </c>
      <c r="BL657" t="s">
        <v>1036</v>
      </c>
      <c r="BM657" t="s">
        <v>12670</v>
      </c>
      <c r="BN657">
        <v>37857654</v>
      </c>
      <c r="BO657" t="s">
        <v>200</v>
      </c>
      <c r="BP657" t="s">
        <v>74</v>
      </c>
      <c r="BQ657" t="s">
        <v>74</v>
      </c>
      <c r="BR657" t="s">
        <v>104</v>
      </c>
      <c r="BS657" t="s">
        <v>12671</v>
      </c>
      <c r="BT657" t="str">
        <f>HYPERLINK("https%3A%2F%2Fwww.webofscience.com%2Fwos%2Fwoscc%2Ffull-record%2FWOS:001097405100004","View Full Record in Web of Science")</f>
        <v>View Full Record in Web of Science</v>
      </c>
    </row>
    <row r="658" spans="1:72" x14ac:dyDescent="0.15">
      <c r="A658" t="s">
        <v>72</v>
      </c>
      <c r="B658" t="s">
        <v>12672</v>
      </c>
      <c r="C658" t="s">
        <v>74</v>
      </c>
      <c r="D658" t="s">
        <v>74</v>
      </c>
      <c r="E658" t="s">
        <v>74</v>
      </c>
      <c r="F658" t="s">
        <v>12673</v>
      </c>
      <c r="G658" t="s">
        <v>74</v>
      </c>
      <c r="H658" t="s">
        <v>74</v>
      </c>
      <c r="I658" t="s">
        <v>12674</v>
      </c>
      <c r="J658" t="s">
        <v>936</v>
      </c>
      <c r="K658" t="s">
        <v>74</v>
      </c>
      <c r="L658" t="s">
        <v>74</v>
      </c>
      <c r="M658" t="s">
        <v>78</v>
      </c>
      <c r="N658" t="s">
        <v>79</v>
      </c>
      <c r="O658" t="s">
        <v>74</v>
      </c>
      <c r="P658" t="s">
        <v>74</v>
      </c>
      <c r="Q658" t="s">
        <v>74</v>
      </c>
      <c r="R658" t="s">
        <v>74</v>
      </c>
      <c r="S658" t="s">
        <v>74</v>
      </c>
      <c r="T658" t="s">
        <v>12675</v>
      </c>
      <c r="U658" t="s">
        <v>12676</v>
      </c>
      <c r="V658" t="s">
        <v>12677</v>
      </c>
      <c r="W658" t="s">
        <v>12678</v>
      </c>
      <c r="X658" t="s">
        <v>12679</v>
      </c>
      <c r="Y658" t="s">
        <v>12680</v>
      </c>
      <c r="Z658" t="s">
        <v>12681</v>
      </c>
      <c r="AA658" t="s">
        <v>74</v>
      </c>
      <c r="AB658" t="s">
        <v>74</v>
      </c>
      <c r="AC658" t="s">
        <v>12682</v>
      </c>
      <c r="AD658" t="s">
        <v>12683</v>
      </c>
      <c r="AE658" t="s">
        <v>12684</v>
      </c>
      <c r="AF658" t="s">
        <v>74</v>
      </c>
      <c r="AG658">
        <v>72</v>
      </c>
      <c r="AH658">
        <v>0</v>
      </c>
      <c r="AI658">
        <v>0</v>
      </c>
      <c r="AJ658">
        <v>10</v>
      </c>
      <c r="AK658">
        <v>10</v>
      </c>
      <c r="AL658" t="s">
        <v>947</v>
      </c>
      <c r="AM658" t="s">
        <v>948</v>
      </c>
      <c r="AN658" t="s">
        <v>949</v>
      </c>
      <c r="AO658" t="s">
        <v>950</v>
      </c>
      <c r="AP658" t="s">
        <v>951</v>
      </c>
      <c r="AQ658" t="s">
        <v>74</v>
      </c>
      <c r="AR658" t="s">
        <v>952</v>
      </c>
      <c r="AS658" t="s">
        <v>953</v>
      </c>
      <c r="AT658" t="s">
        <v>5341</v>
      </c>
      <c r="AU658">
        <v>2023</v>
      </c>
      <c r="AV658">
        <v>156</v>
      </c>
      <c r="AW658" t="s">
        <v>74</v>
      </c>
      <c r="AX658" t="s">
        <v>74</v>
      </c>
      <c r="AY658" t="s">
        <v>74</v>
      </c>
      <c r="AZ658" t="s">
        <v>74</v>
      </c>
      <c r="BA658" t="s">
        <v>74</v>
      </c>
      <c r="BB658" t="s">
        <v>74</v>
      </c>
      <c r="BC658" t="s">
        <v>74</v>
      </c>
      <c r="BD658">
        <v>111080</v>
      </c>
      <c r="BE658" t="s">
        <v>12685</v>
      </c>
      <c r="BF658" t="str">
        <f>HYPERLINK("http://dx.doi.org/10.1016/j.ecolind.2023.111080","http://dx.doi.org/10.1016/j.ecolind.2023.111080")</f>
        <v>http://dx.doi.org/10.1016/j.ecolind.2023.111080</v>
      </c>
      <c r="BG658" t="s">
        <v>74</v>
      </c>
      <c r="BH658" t="s">
        <v>11428</v>
      </c>
      <c r="BI658">
        <v>13</v>
      </c>
      <c r="BJ658" t="s">
        <v>956</v>
      </c>
      <c r="BK658" t="s">
        <v>100</v>
      </c>
      <c r="BL658" t="s">
        <v>913</v>
      </c>
      <c r="BM658" t="s">
        <v>12686</v>
      </c>
      <c r="BN658" t="s">
        <v>74</v>
      </c>
      <c r="BO658" t="s">
        <v>131</v>
      </c>
      <c r="BP658" t="s">
        <v>74</v>
      </c>
      <c r="BQ658" t="s">
        <v>74</v>
      </c>
      <c r="BR658" t="s">
        <v>104</v>
      </c>
      <c r="BS658" t="s">
        <v>12687</v>
      </c>
      <c r="BT658" t="str">
        <f>HYPERLINK("https%3A%2F%2Fwww.webofscience.com%2Fwos%2Fwoscc%2Ffull-record%2FWOS:001097755200001","View Full Record in Web of Science")</f>
        <v>View Full Record in Web of Science</v>
      </c>
    </row>
    <row r="659" spans="1:72" x14ac:dyDescent="0.15">
      <c r="A659" t="s">
        <v>72</v>
      </c>
      <c r="B659" t="s">
        <v>12688</v>
      </c>
      <c r="C659" t="s">
        <v>74</v>
      </c>
      <c r="D659" t="s">
        <v>74</v>
      </c>
      <c r="E659" t="s">
        <v>74</v>
      </c>
      <c r="F659" t="s">
        <v>12689</v>
      </c>
      <c r="G659" t="s">
        <v>74</v>
      </c>
      <c r="H659" t="s">
        <v>74</v>
      </c>
      <c r="I659" t="s">
        <v>12690</v>
      </c>
      <c r="J659" t="s">
        <v>2412</v>
      </c>
      <c r="K659" t="s">
        <v>74</v>
      </c>
      <c r="L659" t="s">
        <v>74</v>
      </c>
      <c r="M659" t="s">
        <v>78</v>
      </c>
      <c r="N659" t="s">
        <v>79</v>
      </c>
      <c r="O659" t="s">
        <v>74</v>
      </c>
      <c r="P659" t="s">
        <v>74</v>
      </c>
      <c r="Q659" t="s">
        <v>74</v>
      </c>
      <c r="R659" t="s">
        <v>74</v>
      </c>
      <c r="S659" t="s">
        <v>74</v>
      </c>
      <c r="T659" t="s">
        <v>12691</v>
      </c>
      <c r="U659" t="s">
        <v>12692</v>
      </c>
      <c r="V659" t="s">
        <v>12693</v>
      </c>
      <c r="W659" t="s">
        <v>12694</v>
      </c>
      <c r="X659" t="s">
        <v>12695</v>
      </c>
      <c r="Y659" t="s">
        <v>12696</v>
      </c>
      <c r="Z659" t="s">
        <v>12697</v>
      </c>
      <c r="AA659" t="s">
        <v>12698</v>
      </c>
      <c r="AB659" t="s">
        <v>12699</v>
      </c>
      <c r="AC659" t="s">
        <v>12700</v>
      </c>
      <c r="AD659" t="s">
        <v>511</v>
      </c>
      <c r="AE659" t="s">
        <v>12701</v>
      </c>
      <c r="AF659" t="s">
        <v>74</v>
      </c>
      <c r="AG659">
        <v>115</v>
      </c>
      <c r="AH659">
        <v>0</v>
      </c>
      <c r="AI659">
        <v>0</v>
      </c>
      <c r="AJ659">
        <v>8</v>
      </c>
      <c r="AK659">
        <v>8</v>
      </c>
      <c r="AL659" t="s">
        <v>947</v>
      </c>
      <c r="AM659" t="s">
        <v>948</v>
      </c>
      <c r="AN659" t="s">
        <v>949</v>
      </c>
      <c r="AO659" t="s">
        <v>2424</v>
      </c>
      <c r="AP659" t="s">
        <v>2425</v>
      </c>
      <c r="AQ659" t="s">
        <v>74</v>
      </c>
      <c r="AR659" t="s">
        <v>2426</v>
      </c>
      <c r="AS659" t="s">
        <v>2427</v>
      </c>
      <c r="AT659" t="s">
        <v>4525</v>
      </c>
      <c r="AU659">
        <v>2023</v>
      </c>
      <c r="AV659">
        <v>230</v>
      </c>
      <c r="AW659" t="s">
        <v>74</v>
      </c>
      <c r="AX659" t="s">
        <v>74</v>
      </c>
      <c r="AY659" t="s">
        <v>74</v>
      </c>
      <c r="AZ659" t="s">
        <v>74</v>
      </c>
      <c r="BA659" t="s">
        <v>74</v>
      </c>
      <c r="BB659" t="s">
        <v>74</v>
      </c>
      <c r="BC659" t="s">
        <v>74</v>
      </c>
      <c r="BD659">
        <v>104279</v>
      </c>
      <c r="BE659" t="s">
        <v>12702</v>
      </c>
      <c r="BF659" t="str">
        <f>HYPERLINK("http://dx.doi.org/10.1016/j.gloplacha.2023.104279","http://dx.doi.org/10.1016/j.gloplacha.2023.104279")</f>
        <v>http://dx.doi.org/10.1016/j.gloplacha.2023.104279</v>
      </c>
      <c r="BG659" t="s">
        <v>74</v>
      </c>
      <c r="BH659" t="s">
        <v>11428</v>
      </c>
      <c r="BI659">
        <v>14</v>
      </c>
      <c r="BJ659" t="s">
        <v>984</v>
      </c>
      <c r="BK659" t="s">
        <v>100</v>
      </c>
      <c r="BL659" t="s">
        <v>985</v>
      </c>
      <c r="BM659" t="s">
        <v>12703</v>
      </c>
      <c r="BN659" t="s">
        <v>74</v>
      </c>
      <c r="BO659" t="s">
        <v>74</v>
      </c>
      <c r="BP659" t="s">
        <v>74</v>
      </c>
      <c r="BQ659" t="s">
        <v>74</v>
      </c>
      <c r="BR659" t="s">
        <v>104</v>
      </c>
      <c r="BS659" t="s">
        <v>12704</v>
      </c>
      <c r="BT659" t="str">
        <f>HYPERLINK("https%3A%2F%2Fwww.webofscience.com%2Fwos%2Fwoscc%2Ffull-record%2FWOS:001098956100001","View Full Record in Web of Science")</f>
        <v>View Full Record in Web of Science</v>
      </c>
    </row>
    <row r="660" spans="1:72" x14ac:dyDescent="0.15">
      <c r="A660" t="s">
        <v>72</v>
      </c>
      <c r="B660" t="s">
        <v>12705</v>
      </c>
      <c r="C660" t="s">
        <v>74</v>
      </c>
      <c r="D660" t="s">
        <v>74</v>
      </c>
      <c r="E660" t="s">
        <v>74</v>
      </c>
      <c r="F660" t="s">
        <v>12706</v>
      </c>
      <c r="G660" t="s">
        <v>74</v>
      </c>
      <c r="H660" t="s">
        <v>74</v>
      </c>
      <c r="I660" t="s">
        <v>12707</v>
      </c>
      <c r="J660" t="s">
        <v>9713</v>
      </c>
      <c r="K660" t="s">
        <v>74</v>
      </c>
      <c r="L660" t="s">
        <v>74</v>
      </c>
      <c r="M660" t="s">
        <v>78</v>
      </c>
      <c r="N660" t="s">
        <v>79</v>
      </c>
      <c r="O660" t="s">
        <v>74</v>
      </c>
      <c r="P660" t="s">
        <v>74</v>
      </c>
      <c r="Q660" t="s">
        <v>74</v>
      </c>
      <c r="R660" t="s">
        <v>74</v>
      </c>
      <c r="S660" t="s">
        <v>74</v>
      </c>
      <c r="T660" t="s">
        <v>12708</v>
      </c>
      <c r="U660" t="s">
        <v>12709</v>
      </c>
      <c r="V660" t="s">
        <v>12710</v>
      </c>
      <c r="W660" t="s">
        <v>12711</v>
      </c>
      <c r="X660" t="s">
        <v>12712</v>
      </c>
      <c r="Y660" t="s">
        <v>12713</v>
      </c>
      <c r="Z660" t="s">
        <v>12714</v>
      </c>
      <c r="AA660" t="s">
        <v>12715</v>
      </c>
      <c r="AB660" t="s">
        <v>12716</v>
      </c>
      <c r="AC660" t="s">
        <v>12717</v>
      </c>
      <c r="AD660" t="s">
        <v>8449</v>
      </c>
      <c r="AE660" t="s">
        <v>12718</v>
      </c>
      <c r="AF660" t="s">
        <v>74</v>
      </c>
      <c r="AG660">
        <v>58</v>
      </c>
      <c r="AH660">
        <v>0</v>
      </c>
      <c r="AI660">
        <v>0</v>
      </c>
      <c r="AJ660">
        <v>12</v>
      </c>
      <c r="AK660">
        <v>12</v>
      </c>
      <c r="AL660" t="s">
        <v>947</v>
      </c>
      <c r="AM660" t="s">
        <v>948</v>
      </c>
      <c r="AN660" t="s">
        <v>949</v>
      </c>
      <c r="AO660" t="s">
        <v>9726</v>
      </c>
      <c r="AP660" t="s">
        <v>9727</v>
      </c>
      <c r="AQ660" t="s">
        <v>74</v>
      </c>
      <c r="AR660" t="s">
        <v>9713</v>
      </c>
      <c r="AS660" t="s">
        <v>9728</v>
      </c>
      <c r="AT660" t="s">
        <v>954</v>
      </c>
      <c r="AU660">
        <v>2024</v>
      </c>
      <c r="AV660">
        <v>234</v>
      </c>
      <c r="AW660" t="s">
        <v>74</v>
      </c>
      <c r="AX660" t="s">
        <v>74</v>
      </c>
      <c r="AY660" t="s">
        <v>74</v>
      </c>
      <c r="AZ660" t="s">
        <v>74</v>
      </c>
      <c r="BA660" t="s">
        <v>74</v>
      </c>
      <c r="BB660" t="s">
        <v>74</v>
      </c>
      <c r="BC660" t="s">
        <v>74</v>
      </c>
      <c r="BD660">
        <v>107592</v>
      </c>
      <c r="BE660" t="s">
        <v>12719</v>
      </c>
      <c r="BF660" t="str">
        <f>HYPERLINK("http://dx.doi.org/10.1016/j.catena.2023.107592","http://dx.doi.org/10.1016/j.catena.2023.107592")</f>
        <v>http://dx.doi.org/10.1016/j.catena.2023.107592</v>
      </c>
      <c r="BG660" t="s">
        <v>74</v>
      </c>
      <c r="BH660" t="s">
        <v>11428</v>
      </c>
      <c r="BI660">
        <v>10</v>
      </c>
      <c r="BJ660" t="s">
        <v>9730</v>
      </c>
      <c r="BK660" t="s">
        <v>100</v>
      </c>
      <c r="BL660" t="s">
        <v>9731</v>
      </c>
      <c r="BM660" t="s">
        <v>12720</v>
      </c>
      <c r="BN660" t="s">
        <v>74</v>
      </c>
      <c r="BO660" t="s">
        <v>1794</v>
      </c>
      <c r="BP660" t="s">
        <v>74</v>
      </c>
      <c r="BQ660" t="s">
        <v>74</v>
      </c>
      <c r="BR660" t="s">
        <v>104</v>
      </c>
      <c r="BS660" t="s">
        <v>12721</v>
      </c>
      <c r="BT660" t="str">
        <f>HYPERLINK("https%3A%2F%2Fwww.webofscience.com%2Fwos%2Fwoscc%2Ffull-record%2FWOS:001093197000001","View Full Record in Web of Science")</f>
        <v>View Full Record in Web of Science</v>
      </c>
    </row>
    <row r="661" spans="1:72" x14ac:dyDescent="0.15">
      <c r="A661" t="s">
        <v>72</v>
      </c>
      <c r="B661" t="s">
        <v>12722</v>
      </c>
      <c r="C661" t="s">
        <v>74</v>
      </c>
      <c r="D661" t="s">
        <v>74</v>
      </c>
      <c r="E661" t="s">
        <v>74</v>
      </c>
      <c r="F661" t="s">
        <v>12723</v>
      </c>
      <c r="G661" t="s">
        <v>74</v>
      </c>
      <c r="H661" t="s">
        <v>74</v>
      </c>
      <c r="I661" t="s">
        <v>12724</v>
      </c>
      <c r="J661" t="s">
        <v>12725</v>
      </c>
      <c r="K661" t="s">
        <v>74</v>
      </c>
      <c r="L661" t="s">
        <v>74</v>
      </c>
      <c r="M661" t="s">
        <v>78</v>
      </c>
      <c r="N661" t="s">
        <v>920</v>
      </c>
      <c r="O661" t="s">
        <v>74</v>
      </c>
      <c r="P661" t="s">
        <v>74</v>
      </c>
      <c r="Q661" t="s">
        <v>74</v>
      </c>
      <c r="R661" t="s">
        <v>74</v>
      </c>
      <c r="S661" t="s">
        <v>74</v>
      </c>
      <c r="T661" t="s">
        <v>12726</v>
      </c>
      <c r="U661" t="s">
        <v>74</v>
      </c>
      <c r="V661" t="s">
        <v>12727</v>
      </c>
      <c r="W661" t="s">
        <v>74</v>
      </c>
      <c r="X661" t="s">
        <v>74</v>
      </c>
      <c r="Y661" t="s">
        <v>74</v>
      </c>
      <c r="Z661" t="s">
        <v>74</v>
      </c>
      <c r="AA661" t="s">
        <v>74</v>
      </c>
      <c r="AB661" t="s">
        <v>74</v>
      </c>
      <c r="AC661" t="s">
        <v>74</v>
      </c>
      <c r="AD661" t="s">
        <v>74</v>
      </c>
      <c r="AE661" t="s">
        <v>74</v>
      </c>
      <c r="AF661" t="s">
        <v>74</v>
      </c>
      <c r="AG661">
        <v>0</v>
      </c>
      <c r="AH661">
        <v>0</v>
      </c>
      <c r="AI661">
        <v>0</v>
      </c>
      <c r="AJ661">
        <v>1</v>
      </c>
      <c r="AK661">
        <v>1</v>
      </c>
      <c r="AL661" t="s">
        <v>3057</v>
      </c>
      <c r="AM661" t="s">
        <v>3058</v>
      </c>
      <c r="AN661" t="s">
        <v>3059</v>
      </c>
      <c r="AO661" t="s">
        <v>12728</v>
      </c>
      <c r="AP661" t="s">
        <v>12729</v>
      </c>
      <c r="AQ661" t="s">
        <v>74</v>
      </c>
      <c r="AR661" t="s">
        <v>12725</v>
      </c>
      <c r="AS661" t="s">
        <v>12730</v>
      </c>
      <c r="AT661" t="s">
        <v>12636</v>
      </c>
      <c r="AU661">
        <v>2023</v>
      </c>
      <c r="AV661">
        <v>622</v>
      </c>
      <c r="AW661">
        <v>7983</v>
      </c>
      <c r="AX661" t="s">
        <v>74</v>
      </c>
      <c r="AY661" t="s">
        <v>74</v>
      </c>
      <c r="AZ661" t="s">
        <v>74</v>
      </c>
      <c r="BA661" t="s">
        <v>74</v>
      </c>
      <c r="BB661">
        <v>662</v>
      </c>
      <c r="BC661">
        <v>662</v>
      </c>
      <c r="BD661" t="s">
        <v>74</v>
      </c>
      <c r="BE661" t="s">
        <v>12731</v>
      </c>
      <c r="BF661" t="str">
        <f>HYPERLINK("http://dx.doi.org/10.1038/d41586-023-03237-6","http://dx.doi.org/10.1038/d41586-023-03237-6")</f>
        <v>http://dx.doi.org/10.1038/d41586-023-03237-6</v>
      </c>
      <c r="BG661" t="s">
        <v>74</v>
      </c>
      <c r="BH661" t="s">
        <v>74</v>
      </c>
      <c r="BI661">
        <v>1</v>
      </c>
      <c r="BJ661" t="s">
        <v>1035</v>
      </c>
      <c r="BK661" t="s">
        <v>100</v>
      </c>
      <c r="BL661" t="s">
        <v>1036</v>
      </c>
      <c r="BM661" t="s">
        <v>12732</v>
      </c>
      <c r="BN661">
        <v>37845530</v>
      </c>
      <c r="BO661" t="s">
        <v>74</v>
      </c>
      <c r="BP661" t="s">
        <v>74</v>
      </c>
      <c r="BQ661" t="s">
        <v>74</v>
      </c>
      <c r="BR661" t="s">
        <v>104</v>
      </c>
      <c r="BS661" t="s">
        <v>12733</v>
      </c>
      <c r="BT661" t="str">
        <f>HYPERLINK("https%3A%2F%2Fwww.webofscience.com%2Fwos%2Fwoscc%2Ffull-record%2FWOS:001086924500004","View Full Record in Web of Science")</f>
        <v>View Full Record in Web of Science</v>
      </c>
    </row>
    <row r="662" spans="1:72" x14ac:dyDescent="0.15">
      <c r="A662" t="s">
        <v>72</v>
      </c>
      <c r="B662" t="s">
        <v>12734</v>
      </c>
      <c r="C662" t="s">
        <v>74</v>
      </c>
      <c r="D662" t="s">
        <v>74</v>
      </c>
      <c r="E662" t="s">
        <v>74</v>
      </c>
      <c r="F662" t="s">
        <v>12735</v>
      </c>
      <c r="G662" t="s">
        <v>74</v>
      </c>
      <c r="H662" t="s">
        <v>74</v>
      </c>
      <c r="I662" t="s">
        <v>12736</v>
      </c>
      <c r="J662" t="s">
        <v>12737</v>
      </c>
      <c r="K662" t="s">
        <v>74</v>
      </c>
      <c r="L662" t="s">
        <v>74</v>
      </c>
      <c r="M662" t="s">
        <v>78</v>
      </c>
      <c r="N662" t="s">
        <v>79</v>
      </c>
      <c r="O662" t="s">
        <v>74</v>
      </c>
      <c r="P662" t="s">
        <v>74</v>
      </c>
      <c r="Q662" t="s">
        <v>74</v>
      </c>
      <c r="R662" t="s">
        <v>74</v>
      </c>
      <c r="S662" t="s">
        <v>74</v>
      </c>
      <c r="T662" t="s">
        <v>12738</v>
      </c>
      <c r="U662" t="s">
        <v>12739</v>
      </c>
      <c r="V662" t="s">
        <v>12740</v>
      </c>
      <c r="W662" t="s">
        <v>12741</v>
      </c>
      <c r="X662" t="s">
        <v>12742</v>
      </c>
      <c r="Y662" t="s">
        <v>12743</v>
      </c>
      <c r="Z662" t="s">
        <v>12744</v>
      </c>
      <c r="AA662" t="s">
        <v>12745</v>
      </c>
      <c r="AB662" t="s">
        <v>74</v>
      </c>
      <c r="AC662" t="s">
        <v>12746</v>
      </c>
      <c r="AD662" t="s">
        <v>12747</v>
      </c>
      <c r="AE662" t="s">
        <v>12748</v>
      </c>
      <c r="AF662" t="s">
        <v>74</v>
      </c>
      <c r="AG662">
        <v>50</v>
      </c>
      <c r="AH662">
        <v>1</v>
      </c>
      <c r="AI662">
        <v>1</v>
      </c>
      <c r="AJ662">
        <v>11</v>
      </c>
      <c r="AK662">
        <v>11</v>
      </c>
      <c r="AL662" t="s">
        <v>12749</v>
      </c>
      <c r="AM662" t="s">
        <v>12750</v>
      </c>
      <c r="AN662" t="s">
        <v>12751</v>
      </c>
      <c r="AO662" t="s">
        <v>12752</v>
      </c>
      <c r="AP662" t="s">
        <v>74</v>
      </c>
      <c r="AQ662" t="s">
        <v>74</v>
      </c>
      <c r="AR662" t="s">
        <v>12737</v>
      </c>
      <c r="AS662" t="s">
        <v>12753</v>
      </c>
      <c r="AT662" t="s">
        <v>12636</v>
      </c>
      <c r="AU662">
        <v>2023</v>
      </c>
      <c r="AV662">
        <v>8</v>
      </c>
      <c r="AW662" t="s">
        <v>74</v>
      </c>
      <c r="AX662" t="s">
        <v>74</v>
      </c>
      <c r="AY662" t="s">
        <v>74</v>
      </c>
      <c r="AZ662" t="s">
        <v>74</v>
      </c>
      <c r="BA662" t="s">
        <v>74</v>
      </c>
      <c r="BB662">
        <v>1</v>
      </c>
      <c r="BC662">
        <v>7</v>
      </c>
      <c r="BD662" t="s">
        <v>74</v>
      </c>
      <c r="BE662" t="s">
        <v>12754</v>
      </c>
      <c r="BF662" t="str">
        <f>HYPERLINK("http://dx.doi.org/10.1139/facets-2023-0061","http://dx.doi.org/10.1139/facets-2023-0061")</f>
        <v>http://dx.doi.org/10.1139/facets-2023-0061</v>
      </c>
      <c r="BG662" t="s">
        <v>74</v>
      </c>
      <c r="BH662" t="s">
        <v>74</v>
      </c>
      <c r="BI662">
        <v>7</v>
      </c>
      <c r="BJ662" t="s">
        <v>1035</v>
      </c>
      <c r="BK662" t="s">
        <v>100</v>
      </c>
      <c r="BL662" t="s">
        <v>1036</v>
      </c>
      <c r="BM662" t="s">
        <v>12755</v>
      </c>
      <c r="BN662" t="s">
        <v>74</v>
      </c>
      <c r="BO662" t="s">
        <v>131</v>
      </c>
      <c r="BP662" t="s">
        <v>74</v>
      </c>
      <c r="BQ662" t="s">
        <v>74</v>
      </c>
      <c r="BR662" t="s">
        <v>104</v>
      </c>
      <c r="BS662" t="s">
        <v>12756</v>
      </c>
      <c r="BT662" t="str">
        <f>HYPERLINK("https%3A%2F%2Fwww.webofscience.com%2Fwos%2Fwoscc%2Ffull-record%2FWOS:001088232500001","View Full Record in Web of Science")</f>
        <v>View Full Record in Web of Science</v>
      </c>
    </row>
    <row r="663" spans="1:72" x14ac:dyDescent="0.15">
      <c r="A663" t="s">
        <v>72</v>
      </c>
      <c r="B663" t="s">
        <v>12757</v>
      </c>
      <c r="C663" t="s">
        <v>74</v>
      </c>
      <c r="D663" t="s">
        <v>74</v>
      </c>
      <c r="E663" t="s">
        <v>74</v>
      </c>
      <c r="F663" t="s">
        <v>12758</v>
      </c>
      <c r="G663" t="s">
        <v>74</v>
      </c>
      <c r="H663" t="s">
        <v>74</v>
      </c>
      <c r="I663" t="s">
        <v>12759</v>
      </c>
      <c r="J663" t="s">
        <v>1770</v>
      </c>
      <c r="K663" t="s">
        <v>74</v>
      </c>
      <c r="L663" t="s">
        <v>74</v>
      </c>
      <c r="M663" t="s">
        <v>78</v>
      </c>
      <c r="N663" t="s">
        <v>1547</v>
      </c>
      <c r="O663" t="s">
        <v>74</v>
      </c>
      <c r="P663" t="s">
        <v>74</v>
      </c>
      <c r="Q663" t="s">
        <v>74</v>
      </c>
      <c r="R663" t="s">
        <v>74</v>
      </c>
      <c r="S663" t="s">
        <v>74</v>
      </c>
      <c r="T663" t="s">
        <v>12760</v>
      </c>
      <c r="U663" t="s">
        <v>12761</v>
      </c>
      <c r="V663" t="s">
        <v>12762</v>
      </c>
      <c r="W663" t="s">
        <v>12763</v>
      </c>
      <c r="X663" t="s">
        <v>12764</v>
      </c>
      <c r="Y663" t="s">
        <v>12765</v>
      </c>
      <c r="Z663" t="s">
        <v>12766</v>
      </c>
      <c r="AA663" t="s">
        <v>12767</v>
      </c>
      <c r="AB663" t="s">
        <v>12768</v>
      </c>
      <c r="AC663" t="s">
        <v>12769</v>
      </c>
      <c r="AD663" t="s">
        <v>12770</v>
      </c>
      <c r="AE663" t="s">
        <v>12771</v>
      </c>
      <c r="AF663" t="s">
        <v>74</v>
      </c>
      <c r="AG663">
        <v>101</v>
      </c>
      <c r="AH663">
        <v>0</v>
      </c>
      <c r="AI663">
        <v>0</v>
      </c>
      <c r="AJ663">
        <v>1</v>
      </c>
      <c r="AK663">
        <v>1</v>
      </c>
      <c r="AL663" t="s">
        <v>1782</v>
      </c>
      <c r="AM663" t="s">
        <v>1076</v>
      </c>
      <c r="AN663" t="s">
        <v>11954</v>
      </c>
      <c r="AO663" t="s">
        <v>1785</v>
      </c>
      <c r="AP663" t="s">
        <v>1786</v>
      </c>
      <c r="AQ663" t="s">
        <v>74</v>
      </c>
      <c r="AR663" t="s">
        <v>1787</v>
      </c>
      <c r="AS663" t="s">
        <v>1788</v>
      </c>
      <c r="AT663" t="s">
        <v>12772</v>
      </c>
      <c r="AU663">
        <v>2023</v>
      </c>
      <c r="AV663" t="s">
        <v>74</v>
      </c>
      <c r="AW663" t="s">
        <v>74</v>
      </c>
      <c r="AX663" t="s">
        <v>74</v>
      </c>
      <c r="AY663" t="s">
        <v>74</v>
      </c>
      <c r="AZ663" t="s">
        <v>74</v>
      </c>
      <c r="BA663" t="s">
        <v>74</v>
      </c>
      <c r="BB663" t="s">
        <v>74</v>
      </c>
      <c r="BC663" t="s">
        <v>74</v>
      </c>
      <c r="BD663" t="s">
        <v>74</v>
      </c>
      <c r="BE663" t="s">
        <v>12773</v>
      </c>
      <c r="BF663" t="str">
        <f>HYPERLINK("http://dx.doi.org/10.1017/S0954102023000275","http://dx.doi.org/10.1017/S0954102023000275")</f>
        <v>http://dx.doi.org/10.1017/S0954102023000275</v>
      </c>
      <c r="BG663" t="s">
        <v>74</v>
      </c>
      <c r="BH663" t="s">
        <v>11428</v>
      </c>
      <c r="BI663">
        <v>20</v>
      </c>
      <c r="BJ663" t="s">
        <v>1791</v>
      </c>
      <c r="BK663" t="s">
        <v>100</v>
      </c>
      <c r="BL663" t="s">
        <v>1792</v>
      </c>
      <c r="BM663" t="s">
        <v>12774</v>
      </c>
      <c r="BN663" t="s">
        <v>74</v>
      </c>
      <c r="BO663" t="s">
        <v>103</v>
      </c>
      <c r="BP663" t="s">
        <v>74</v>
      </c>
      <c r="BQ663" t="s">
        <v>74</v>
      </c>
      <c r="BR663" t="s">
        <v>104</v>
      </c>
      <c r="BS663" t="s">
        <v>12775</v>
      </c>
      <c r="BT663" t="str">
        <f>HYPERLINK("https%3A%2F%2Fwww.webofscience.com%2Fwos%2Fwoscc%2Ffull-record%2FWOS:001085787000001","View Full Record in Web of Science")</f>
        <v>View Full Record in Web of Science</v>
      </c>
    </row>
    <row r="664" spans="1:72" x14ac:dyDescent="0.15">
      <c r="A664" t="s">
        <v>72</v>
      </c>
      <c r="B664" t="s">
        <v>12776</v>
      </c>
      <c r="C664" t="s">
        <v>74</v>
      </c>
      <c r="D664" t="s">
        <v>74</v>
      </c>
      <c r="E664" t="s">
        <v>74</v>
      </c>
      <c r="F664" t="s">
        <v>12777</v>
      </c>
      <c r="G664" t="s">
        <v>74</v>
      </c>
      <c r="H664" t="s">
        <v>74</v>
      </c>
      <c r="I664" t="s">
        <v>12778</v>
      </c>
      <c r="J664" t="s">
        <v>12779</v>
      </c>
      <c r="K664" t="s">
        <v>74</v>
      </c>
      <c r="L664" t="s">
        <v>74</v>
      </c>
      <c r="M664" t="s">
        <v>78</v>
      </c>
      <c r="N664" t="s">
        <v>79</v>
      </c>
      <c r="O664" t="s">
        <v>74</v>
      </c>
      <c r="P664" t="s">
        <v>74</v>
      </c>
      <c r="Q664" t="s">
        <v>74</v>
      </c>
      <c r="R664" t="s">
        <v>74</v>
      </c>
      <c r="S664" t="s">
        <v>74</v>
      </c>
      <c r="T664" t="s">
        <v>74</v>
      </c>
      <c r="U664" t="s">
        <v>12780</v>
      </c>
      <c r="V664" t="s">
        <v>12781</v>
      </c>
      <c r="W664" t="s">
        <v>12782</v>
      </c>
      <c r="X664" t="s">
        <v>12783</v>
      </c>
      <c r="Y664" t="s">
        <v>12784</v>
      </c>
      <c r="Z664" t="s">
        <v>12785</v>
      </c>
      <c r="AA664" t="s">
        <v>12786</v>
      </c>
      <c r="AB664" t="s">
        <v>12787</v>
      </c>
      <c r="AC664" t="s">
        <v>12788</v>
      </c>
      <c r="AD664" t="s">
        <v>12789</v>
      </c>
      <c r="AE664" t="s">
        <v>12790</v>
      </c>
      <c r="AF664" t="s">
        <v>74</v>
      </c>
      <c r="AG664">
        <v>91</v>
      </c>
      <c r="AH664">
        <v>1</v>
      </c>
      <c r="AI664">
        <v>1</v>
      </c>
      <c r="AJ664">
        <v>2</v>
      </c>
      <c r="AK664">
        <v>2</v>
      </c>
      <c r="AL664" t="s">
        <v>1838</v>
      </c>
      <c r="AM664" t="s">
        <v>1839</v>
      </c>
      <c r="AN664" t="s">
        <v>1840</v>
      </c>
      <c r="AO664" t="s">
        <v>12791</v>
      </c>
      <c r="AP664" t="s">
        <v>12792</v>
      </c>
      <c r="AQ664" t="s">
        <v>74</v>
      </c>
      <c r="AR664" t="s">
        <v>12793</v>
      </c>
      <c r="AS664" t="s">
        <v>12794</v>
      </c>
      <c r="AT664" t="s">
        <v>12795</v>
      </c>
      <c r="AU664">
        <v>2023</v>
      </c>
      <c r="AV664">
        <v>41</v>
      </c>
      <c r="AW664">
        <v>2</v>
      </c>
      <c r="AX664" t="s">
        <v>74</v>
      </c>
      <c r="AY664" t="s">
        <v>74</v>
      </c>
      <c r="AZ664" t="s">
        <v>74</v>
      </c>
      <c r="BA664" t="s">
        <v>74</v>
      </c>
      <c r="BB664">
        <v>409</v>
      </c>
      <c r="BC664">
        <v>428</v>
      </c>
      <c r="BD664" t="s">
        <v>74</v>
      </c>
      <c r="BE664" t="s">
        <v>12796</v>
      </c>
      <c r="BF664" t="str">
        <f>HYPERLINK("http://dx.doi.org/10.5194/angeo-41-409-2023","http://dx.doi.org/10.5194/angeo-41-409-2023")</f>
        <v>http://dx.doi.org/10.5194/angeo-41-409-2023</v>
      </c>
      <c r="BG664" t="s">
        <v>74</v>
      </c>
      <c r="BH664" t="s">
        <v>74</v>
      </c>
      <c r="BI664">
        <v>20</v>
      </c>
      <c r="BJ664" t="s">
        <v>12797</v>
      </c>
      <c r="BK664" t="s">
        <v>100</v>
      </c>
      <c r="BL664" t="s">
        <v>12798</v>
      </c>
      <c r="BM664" t="s">
        <v>12799</v>
      </c>
      <c r="BN664" t="s">
        <v>74</v>
      </c>
      <c r="BO664" t="s">
        <v>131</v>
      </c>
      <c r="BP664" t="s">
        <v>74</v>
      </c>
      <c r="BQ664" t="s">
        <v>74</v>
      </c>
      <c r="BR664" t="s">
        <v>104</v>
      </c>
      <c r="BS664" t="s">
        <v>12800</v>
      </c>
      <c r="BT664" t="str">
        <f>HYPERLINK("https%3A%2F%2Fwww.webofscience.com%2Fwos%2Fwoscc%2Ffull-record%2FWOS:001161254500001","View Full Record in Web of Science")</f>
        <v>View Full Record in Web of Science</v>
      </c>
    </row>
    <row r="665" spans="1:72" x14ac:dyDescent="0.15">
      <c r="A665" t="s">
        <v>72</v>
      </c>
      <c r="B665" t="s">
        <v>12801</v>
      </c>
      <c r="C665" t="s">
        <v>74</v>
      </c>
      <c r="D665" t="s">
        <v>74</v>
      </c>
      <c r="E665" t="s">
        <v>74</v>
      </c>
      <c r="F665" t="s">
        <v>12802</v>
      </c>
      <c r="G665" t="s">
        <v>74</v>
      </c>
      <c r="H665" t="s">
        <v>74</v>
      </c>
      <c r="I665" t="s">
        <v>12803</v>
      </c>
      <c r="J665" t="s">
        <v>4847</v>
      </c>
      <c r="K665" t="s">
        <v>74</v>
      </c>
      <c r="L665" t="s">
        <v>74</v>
      </c>
      <c r="M665" t="s">
        <v>78</v>
      </c>
      <c r="N665" t="s">
        <v>79</v>
      </c>
      <c r="O665" t="s">
        <v>74</v>
      </c>
      <c r="P665" t="s">
        <v>74</v>
      </c>
      <c r="Q665" t="s">
        <v>74</v>
      </c>
      <c r="R665" t="s">
        <v>74</v>
      </c>
      <c r="S665" t="s">
        <v>74</v>
      </c>
      <c r="T665" t="s">
        <v>74</v>
      </c>
      <c r="U665" t="s">
        <v>12804</v>
      </c>
      <c r="V665" t="s">
        <v>12805</v>
      </c>
      <c r="W665" t="s">
        <v>12806</v>
      </c>
      <c r="X665" t="s">
        <v>12807</v>
      </c>
      <c r="Y665" t="s">
        <v>12808</v>
      </c>
      <c r="Z665" t="s">
        <v>12809</v>
      </c>
      <c r="AA665" t="s">
        <v>12810</v>
      </c>
      <c r="AB665" t="s">
        <v>12811</v>
      </c>
      <c r="AC665" t="s">
        <v>12812</v>
      </c>
      <c r="AD665" t="s">
        <v>12813</v>
      </c>
      <c r="AE665" t="s">
        <v>12814</v>
      </c>
      <c r="AF665" t="s">
        <v>74</v>
      </c>
      <c r="AG665">
        <v>41</v>
      </c>
      <c r="AH665">
        <v>0</v>
      </c>
      <c r="AI665">
        <v>0</v>
      </c>
      <c r="AJ665">
        <v>1</v>
      </c>
      <c r="AK665">
        <v>1</v>
      </c>
      <c r="AL665" t="s">
        <v>1838</v>
      </c>
      <c r="AM665" t="s">
        <v>1839</v>
      </c>
      <c r="AN665" t="s">
        <v>1840</v>
      </c>
      <c r="AO665" t="s">
        <v>4859</v>
      </c>
      <c r="AP665" t="s">
        <v>4860</v>
      </c>
      <c r="AQ665" t="s">
        <v>74</v>
      </c>
      <c r="AR665" t="s">
        <v>4861</v>
      </c>
      <c r="AS665" t="s">
        <v>4862</v>
      </c>
      <c r="AT665" t="s">
        <v>12795</v>
      </c>
      <c r="AU665">
        <v>2023</v>
      </c>
      <c r="AV665">
        <v>19</v>
      </c>
      <c r="AW665">
        <v>5</v>
      </c>
      <c r="AX665" t="s">
        <v>74</v>
      </c>
      <c r="AY665" t="s">
        <v>74</v>
      </c>
      <c r="AZ665" t="s">
        <v>74</v>
      </c>
      <c r="BA665" t="s">
        <v>74</v>
      </c>
      <c r="BB665">
        <v>1465</v>
      </c>
      <c r="BC665">
        <v>1482</v>
      </c>
      <c r="BD665" t="s">
        <v>74</v>
      </c>
      <c r="BE665" t="s">
        <v>12815</v>
      </c>
      <c r="BF665" t="str">
        <f>HYPERLINK("http://dx.doi.org/10.5194/os-19-1465-2023","http://dx.doi.org/10.5194/os-19-1465-2023")</f>
        <v>http://dx.doi.org/10.5194/os-19-1465-2023</v>
      </c>
      <c r="BG665" t="s">
        <v>74</v>
      </c>
      <c r="BH665" t="s">
        <v>74</v>
      </c>
      <c r="BI665">
        <v>18</v>
      </c>
      <c r="BJ665" t="s">
        <v>1417</v>
      </c>
      <c r="BK665" t="s">
        <v>100</v>
      </c>
      <c r="BL665" t="s">
        <v>1417</v>
      </c>
      <c r="BM665" t="s">
        <v>12816</v>
      </c>
      <c r="BN665" t="s">
        <v>74</v>
      </c>
      <c r="BO665" t="s">
        <v>183</v>
      </c>
      <c r="BP665" t="s">
        <v>74</v>
      </c>
      <c r="BQ665" t="s">
        <v>74</v>
      </c>
      <c r="BR665" t="s">
        <v>104</v>
      </c>
      <c r="BS665" t="s">
        <v>12817</v>
      </c>
      <c r="BT665" t="str">
        <f>HYPERLINK("https%3A%2F%2Fwww.webofscience.com%2Fwos%2Fwoscc%2Ffull-record%2FWOS:001161830100001","View Full Record in Web of Science")</f>
        <v>View Full Record in Web of Science</v>
      </c>
    </row>
    <row r="666" spans="1:72" x14ac:dyDescent="0.15">
      <c r="A666" t="s">
        <v>72</v>
      </c>
      <c r="B666" t="s">
        <v>12818</v>
      </c>
      <c r="C666" t="s">
        <v>74</v>
      </c>
      <c r="D666" t="s">
        <v>74</v>
      </c>
      <c r="E666" t="s">
        <v>74</v>
      </c>
      <c r="F666" t="s">
        <v>12819</v>
      </c>
      <c r="G666" t="s">
        <v>74</v>
      </c>
      <c r="H666" t="s">
        <v>74</v>
      </c>
      <c r="I666" t="s">
        <v>12820</v>
      </c>
      <c r="J666" t="s">
        <v>2542</v>
      </c>
      <c r="K666" t="s">
        <v>74</v>
      </c>
      <c r="L666" t="s">
        <v>74</v>
      </c>
      <c r="M666" t="s">
        <v>78</v>
      </c>
      <c r="N666" t="s">
        <v>79</v>
      </c>
      <c r="O666" t="s">
        <v>74</v>
      </c>
      <c r="P666" t="s">
        <v>74</v>
      </c>
      <c r="Q666" t="s">
        <v>74</v>
      </c>
      <c r="R666" t="s">
        <v>74</v>
      </c>
      <c r="S666" t="s">
        <v>74</v>
      </c>
      <c r="T666" t="s">
        <v>12821</v>
      </c>
      <c r="U666" t="s">
        <v>12822</v>
      </c>
      <c r="V666" t="s">
        <v>12823</v>
      </c>
      <c r="W666" t="s">
        <v>12824</v>
      </c>
      <c r="X666" t="s">
        <v>12825</v>
      </c>
      <c r="Y666" t="s">
        <v>12826</v>
      </c>
      <c r="Z666" t="s">
        <v>12827</v>
      </c>
      <c r="AA666" t="s">
        <v>74</v>
      </c>
      <c r="AB666" t="s">
        <v>12828</v>
      </c>
      <c r="AC666" t="s">
        <v>12829</v>
      </c>
      <c r="AD666" t="s">
        <v>12829</v>
      </c>
      <c r="AE666" t="s">
        <v>12830</v>
      </c>
      <c r="AF666" t="s">
        <v>74</v>
      </c>
      <c r="AG666">
        <v>92</v>
      </c>
      <c r="AH666">
        <v>0</v>
      </c>
      <c r="AI666">
        <v>0</v>
      </c>
      <c r="AJ666">
        <v>8</v>
      </c>
      <c r="AK666">
        <v>8</v>
      </c>
      <c r="AL666" t="s">
        <v>2554</v>
      </c>
      <c r="AM666" t="s">
        <v>2294</v>
      </c>
      <c r="AN666" t="s">
        <v>2555</v>
      </c>
      <c r="AO666" t="s">
        <v>74</v>
      </c>
      <c r="AP666" t="s">
        <v>2556</v>
      </c>
      <c r="AQ666" t="s">
        <v>74</v>
      </c>
      <c r="AR666" t="s">
        <v>2557</v>
      </c>
      <c r="AS666" t="s">
        <v>2558</v>
      </c>
      <c r="AT666" t="s">
        <v>12795</v>
      </c>
      <c r="AU666">
        <v>2023</v>
      </c>
      <c r="AV666">
        <v>13</v>
      </c>
      <c r="AW666">
        <v>10</v>
      </c>
      <c r="AX666" t="s">
        <v>74</v>
      </c>
      <c r="AY666" t="s">
        <v>74</v>
      </c>
      <c r="AZ666" t="s">
        <v>74</v>
      </c>
      <c r="BA666" t="s">
        <v>74</v>
      </c>
      <c r="BB666" t="s">
        <v>74</v>
      </c>
      <c r="BC666" t="s">
        <v>74</v>
      </c>
      <c r="BD666">
        <v>230215</v>
      </c>
      <c r="BE666" t="s">
        <v>12831</v>
      </c>
      <c r="BF666" t="str">
        <f>HYPERLINK("http://dx.doi.org/10.1098/rsob.230215","http://dx.doi.org/10.1098/rsob.230215")</f>
        <v>http://dx.doi.org/10.1098/rsob.230215</v>
      </c>
      <c r="BG666" t="s">
        <v>74</v>
      </c>
      <c r="BH666" t="s">
        <v>74</v>
      </c>
      <c r="BI666">
        <v>13</v>
      </c>
      <c r="BJ666" t="s">
        <v>930</v>
      </c>
      <c r="BK666" t="s">
        <v>100</v>
      </c>
      <c r="BL666" t="s">
        <v>930</v>
      </c>
      <c r="BM666" t="s">
        <v>12832</v>
      </c>
      <c r="BN666">
        <v>37848053</v>
      </c>
      <c r="BO666" t="s">
        <v>200</v>
      </c>
      <c r="BP666" t="s">
        <v>74</v>
      </c>
      <c r="BQ666" t="s">
        <v>74</v>
      </c>
      <c r="BR666" t="s">
        <v>104</v>
      </c>
      <c r="BS666" t="s">
        <v>12833</v>
      </c>
      <c r="BT666" t="str">
        <f>HYPERLINK("https%3A%2F%2Fwww.webofscience.com%2Fwos%2Fwoscc%2Ffull-record%2FWOS:001145751700001","View Full Record in Web of Science")</f>
        <v>View Full Record in Web of Science</v>
      </c>
    </row>
    <row r="667" spans="1:72" x14ac:dyDescent="0.15">
      <c r="A667" t="s">
        <v>72</v>
      </c>
      <c r="B667" t="s">
        <v>12834</v>
      </c>
      <c r="C667" t="s">
        <v>74</v>
      </c>
      <c r="D667" t="s">
        <v>74</v>
      </c>
      <c r="E667" t="s">
        <v>74</v>
      </c>
      <c r="F667" t="s">
        <v>12835</v>
      </c>
      <c r="G667" t="s">
        <v>74</v>
      </c>
      <c r="H667" t="s">
        <v>74</v>
      </c>
      <c r="I667" t="s">
        <v>12836</v>
      </c>
      <c r="J667" t="s">
        <v>12837</v>
      </c>
      <c r="K667" t="s">
        <v>74</v>
      </c>
      <c r="L667" t="s">
        <v>74</v>
      </c>
      <c r="M667" t="s">
        <v>78</v>
      </c>
      <c r="N667" t="s">
        <v>441</v>
      </c>
      <c r="O667" t="s">
        <v>74</v>
      </c>
      <c r="P667" t="s">
        <v>74</v>
      </c>
      <c r="Q667" t="s">
        <v>74</v>
      </c>
      <c r="R667" t="s">
        <v>74</v>
      </c>
      <c r="S667" t="s">
        <v>74</v>
      </c>
      <c r="T667" t="s">
        <v>12838</v>
      </c>
      <c r="U667" t="s">
        <v>12839</v>
      </c>
      <c r="V667" t="s">
        <v>12840</v>
      </c>
      <c r="W667" t="s">
        <v>12841</v>
      </c>
      <c r="X667" t="s">
        <v>12842</v>
      </c>
      <c r="Y667" t="s">
        <v>12843</v>
      </c>
      <c r="Z667" t="s">
        <v>12844</v>
      </c>
      <c r="AA667" t="s">
        <v>12845</v>
      </c>
      <c r="AB667" t="s">
        <v>12846</v>
      </c>
      <c r="AC667" t="s">
        <v>12847</v>
      </c>
      <c r="AD667" t="s">
        <v>12848</v>
      </c>
      <c r="AE667" t="s">
        <v>12849</v>
      </c>
      <c r="AF667" t="s">
        <v>74</v>
      </c>
      <c r="AG667">
        <v>380</v>
      </c>
      <c r="AH667">
        <v>2</v>
      </c>
      <c r="AI667">
        <v>2</v>
      </c>
      <c r="AJ667">
        <v>36</v>
      </c>
      <c r="AK667">
        <v>36</v>
      </c>
      <c r="AL667" t="s">
        <v>12850</v>
      </c>
      <c r="AM667" t="s">
        <v>12851</v>
      </c>
      <c r="AN667" t="s">
        <v>12852</v>
      </c>
      <c r="AO667" t="s">
        <v>12853</v>
      </c>
      <c r="AP667" t="s">
        <v>74</v>
      </c>
      <c r="AQ667" t="s">
        <v>74</v>
      </c>
      <c r="AR667" t="s">
        <v>12854</v>
      </c>
      <c r="AS667" t="s">
        <v>12855</v>
      </c>
      <c r="AT667" t="s">
        <v>12795</v>
      </c>
      <c r="AU667">
        <v>2023</v>
      </c>
      <c r="AV667">
        <v>11</v>
      </c>
      <c r="AW667">
        <v>1</v>
      </c>
      <c r="AX667" t="s">
        <v>74</v>
      </c>
      <c r="AY667" t="s">
        <v>74</v>
      </c>
      <c r="AZ667" t="s">
        <v>74</v>
      </c>
      <c r="BA667" t="s">
        <v>74</v>
      </c>
      <c r="BB667" t="s">
        <v>74</v>
      </c>
      <c r="BC667" t="s">
        <v>74</v>
      </c>
      <c r="BD667">
        <v>56</v>
      </c>
      <c r="BE667" t="s">
        <v>12856</v>
      </c>
      <c r="BF667" t="str">
        <f>HYPERLINK("http://dx.doi.org/10.1525/elementa.2023.00056","http://dx.doi.org/10.1525/elementa.2023.00056")</f>
        <v>http://dx.doi.org/10.1525/elementa.2023.00056</v>
      </c>
      <c r="BG667" t="s">
        <v>74</v>
      </c>
      <c r="BH667" t="s">
        <v>74</v>
      </c>
      <c r="BI667">
        <v>44</v>
      </c>
      <c r="BJ667" t="s">
        <v>2382</v>
      </c>
      <c r="BK667" t="s">
        <v>100</v>
      </c>
      <c r="BL667" t="s">
        <v>2383</v>
      </c>
      <c r="BM667" t="s">
        <v>12857</v>
      </c>
      <c r="BN667" t="s">
        <v>74</v>
      </c>
      <c r="BO667" t="s">
        <v>131</v>
      </c>
      <c r="BP667" t="s">
        <v>74</v>
      </c>
      <c r="BQ667" t="s">
        <v>74</v>
      </c>
      <c r="BR667" t="s">
        <v>104</v>
      </c>
      <c r="BS667" t="s">
        <v>12858</v>
      </c>
      <c r="BT667" t="str">
        <f>HYPERLINK("https%3A%2F%2Fwww.webofscience.com%2Fwos%2Fwoscc%2Ffull-record%2FWOS:001100951200001","View Full Record in Web of Science")</f>
        <v>View Full Record in Web of Science</v>
      </c>
    </row>
    <row r="668" spans="1:72" x14ac:dyDescent="0.15">
      <c r="A668" t="s">
        <v>72</v>
      </c>
      <c r="B668" t="s">
        <v>12859</v>
      </c>
      <c r="C668" t="s">
        <v>74</v>
      </c>
      <c r="D668" t="s">
        <v>74</v>
      </c>
      <c r="E668" t="s">
        <v>74</v>
      </c>
      <c r="F668" t="s">
        <v>12860</v>
      </c>
      <c r="G668" t="s">
        <v>74</v>
      </c>
      <c r="H668" t="s">
        <v>74</v>
      </c>
      <c r="I668" t="s">
        <v>12861</v>
      </c>
      <c r="J668" t="s">
        <v>1770</v>
      </c>
      <c r="K668" t="s">
        <v>74</v>
      </c>
      <c r="L668" t="s">
        <v>74</v>
      </c>
      <c r="M668" t="s">
        <v>78</v>
      </c>
      <c r="N668" t="s">
        <v>1547</v>
      </c>
      <c r="O668" t="s">
        <v>74</v>
      </c>
      <c r="P668" t="s">
        <v>74</v>
      </c>
      <c r="Q668" t="s">
        <v>74</v>
      </c>
      <c r="R668" t="s">
        <v>74</v>
      </c>
      <c r="S668" t="s">
        <v>74</v>
      </c>
      <c r="T668" t="s">
        <v>12862</v>
      </c>
      <c r="U668" t="s">
        <v>12863</v>
      </c>
      <c r="V668" t="s">
        <v>12864</v>
      </c>
      <c r="W668" t="s">
        <v>12865</v>
      </c>
      <c r="X668" t="s">
        <v>12866</v>
      </c>
      <c r="Y668" t="s">
        <v>12867</v>
      </c>
      <c r="Z668" t="s">
        <v>12868</v>
      </c>
      <c r="AA668" t="s">
        <v>12869</v>
      </c>
      <c r="AB668" t="s">
        <v>12870</v>
      </c>
      <c r="AC668" t="s">
        <v>12871</v>
      </c>
      <c r="AD668" t="s">
        <v>12871</v>
      </c>
      <c r="AE668" t="s">
        <v>12872</v>
      </c>
      <c r="AF668" t="s">
        <v>74</v>
      </c>
      <c r="AG668">
        <v>205</v>
      </c>
      <c r="AH668">
        <v>1</v>
      </c>
      <c r="AI668">
        <v>1</v>
      </c>
      <c r="AJ668">
        <v>1</v>
      </c>
      <c r="AK668">
        <v>1</v>
      </c>
      <c r="AL668" t="s">
        <v>1782</v>
      </c>
      <c r="AM668" t="s">
        <v>1783</v>
      </c>
      <c r="AN668" t="s">
        <v>1784</v>
      </c>
      <c r="AO668" t="s">
        <v>1785</v>
      </c>
      <c r="AP668" t="s">
        <v>1786</v>
      </c>
      <c r="AQ668" t="s">
        <v>74</v>
      </c>
      <c r="AR668" t="s">
        <v>1787</v>
      </c>
      <c r="AS668" t="s">
        <v>1788</v>
      </c>
      <c r="AT668" t="s">
        <v>12873</v>
      </c>
      <c r="AU668">
        <v>2023</v>
      </c>
      <c r="AV668" t="s">
        <v>74</v>
      </c>
      <c r="AW668" t="s">
        <v>74</v>
      </c>
      <c r="AX668" t="s">
        <v>74</v>
      </c>
      <c r="AY668" t="s">
        <v>74</v>
      </c>
      <c r="AZ668" t="s">
        <v>74</v>
      </c>
      <c r="BA668" t="s">
        <v>74</v>
      </c>
      <c r="BB668" t="s">
        <v>74</v>
      </c>
      <c r="BC668" t="s">
        <v>74</v>
      </c>
      <c r="BD668" t="s">
        <v>74</v>
      </c>
      <c r="BE668" t="s">
        <v>12874</v>
      </c>
      <c r="BF668" t="str">
        <f>HYPERLINK("http://dx.doi.org/10.1017/S095410202300024X","http://dx.doi.org/10.1017/S095410202300024X")</f>
        <v>http://dx.doi.org/10.1017/S095410202300024X</v>
      </c>
      <c r="BG668" t="s">
        <v>74</v>
      </c>
      <c r="BH668" t="s">
        <v>11428</v>
      </c>
      <c r="BI668">
        <v>35</v>
      </c>
      <c r="BJ668" t="s">
        <v>1791</v>
      </c>
      <c r="BK668" t="s">
        <v>100</v>
      </c>
      <c r="BL668" t="s">
        <v>1792</v>
      </c>
      <c r="BM668" t="s">
        <v>12875</v>
      </c>
      <c r="BN668" t="s">
        <v>74</v>
      </c>
      <c r="BO668" t="s">
        <v>2452</v>
      </c>
      <c r="BP668" t="s">
        <v>74</v>
      </c>
      <c r="BQ668" t="s">
        <v>74</v>
      </c>
      <c r="BR668" t="s">
        <v>104</v>
      </c>
      <c r="BS668" t="s">
        <v>12876</v>
      </c>
      <c r="BT668" t="str">
        <f>HYPERLINK("https%3A%2F%2Fwww.webofscience.com%2Fwos%2Fwoscc%2Ffull-record%2FWOS:001085867700001","View Full Record in Web of Science")</f>
        <v>View Full Record in Web of Science</v>
      </c>
    </row>
    <row r="669" spans="1:72" x14ac:dyDescent="0.15">
      <c r="A669" t="s">
        <v>72</v>
      </c>
      <c r="B669" t="s">
        <v>12877</v>
      </c>
      <c r="C669" t="s">
        <v>74</v>
      </c>
      <c r="D669" t="s">
        <v>74</v>
      </c>
      <c r="E669" t="s">
        <v>74</v>
      </c>
      <c r="F669" t="s">
        <v>12878</v>
      </c>
      <c r="G669" t="s">
        <v>74</v>
      </c>
      <c r="H669" t="s">
        <v>74</v>
      </c>
      <c r="I669" t="s">
        <v>12879</v>
      </c>
      <c r="J669" t="s">
        <v>11475</v>
      </c>
      <c r="K669" t="s">
        <v>74</v>
      </c>
      <c r="L669" t="s">
        <v>74</v>
      </c>
      <c r="M669" t="s">
        <v>78</v>
      </c>
      <c r="N669" t="s">
        <v>79</v>
      </c>
      <c r="O669" t="s">
        <v>74</v>
      </c>
      <c r="P669" t="s">
        <v>74</v>
      </c>
      <c r="Q669" t="s">
        <v>74</v>
      </c>
      <c r="R669" t="s">
        <v>74</v>
      </c>
      <c r="S669" t="s">
        <v>74</v>
      </c>
      <c r="T669" t="s">
        <v>12880</v>
      </c>
      <c r="U669" t="s">
        <v>12881</v>
      </c>
      <c r="V669" t="s">
        <v>12882</v>
      </c>
      <c r="W669" t="s">
        <v>12883</v>
      </c>
      <c r="X669" t="s">
        <v>12884</v>
      </c>
      <c r="Y669" t="s">
        <v>12885</v>
      </c>
      <c r="Z669" t="s">
        <v>12886</v>
      </c>
      <c r="AA669" t="s">
        <v>74</v>
      </c>
      <c r="AB669" t="s">
        <v>12887</v>
      </c>
      <c r="AC669" t="s">
        <v>12888</v>
      </c>
      <c r="AD669" t="s">
        <v>12889</v>
      </c>
      <c r="AE669" t="s">
        <v>12890</v>
      </c>
      <c r="AF669" t="s">
        <v>74</v>
      </c>
      <c r="AG669">
        <v>61</v>
      </c>
      <c r="AH669">
        <v>0</v>
      </c>
      <c r="AI669">
        <v>0</v>
      </c>
      <c r="AJ669">
        <v>2</v>
      </c>
      <c r="AK669">
        <v>2</v>
      </c>
      <c r="AL669" t="s">
        <v>1758</v>
      </c>
      <c r="AM669" t="s">
        <v>1759</v>
      </c>
      <c r="AN669" t="s">
        <v>1760</v>
      </c>
      <c r="AO669" t="s">
        <v>74</v>
      </c>
      <c r="AP669" t="s">
        <v>11485</v>
      </c>
      <c r="AQ669" t="s">
        <v>74</v>
      </c>
      <c r="AR669" t="s">
        <v>11486</v>
      </c>
      <c r="AS669" t="s">
        <v>11487</v>
      </c>
      <c r="AT669" t="s">
        <v>12795</v>
      </c>
      <c r="AU669">
        <v>2023</v>
      </c>
      <c r="AV669">
        <v>14</v>
      </c>
      <c r="AW669" t="s">
        <v>74</v>
      </c>
      <c r="AX669" t="s">
        <v>74</v>
      </c>
      <c r="AY669" t="s">
        <v>74</v>
      </c>
      <c r="AZ669" t="s">
        <v>74</v>
      </c>
      <c r="BA669" t="s">
        <v>74</v>
      </c>
      <c r="BB669" t="s">
        <v>74</v>
      </c>
      <c r="BC669" t="s">
        <v>74</v>
      </c>
      <c r="BD669">
        <v>1280775</v>
      </c>
      <c r="BE669" t="s">
        <v>12891</v>
      </c>
      <c r="BF669" t="str">
        <f>HYPERLINK("http://dx.doi.org/10.3389/fmicb.2023.1280775","http://dx.doi.org/10.3389/fmicb.2023.1280775")</f>
        <v>http://dx.doi.org/10.3389/fmicb.2023.1280775</v>
      </c>
      <c r="BG669" t="s">
        <v>74</v>
      </c>
      <c r="BH669" t="s">
        <v>74</v>
      </c>
      <c r="BI669">
        <v>13</v>
      </c>
      <c r="BJ669" t="s">
        <v>1084</v>
      </c>
      <c r="BK669" t="s">
        <v>100</v>
      </c>
      <c r="BL669" t="s">
        <v>1084</v>
      </c>
      <c r="BM669" t="s">
        <v>12892</v>
      </c>
      <c r="BN669">
        <v>37920266</v>
      </c>
      <c r="BO669" t="s">
        <v>265</v>
      </c>
      <c r="BP669" t="s">
        <v>74</v>
      </c>
      <c r="BQ669" t="s">
        <v>74</v>
      </c>
      <c r="BR669" t="s">
        <v>104</v>
      </c>
      <c r="BS669" t="s">
        <v>12893</v>
      </c>
      <c r="BT669" t="str">
        <f>HYPERLINK("https%3A%2F%2Fwww.webofscience.com%2Fwos%2Fwoscc%2Ffull-record%2FWOS:001093829400001","View Full Record in Web of Science")</f>
        <v>View Full Record in Web of Science</v>
      </c>
    </row>
    <row r="670" spans="1:72" x14ac:dyDescent="0.15">
      <c r="A670" t="s">
        <v>72</v>
      </c>
      <c r="B670" t="s">
        <v>12894</v>
      </c>
      <c r="C670" t="s">
        <v>74</v>
      </c>
      <c r="D670" t="s">
        <v>74</v>
      </c>
      <c r="E670" t="s">
        <v>74</v>
      </c>
      <c r="F670" t="s">
        <v>12895</v>
      </c>
      <c r="G670" t="s">
        <v>74</v>
      </c>
      <c r="H670" t="s">
        <v>74</v>
      </c>
      <c r="I670" t="s">
        <v>12896</v>
      </c>
      <c r="J670" t="s">
        <v>10295</v>
      </c>
      <c r="K670" t="s">
        <v>74</v>
      </c>
      <c r="L670" t="s">
        <v>74</v>
      </c>
      <c r="M670" t="s">
        <v>78</v>
      </c>
      <c r="N670" t="s">
        <v>79</v>
      </c>
      <c r="O670" t="s">
        <v>74</v>
      </c>
      <c r="P670" t="s">
        <v>74</v>
      </c>
      <c r="Q670" t="s">
        <v>74</v>
      </c>
      <c r="R670" t="s">
        <v>74</v>
      </c>
      <c r="S670" t="s">
        <v>74</v>
      </c>
      <c r="T670" t="s">
        <v>12897</v>
      </c>
      <c r="U670" t="s">
        <v>12898</v>
      </c>
      <c r="V670" t="s">
        <v>12899</v>
      </c>
      <c r="W670" t="s">
        <v>12900</v>
      </c>
      <c r="X670" t="s">
        <v>12901</v>
      </c>
      <c r="Y670" t="s">
        <v>12902</v>
      </c>
      <c r="Z670" t="s">
        <v>12903</v>
      </c>
      <c r="AA670" t="s">
        <v>74</v>
      </c>
      <c r="AB670" t="s">
        <v>12904</v>
      </c>
      <c r="AC670" t="s">
        <v>12905</v>
      </c>
      <c r="AD670" t="s">
        <v>12906</v>
      </c>
      <c r="AE670" t="s">
        <v>12907</v>
      </c>
      <c r="AF670" t="s">
        <v>74</v>
      </c>
      <c r="AG670">
        <v>75</v>
      </c>
      <c r="AH670">
        <v>0</v>
      </c>
      <c r="AI670">
        <v>0</v>
      </c>
      <c r="AJ670">
        <v>8</v>
      </c>
      <c r="AK670">
        <v>8</v>
      </c>
      <c r="AL670" t="s">
        <v>1075</v>
      </c>
      <c r="AM670" t="s">
        <v>2949</v>
      </c>
      <c r="AN670" t="s">
        <v>2950</v>
      </c>
      <c r="AO670" t="s">
        <v>10307</v>
      </c>
      <c r="AP670" t="s">
        <v>10308</v>
      </c>
      <c r="AQ670" t="s">
        <v>74</v>
      </c>
      <c r="AR670" t="s">
        <v>10309</v>
      </c>
      <c r="AS670" t="s">
        <v>10310</v>
      </c>
      <c r="AT670" t="s">
        <v>1947</v>
      </c>
      <c r="AU670">
        <v>2023</v>
      </c>
      <c r="AV670">
        <v>35</v>
      </c>
      <c r="AW670">
        <v>6</v>
      </c>
      <c r="AX670" t="s">
        <v>74</v>
      </c>
      <c r="AY670" t="s">
        <v>74</v>
      </c>
      <c r="AZ670" t="s">
        <v>4005</v>
      </c>
      <c r="BA670" t="s">
        <v>74</v>
      </c>
      <c r="BB670">
        <v>2839</v>
      </c>
      <c r="BC670">
        <v>2850</v>
      </c>
      <c r="BD670" t="s">
        <v>74</v>
      </c>
      <c r="BE670" t="s">
        <v>12908</v>
      </c>
      <c r="BF670" t="str">
        <f>HYPERLINK("http://dx.doi.org/10.1007/s10811-023-03109-6","http://dx.doi.org/10.1007/s10811-023-03109-6")</f>
        <v>http://dx.doi.org/10.1007/s10811-023-03109-6</v>
      </c>
      <c r="BG670" t="s">
        <v>74</v>
      </c>
      <c r="BH670" t="s">
        <v>11428</v>
      </c>
      <c r="BI670">
        <v>12</v>
      </c>
      <c r="BJ670" t="s">
        <v>10313</v>
      </c>
      <c r="BK670" t="s">
        <v>100</v>
      </c>
      <c r="BL670" t="s">
        <v>10313</v>
      </c>
      <c r="BM670" t="s">
        <v>12909</v>
      </c>
      <c r="BN670" t="s">
        <v>74</v>
      </c>
      <c r="BO670" t="s">
        <v>103</v>
      </c>
      <c r="BP670" t="s">
        <v>74</v>
      </c>
      <c r="BQ670" t="s">
        <v>74</v>
      </c>
      <c r="BR670" t="s">
        <v>104</v>
      </c>
      <c r="BS670" t="s">
        <v>12910</v>
      </c>
      <c r="BT670" t="str">
        <f>HYPERLINK("https%3A%2F%2Fwww.webofscience.com%2Fwos%2Fwoscc%2Ffull-record%2FWOS:001089615400003","View Full Record in Web of Science")</f>
        <v>View Full Record in Web of Science</v>
      </c>
    </row>
    <row r="671" spans="1:72" x14ac:dyDescent="0.15">
      <c r="A671" t="s">
        <v>72</v>
      </c>
      <c r="B671" t="s">
        <v>12911</v>
      </c>
      <c r="C671" t="s">
        <v>74</v>
      </c>
      <c r="D671" t="s">
        <v>74</v>
      </c>
      <c r="E671" t="s">
        <v>74</v>
      </c>
      <c r="F671" t="s">
        <v>12912</v>
      </c>
      <c r="G671" t="s">
        <v>74</v>
      </c>
      <c r="H671" t="s">
        <v>74</v>
      </c>
      <c r="I671" t="s">
        <v>12913</v>
      </c>
      <c r="J671" t="s">
        <v>2787</v>
      </c>
      <c r="K671" t="s">
        <v>74</v>
      </c>
      <c r="L671" t="s">
        <v>74</v>
      </c>
      <c r="M671" t="s">
        <v>78</v>
      </c>
      <c r="N671" t="s">
        <v>441</v>
      </c>
      <c r="O671" t="s">
        <v>74</v>
      </c>
      <c r="P671" t="s">
        <v>74</v>
      </c>
      <c r="Q671" t="s">
        <v>74</v>
      </c>
      <c r="R671" t="s">
        <v>74</v>
      </c>
      <c r="S671" t="s">
        <v>74</v>
      </c>
      <c r="T671" t="s">
        <v>74</v>
      </c>
      <c r="U671" t="s">
        <v>12914</v>
      </c>
      <c r="V671" t="s">
        <v>12915</v>
      </c>
      <c r="W671" t="s">
        <v>12916</v>
      </c>
      <c r="X671" t="s">
        <v>12917</v>
      </c>
      <c r="Y671" t="s">
        <v>12918</v>
      </c>
      <c r="Z671" t="s">
        <v>12919</v>
      </c>
      <c r="AA671" t="s">
        <v>12920</v>
      </c>
      <c r="AB671" t="s">
        <v>12921</v>
      </c>
      <c r="AC671" t="s">
        <v>12922</v>
      </c>
      <c r="AD671" t="s">
        <v>12923</v>
      </c>
      <c r="AE671" t="s">
        <v>12924</v>
      </c>
      <c r="AF671" t="s">
        <v>74</v>
      </c>
      <c r="AG671">
        <v>196</v>
      </c>
      <c r="AH671">
        <v>5</v>
      </c>
      <c r="AI671">
        <v>5</v>
      </c>
      <c r="AJ671">
        <v>26</v>
      </c>
      <c r="AK671">
        <v>26</v>
      </c>
      <c r="AL671" t="s">
        <v>2529</v>
      </c>
      <c r="AM671" t="s">
        <v>2294</v>
      </c>
      <c r="AN671" t="s">
        <v>2530</v>
      </c>
      <c r="AO671" t="s">
        <v>74</v>
      </c>
      <c r="AP671" t="s">
        <v>2799</v>
      </c>
      <c r="AQ671" t="s">
        <v>74</v>
      </c>
      <c r="AR671" t="s">
        <v>2800</v>
      </c>
      <c r="AS671" t="s">
        <v>2801</v>
      </c>
      <c r="AT671" t="s">
        <v>4525</v>
      </c>
      <c r="AU671">
        <v>2023</v>
      </c>
      <c r="AV671">
        <v>4</v>
      </c>
      <c r="AW671">
        <v>11</v>
      </c>
      <c r="AX671" t="s">
        <v>74</v>
      </c>
      <c r="AY671" t="s">
        <v>74</v>
      </c>
      <c r="AZ671" t="s">
        <v>74</v>
      </c>
      <c r="BA671" t="s">
        <v>74</v>
      </c>
      <c r="BB671">
        <v>754</v>
      </c>
      <c r="BC671">
        <v>769</v>
      </c>
      <c r="BD671" t="s">
        <v>74</v>
      </c>
      <c r="BE671" t="s">
        <v>12925</v>
      </c>
      <c r="BF671" t="str">
        <f>HYPERLINK("http://dx.doi.org/10.1038/s43017-023-00486-x","http://dx.doi.org/10.1038/s43017-023-00486-x")</f>
        <v>http://dx.doi.org/10.1038/s43017-023-00486-x</v>
      </c>
      <c r="BG671" t="s">
        <v>74</v>
      </c>
      <c r="BH671" t="s">
        <v>11428</v>
      </c>
      <c r="BI671">
        <v>16</v>
      </c>
      <c r="BJ671" t="s">
        <v>2803</v>
      </c>
      <c r="BK671" t="s">
        <v>100</v>
      </c>
      <c r="BL671" t="s">
        <v>1950</v>
      </c>
      <c r="BM671" t="s">
        <v>12926</v>
      </c>
      <c r="BN671" t="s">
        <v>74</v>
      </c>
      <c r="BO671" t="s">
        <v>12927</v>
      </c>
      <c r="BP671" t="s">
        <v>74</v>
      </c>
      <c r="BQ671" t="s">
        <v>74</v>
      </c>
      <c r="BR671" t="s">
        <v>104</v>
      </c>
      <c r="BS671" t="s">
        <v>12928</v>
      </c>
      <c r="BT671" t="str">
        <f>HYPERLINK("https%3A%2F%2Fwww.webofscience.com%2Fwos%2Fwoscc%2Ffull-record%2FWOS:001086343800002","View Full Record in Web of Science")</f>
        <v>View Full Record in Web of Science</v>
      </c>
    </row>
    <row r="672" spans="1:72" x14ac:dyDescent="0.15">
      <c r="A672" t="s">
        <v>72</v>
      </c>
      <c r="B672" t="s">
        <v>12929</v>
      </c>
      <c r="C672" t="s">
        <v>74</v>
      </c>
      <c r="D672" t="s">
        <v>74</v>
      </c>
      <c r="E672" t="s">
        <v>74</v>
      </c>
      <c r="F672" t="s">
        <v>12930</v>
      </c>
      <c r="G672" t="s">
        <v>74</v>
      </c>
      <c r="H672" t="s">
        <v>74</v>
      </c>
      <c r="I672" t="s">
        <v>12931</v>
      </c>
      <c r="J672" t="s">
        <v>3922</v>
      </c>
      <c r="K672" t="s">
        <v>74</v>
      </c>
      <c r="L672" t="s">
        <v>74</v>
      </c>
      <c r="M672" t="s">
        <v>78</v>
      </c>
      <c r="N672" t="s">
        <v>3749</v>
      </c>
      <c r="O672" t="s">
        <v>74</v>
      </c>
      <c r="P672" t="s">
        <v>74</v>
      </c>
      <c r="Q672" t="s">
        <v>74</v>
      </c>
      <c r="R672" t="s">
        <v>74</v>
      </c>
      <c r="S672" t="s">
        <v>74</v>
      </c>
      <c r="T672" t="s">
        <v>12932</v>
      </c>
      <c r="U672" t="s">
        <v>12933</v>
      </c>
      <c r="V672" t="s">
        <v>12934</v>
      </c>
      <c r="W672" t="s">
        <v>12935</v>
      </c>
      <c r="X672" t="s">
        <v>12936</v>
      </c>
      <c r="Y672" t="s">
        <v>12937</v>
      </c>
      <c r="Z672" t="s">
        <v>12938</v>
      </c>
      <c r="AA672" t="s">
        <v>12939</v>
      </c>
      <c r="AB672" t="s">
        <v>12940</v>
      </c>
      <c r="AC672" t="s">
        <v>74</v>
      </c>
      <c r="AD672" t="s">
        <v>74</v>
      </c>
      <c r="AE672" t="s">
        <v>74</v>
      </c>
      <c r="AF672" t="s">
        <v>74</v>
      </c>
      <c r="AG672">
        <v>24</v>
      </c>
      <c r="AH672">
        <v>0</v>
      </c>
      <c r="AI672">
        <v>0</v>
      </c>
      <c r="AJ672">
        <v>2</v>
      </c>
      <c r="AK672">
        <v>2</v>
      </c>
      <c r="AL672" t="s">
        <v>1880</v>
      </c>
      <c r="AM672" t="s">
        <v>1881</v>
      </c>
      <c r="AN672" t="s">
        <v>1882</v>
      </c>
      <c r="AO672" t="s">
        <v>3931</v>
      </c>
      <c r="AP672" t="s">
        <v>3932</v>
      </c>
      <c r="AQ672" t="s">
        <v>74</v>
      </c>
      <c r="AR672" t="s">
        <v>3933</v>
      </c>
      <c r="AS672" t="s">
        <v>3934</v>
      </c>
      <c r="AT672" t="s">
        <v>12941</v>
      </c>
      <c r="AU672">
        <v>2023</v>
      </c>
      <c r="AV672">
        <v>11</v>
      </c>
      <c r="AW672" t="s">
        <v>74</v>
      </c>
      <c r="AX672" t="s">
        <v>74</v>
      </c>
      <c r="AY672" t="s">
        <v>74</v>
      </c>
      <c r="AZ672" t="s">
        <v>74</v>
      </c>
      <c r="BA672" t="s">
        <v>74</v>
      </c>
      <c r="BB672" t="s">
        <v>74</v>
      </c>
      <c r="BC672" t="s">
        <v>74</v>
      </c>
      <c r="BD672" t="s">
        <v>12942</v>
      </c>
      <c r="BE672" t="s">
        <v>12943</v>
      </c>
      <c r="BF672" t="str">
        <f>HYPERLINK("http://dx.doi.org/10.3897/BDJ.11.e105888","http://dx.doi.org/10.3897/BDJ.11.e105888")</f>
        <v>http://dx.doi.org/10.3897/BDJ.11.e105888</v>
      </c>
      <c r="BG672" t="s">
        <v>74</v>
      </c>
      <c r="BH672" t="s">
        <v>74</v>
      </c>
      <c r="BI672">
        <v>26</v>
      </c>
      <c r="BJ672" t="s">
        <v>1615</v>
      </c>
      <c r="BK672" t="s">
        <v>100</v>
      </c>
      <c r="BL672" t="s">
        <v>1616</v>
      </c>
      <c r="BM672" t="s">
        <v>12944</v>
      </c>
      <c r="BN672">
        <v>37886662</v>
      </c>
      <c r="BO672" t="s">
        <v>5744</v>
      </c>
      <c r="BP672" t="s">
        <v>74</v>
      </c>
      <c r="BQ672" t="s">
        <v>74</v>
      </c>
      <c r="BR672" t="s">
        <v>104</v>
      </c>
      <c r="BS672" t="s">
        <v>12945</v>
      </c>
      <c r="BT672" t="str">
        <f>HYPERLINK("https%3A%2F%2Fwww.webofscience.com%2Fwos%2Fwoscc%2Ffull-record%2FWOS:001097952700003","View Full Record in Web of Science")</f>
        <v>View Full Record in Web of Science</v>
      </c>
    </row>
    <row r="673" spans="1:72" x14ac:dyDescent="0.15">
      <c r="A673" t="s">
        <v>72</v>
      </c>
      <c r="B673" t="s">
        <v>12946</v>
      </c>
      <c r="C673" t="s">
        <v>74</v>
      </c>
      <c r="D673" t="s">
        <v>74</v>
      </c>
      <c r="E673" t="s">
        <v>74</v>
      </c>
      <c r="F673" t="s">
        <v>12947</v>
      </c>
      <c r="G673" t="s">
        <v>74</v>
      </c>
      <c r="H673" t="s">
        <v>74</v>
      </c>
      <c r="I673" t="s">
        <v>12948</v>
      </c>
      <c r="J673" t="s">
        <v>12949</v>
      </c>
      <c r="K673" t="s">
        <v>74</v>
      </c>
      <c r="L673" t="s">
        <v>74</v>
      </c>
      <c r="M673" t="s">
        <v>78</v>
      </c>
      <c r="N673" t="s">
        <v>1547</v>
      </c>
      <c r="O673" t="s">
        <v>74</v>
      </c>
      <c r="P673" t="s">
        <v>74</v>
      </c>
      <c r="Q673" t="s">
        <v>74</v>
      </c>
      <c r="R673" t="s">
        <v>74</v>
      </c>
      <c r="S673" t="s">
        <v>74</v>
      </c>
      <c r="T673" t="s">
        <v>12950</v>
      </c>
      <c r="U673" t="s">
        <v>12951</v>
      </c>
      <c r="V673" t="s">
        <v>12952</v>
      </c>
      <c r="W673" t="s">
        <v>12953</v>
      </c>
      <c r="X673" t="s">
        <v>12954</v>
      </c>
      <c r="Y673" t="s">
        <v>12955</v>
      </c>
      <c r="Z673" t="s">
        <v>12956</v>
      </c>
      <c r="AA673" t="s">
        <v>74</v>
      </c>
      <c r="AB673" t="s">
        <v>12957</v>
      </c>
      <c r="AC673" t="s">
        <v>12958</v>
      </c>
      <c r="AD673" t="s">
        <v>12958</v>
      </c>
      <c r="AE673" t="s">
        <v>12959</v>
      </c>
      <c r="AF673" t="s">
        <v>74</v>
      </c>
      <c r="AG673">
        <v>84</v>
      </c>
      <c r="AH673">
        <v>0</v>
      </c>
      <c r="AI673">
        <v>0</v>
      </c>
      <c r="AJ673">
        <v>13</v>
      </c>
      <c r="AK673">
        <v>13</v>
      </c>
      <c r="AL673" t="s">
        <v>8612</v>
      </c>
      <c r="AM673" t="s">
        <v>120</v>
      </c>
      <c r="AN673" t="s">
        <v>8613</v>
      </c>
      <c r="AO673" t="s">
        <v>12960</v>
      </c>
      <c r="AP673" t="s">
        <v>12961</v>
      </c>
      <c r="AQ673" t="s">
        <v>74</v>
      </c>
      <c r="AR673" t="s">
        <v>12962</v>
      </c>
      <c r="AS673" t="s">
        <v>12963</v>
      </c>
      <c r="AT673" t="s">
        <v>12964</v>
      </c>
      <c r="AU673">
        <v>2023</v>
      </c>
      <c r="AV673" t="s">
        <v>74</v>
      </c>
      <c r="AW673" t="s">
        <v>74</v>
      </c>
      <c r="AX673" t="s">
        <v>74</v>
      </c>
      <c r="AY673" t="s">
        <v>74</v>
      </c>
      <c r="AZ673" t="s">
        <v>74</v>
      </c>
      <c r="BA673" t="s">
        <v>74</v>
      </c>
      <c r="BB673" t="s">
        <v>74</v>
      </c>
      <c r="BC673" t="s">
        <v>74</v>
      </c>
      <c r="BD673" t="s">
        <v>74</v>
      </c>
      <c r="BE673" t="s">
        <v>12965</v>
      </c>
      <c r="BF673" t="str">
        <f>HYPERLINK("http://dx.doi.org/10.1080/09669582.2023.2272224","http://dx.doi.org/10.1080/09669582.2023.2272224")</f>
        <v>http://dx.doi.org/10.1080/09669582.2023.2272224</v>
      </c>
      <c r="BG673" t="s">
        <v>74</v>
      </c>
      <c r="BH673" t="s">
        <v>11428</v>
      </c>
      <c r="BI673">
        <v>22</v>
      </c>
      <c r="BJ673" t="s">
        <v>12966</v>
      </c>
      <c r="BK673" t="s">
        <v>1740</v>
      </c>
      <c r="BL673" t="s">
        <v>12967</v>
      </c>
      <c r="BM673" t="s">
        <v>12968</v>
      </c>
      <c r="BN673" t="s">
        <v>74</v>
      </c>
      <c r="BO673" t="s">
        <v>103</v>
      </c>
      <c r="BP673" t="s">
        <v>74</v>
      </c>
      <c r="BQ673" t="s">
        <v>74</v>
      </c>
      <c r="BR673" t="s">
        <v>104</v>
      </c>
      <c r="BS673" t="s">
        <v>12969</v>
      </c>
      <c r="BT673" t="str">
        <f>HYPERLINK("https%3A%2F%2Fwww.webofscience.com%2Fwos%2Fwoscc%2Ffull-record%2FWOS:001095494400001","View Full Record in Web of Science")</f>
        <v>View Full Record in Web of Science</v>
      </c>
    </row>
    <row r="674" spans="1:72" x14ac:dyDescent="0.15">
      <c r="A674" t="s">
        <v>72</v>
      </c>
      <c r="B674" t="s">
        <v>12970</v>
      </c>
      <c r="C674" t="s">
        <v>74</v>
      </c>
      <c r="D674" t="s">
        <v>74</v>
      </c>
      <c r="E674" t="s">
        <v>74</v>
      </c>
      <c r="F674" t="s">
        <v>12971</v>
      </c>
      <c r="G674" t="s">
        <v>74</v>
      </c>
      <c r="H674" t="s">
        <v>74</v>
      </c>
      <c r="I674" t="s">
        <v>12972</v>
      </c>
      <c r="J674" t="s">
        <v>12973</v>
      </c>
      <c r="K674" t="s">
        <v>74</v>
      </c>
      <c r="L674" t="s">
        <v>74</v>
      </c>
      <c r="M674" t="s">
        <v>78</v>
      </c>
      <c r="N674" t="s">
        <v>79</v>
      </c>
      <c r="O674" t="s">
        <v>74</v>
      </c>
      <c r="P674" t="s">
        <v>74</v>
      </c>
      <c r="Q674" t="s">
        <v>74</v>
      </c>
      <c r="R674" t="s">
        <v>74</v>
      </c>
      <c r="S674" t="s">
        <v>74</v>
      </c>
      <c r="T674" t="s">
        <v>12974</v>
      </c>
      <c r="U674" t="s">
        <v>12975</v>
      </c>
      <c r="V674" t="s">
        <v>12976</v>
      </c>
      <c r="W674" t="s">
        <v>12977</v>
      </c>
      <c r="X674" t="s">
        <v>12978</v>
      </c>
      <c r="Y674" t="s">
        <v>12979</v>
      </c>
      <c r="Z674" t="s">
        <v>12980</v>
      </c>
      <c r="AA674" t="s">
        <v>74</v>
      </c>
      <c r="AB674" t="s">
        <v>12981</v>
      </c>
      <c r="AC674" t="s">
        <v>12982</v>
      </c>
      <c r="AD674" t="s">
        <v>12983</v>
      </c>
      <c r="AE674" t="s">
        <v>12984</v>
      </c>
      <c r="AF674" t="s">
        <v>74</v>
      </c>
      <c r="AG674">
        <v>82</v>
      </c>
      <c r="AH674">
        <v>1</v>
      </c>
      <c r="AI674">
        <v>1</v>
      </c>
      <c r="AJ674">
        <v>9</v>
      </c>
      <c r="AK674">
        <v>9</v>
      </c>
      <c r="AL674" t="s">
        <v>1758</v>
      </c>
      <c r="AM674" t="s">
        <v>1759</v>
      </c>
      <c r="AN674" t="s">
        <v>1760</v>
      </c>
      <c r="AO674" t="s">
        <v>74</v>
      </c>
      <c r="AP674" t="s">
        <v>12985</v>
      </c>
      <c r="AQ674" t="s">
        <v>74</v>
      </c>
      <c r="AR674" t="s">
        <v>12986</v>
      </c>
      <c r="AS674" t="s">
        <v>12987</v>
      </c>
      <c r="AT674" t="s">
        <v>12941</v>
      </c>
      <c r="AU674">
        <v>2023</v>
      </c>
      <c r="AV674">
        <v>10</v>
      </c>
      <c r="AW674" t="s">
        <v>74</v>
      </c>
      <c r="AX674" t="s">
        <v>74</v>
      </c>
      <c r="AY674" t="s">
        <v>74</v>
      </c>
      <c r="AZ674" t="s">
        <v>74</v>
      </c>
      <c r="BA674" t="s">
        <v>74</v>
      </c>
      <c r="BB674" t="s">
        <v>74</v>
      </c>
      <c r="BC674" t="s">
        <v>74</v>
      </c>
      <c r="BD674">
        <v>1242879</v>
      </c>
      <c r="BE674" t="s">
        <v>12988</v>
      </c>
      <c r="BF674" t="str">
        <f>HYPERLINK("http://dx.doi.org/10.3389/fmolb.2023.1242879","http://dx.doi.org/10.3389/fmolb.2023.1242879")</f>
        <v>http://dx.doi.org/10.3389/fmolb.2023.1242879</v>
      </c>
      <c r="BG674" t="s">
        <v>74</v>
      </c>
      <c r="BH674" t="s">
        <v>74</v>
      </c>
      <c r="BI674">
        <v>23</v>
      </c>
      <c r="BJ674" t="s">
        <v>930</v>
      </c>
      <c r="BK674" t="s">
        <v>100</v>
      </c>
      <c r="BL674" t="s">
        <v>930</v>
      </c>
      <c r="BM674" t="s">
        <v>12989</v>
      </c>
      <c r="BN674">
        <v>37916189</v>
      </c>
      <c r="BO674" t="s">
        <v>200</v>
      </c>
      <c r="BP674" t="s">
        <v>74</v>
      </c>
      <c r="BQ674" t="s">
        <v>74</v>
      </c>
      <c r="BR674" t="s">
        <v>104</v>
      </c>
      <c r="BS674" t="s">
        <v>12990</v>
      </c>
      <c r="BT674" t="str">
        <f>HYPERLINK("https%3A%2F%2Fwww.webofscience.com%2Fwos%2Fwoscc%2Ffull-record%2FWOS:001092369700001","View Full Record in Web of Science")</f>
        <v>View Full Record in Web of Science</v>
      </c>
    </row>
    <row r="675" spans="1:72" x14ac:dyDescent="0.15">
      <c r="A675" t="s">
        <v>72</v>
      </c>
      <c r="B675" t="s">
        <v>12991</v>
      </c>
      <c r="C675" t="s">
        <v>74</v>
      </c>
      <c r="D675" t="s">
        <v>74</v>
      </c>
      <c r="E675" t="s">
        <v>74</v>
      </c>
      <c r="F675" t="s">
        <v>12992</v>
      </c>
      <c r="G675" t="s">
        <v>74</v>
      </c>
      <c r="H675" t="s">
        <v>74</v>
      </c>
      <c r="I675" t="s">
        <v>12993</v>
      </c>
      <c r="J675" t="s">
        <v>9176</v>
      </c>
      <c r="K675" t="s">
        <v>74</v>
      </c>
      <c r="L675" t="s">
        <v>74</v>
      </c>
      <c r="M675" t="s">
        <v>78</v>
      </c>
      <c r="N675" t="s">
        <v>79</v>
      </c>
      <c r="O675" t="s">
        <v>74</v>
      </c>
      <c r="P675" t="s">
        <v>74</v>
      </c>
      <c r="Q675" t="s">
        <v>74</v>
      </c>
      <c r="R675" t="s">
        <v>74</v>
      </c>
      <c r="S675" t="s">
        <v>74</v>
      </c>
      <c r="T675" t="s">
        <v>74</v>
      </c>
      <c r="U675" t="s">
        <v>12994</v>
      </c>
      <c r="V675" t="s">
        <v>12995</v>
      </c>
      <c r="W675" t="s">
        <v>12996</v>
      </c>
      <c r="X675" t="s">
        <v>12997</v>
      </c>
      <c r="Y675" t="s">
        <v>12998</v>
      </c>
      <c r="Z675" t="s">
        <v>12999</v>
      </c>
      <c r="AA675" t="s">
        <v>74</v>
      </c>
      <c r="AB675" t="s">
        <v>74</v>
      </c>
      <c r="AC675" t="s">
        <v>74</v>
      </c>
      <c r="AD675" t="s">
        <v>74</v>
      </c>
      <c r="AE675" t="s">
        <v>74</v>
      </c>
      <c r="AF675" t="s">
        <v>74</v>
      </c>
      <c r="AG675">
        <v>49</v>
      </c>
      <c r="AH675">
        <v>0</v>
      </c>
      <c r="AI675">
        <v>0</v>
      </c>
      <c r="AJ675">
        <v>2</v>
      </c>
      <c r="AK675">
        <v>2</v>
      </c>
      <c r="AL675" t="s">
        <v>1838</v>
      </c>
      <c r="AM675" t="s">
        <v>1839</v>
      </c>
      <c r="AN675" t="s">
        <v>1840</v>
      </c>
      <c r="AO675" t="s">
        <v>9185</v>
      </c>
      <c r="AP675" t="s">
        <v>9186</v>
      </c>
      <c r="AQ675" t="s">
        <v>74</v>
      </c>
      <c r="AR675" t="s">
        <v>9187</v>
      </c>
      <c r="AS675" t="s">
        <v>9188</v>
      </c>
      <c r="AT675" t="s">
        <v>13000</v>
      </c>
      <c r="AU675">
        <v>2023</v>
      </c>
      <c r="AV675">
        <v>16</v>
      </c>
      <c r="AW675">
        <v>20</v>
      </c>
      <c r="AX675" t="s">
        <v>74</v>
      </c>
      <c r="AY675" t="s">
        <v>74</v>
      </c>
      <c r="AZ675" t="s">
        <v>74</v>
      </c>
      <c r="BA675" t="s">
        <v>74</v>
      </c>
      <c r="BB675">
        <v>4693</v>
      </c>
      <c r="BC675">
        <v>4707</v>
      </c>
      <c r="BD675" t="s">
        <v>74</v>
      </c>
      <c r="BE675" t="s">
        <v>13001</v>
      </c>
      <c r="BF675" t="str">
        <f>HYPERLINK("http://dx.doi.org/10.5194/amt-16-4693-2023","http://dx.doi.org/10.5194/amt-16-4693-2023")</f>
        <v>http://dx.doi.org/10.5194/amt-16-4693-2023</v>
      </c>
      <c r="BG675" t="s">
        <v>74</v>
      </c>
      <c r="BH675" t="s">
        <v>74</v>
      </c>
      <c r="BI675">
        <v>15</v>
      </c>
      <c r="BJ675" t="s">
        <v>1522</v>
      </c>
      <c r="BK675" t="s">
        <v>100</v>
      </c>
      <c r="BL675" t="s">
        <v>1522</v>
      </c>
      <c r="BM675" t="s">
        <v>13002</v>
      </c>
      <c r="BN675" t="s">
        <v>74</v>
      </c>
      <c r="BO675" t="s">
        <v>349</v>
      </c>
      <c r="BP675" t="s">
        <v>74</v>
      </c>
      <c r="BQ675" t="s">
        <v>74</v>
      </c>
      <c r="BR675" t="s">
        <v>104</v>
      </c>
      <c r="BS675" t="s">
        <v>13003</v>
      </c>
      <c r="BT675" t="str">
        <f>HYPERLINK("https%3A%2F%2Fwww.webofscience.com%2Fwos%2Fwoscc%2Ffull-record%2FWOS:001161809300001","View Full Record in Web of Science")</f>
        <v>View Full Record in Web of Science</v>
      </c>
    </row>
    <row r="676" spans="1:72" x14ac:dyDescent="0.15">
      <c r="A676" t="s">
        <v>72</v>
      </c>
      <c r="B676" t="s">
        <v>13004</v>
      </c>
      <c r="C676" t="s">
        <v>74</v>
      </c>
      <c r="D676" t="s">
        <v>74</v>
      </c>
      <c r="E676" t="s">
        <v>74</v>
      </c>
      <c r="F676" t="s">
        <v>13005</v>
      </c>
      <c r="G676" t="s">
        <v>74</v>
      </c>
      <c r="H676" t="s">
        <v>74</v>
      </c>
      <c r="I676" t="s">
        <v>13006</v>
      </c>
      <c r="J676" t="s">
        <v>2366</v>
      </c>
      <c r="K676" t="s">
        <v>74</v>
      </c>
      <c r="L676" t="s">
        <v>74</v>
      </c>
      <c r="M676" t="s">
        <v>78</v>
      </c>
      <c r="N676" t="s">
        <v>79</v>
      </c>
      <c r="O676" t="s">
        <v>74</v>
      </c>
      <c r="P676" t="s">
        <v>74</v>
      </c>
      <c r="Q676" t="s">
        <v>74</v>
      </c>
      <c r="R676" t="s">
        <v>74</v>
      </c>
      <c r="S676" t="s">
        <v>74</v>
      </c>
      <c r="T676" t="s">
        <v>74</v>
      </c>
      <c r="U676" t="s">
        <v>13007</v>
      </c>
      <c r="V676" t="s">
        <v>13008</v>
      </c>
      <c r="W676" t="s">
        <v>13009</v>
      </c>
      <c r="X676" t="s">
        <v>13010</v>
      </c>
      <c r="Y676" t="s">
        <v>13011</v>
      </c>
      <c r="Z676" t="s">
        <v>13012</v>
      </c>
      <c r="AA676" t="s">
        <v>13013</v>
      </c>
      <c r="AB676" t="s">
        <v>13014</v>
      </c>
      <c r="AC676" t="s">
        <v>13015</v>
      </c>
      <c r="AD676" t="s">
        <v>13016</v>
      </c>
      <c r="AE676" t="s">
        <v>13017</v>
      </c>
      <c r="AF676" t="s">
        <v>74</v>
      </c>
      <c r="AG676">
        <v>89</v>
      </c>
      <c r="AH676">
        <v>0</v>
      </c>
      <c r="AI676">
        <v>0</v>
      </c>
      <c r="AJ676">
        <v>7</v>
      </c>
      <c r="AK676">
        <v>7</v>
      </c>
      <c r="AL676" t="s">
        <v>1838</v>
      </c>
      <c r="AM676" t="s">
        <v>1839</v>
      </c>
      <c r="AN676" t="s">
        <v>1840</v>
      </c>
      <c r="AO676" t="s">
        <v>2377</v>
      </c>
      <c r="AP676" t="s">
        <v>2378</v>
      </c>
      <c r="AQ676" t="s">
        <v>74</v>
      </c>
      <c r="AR676" t="s">
        <v>2379</v>
      </c>
      <c r="AS676" t="s">
        <v>2380</v>
      </c>
      <c r="AT676" t="s">
        <v>13000</v>
      </c>
      <c r="AU676">
        <v>2023</v>
      </c>
      <c r="AV676">
        <v>23</v>
      </c>
      <c r="AW676">
        <v>20</v>
      </c>
      <c r="AX676" t="s">
        <v>74</v>
      </c>
      <c r="AY676" t="s">
        <v>74</v>
      </c>
      <c r="AZ676" t="s">
        <v>74</v>
      </c>
      <c r="BA676" t="s">
        <v>74</v>
      </c>
      <c r="BB676">
        <v>13029</v>
      </c>
      <c r="BC676">
        <v>13047</v>
      </c>
      <c r="BD676" t="s">
        <v>74</v>
      </c>
      <c r="BE676" t="s">
        <v>13018</v>
      </c>
      <c r="BF676" t="str">
        <f>HYPERLINK("http://dx.doi.org/10.5194/acp-23-13029-2023","http://dx.doi.org/10.5194/acp-23-13029-2023")</f>
        <v>http://dx.doi.org/10.5194/acp-23-13029-2023</v>
      </c>
      <c r="BG676" t="s">
        <v>74</v>
      </c>
      <c r="BH676" t="s">
        <v>74</v>
      </c>
      <c r="BI676">
        <v>19</v>
      </c>
      <c r="BJ676" t="s">
        <v>2382</v>
      </c>
      <c r="BK676" t="s">
        <v>100</v>
      </c>
      <c r="BL676" t="s">
        <v>2383</v>
      </c>
      <c r="BM676" t="s">
        <v>13019</v>
      </c>
      <c r="BN676" t="s">
        <v>74</v>
      </c>
      <c r="BO676" t="s">
        <v>131</v>
      </c>
      <c r="BP676" t="s">
        <v>74</v>
      </c>
      <c r="BQ676" t="s">
        <v>74</v>
      </c>
      <c r="BR676" t="s">
        <v>104</v>
      </c>
      <c r="BS676" t="s">
        <v>13020</v>
      </c>
      <c r="BT676" t="str">
        <f>HYPERLINK("https%3A%2F%2Fwww.webofscience.com%2Fwos%2Fwoscc%2Ffull-record%2FWOS:001162399000001","View Full Record in Web of Science")</f>
        <v>View Full Record in Web of Science</v>
      </c>
    </row>
    <row r="677" spans="1:72" x14ac:dyDescent="0.15">
      <c r="A677" t="s">
        <v>72</v>
      </c>
      <c r="B677" t="s">
        <v>7495</v>
      </c>
      <c r="C677" t="s">
        <v>74</v>
      </c>
      <c r="D677" t="s">
        <v>74</v>
      </c>
      <c r="E677" t="s">
        <v>74</v>
      </c>
      <c r="F677" t="s">
        <v>7496</v>
      </c>
      <c r="G677" t="s">
        <v>74</v>
      </c>
      <c r="H677" t="s">
        <v>74</v>
      </c>
      <c r="I677" t="s">
        <v>13021</v>
      </c>
      <c r="J677" t="s">
        <v>13022</v>
      </c>
      <c r="K677" t="s">
        <v>74</v>
      </c>
      <c r="L677" t="s">
        <v>74</v>
      </c>
      <c r="M677" t="s">
        <v>78</v>
      </c>
      <c r="N677" t="s">
        <v>79</v>
      </c>
      <c r="O677" t="s">
        <v>74</v>
      </c>
      <c r="P677" t="s">
        <v>74</v>
      </c>
      <c r="Q677" t="s">
        <v>74</v>
      </c>
      <c r="R677" t="s">
        <v>74</v>
      </c>
      <c r="S677" t="s">
        <v>74</v>
      </c>
      <c r="T677" t="s">
        <v>13023</v>
      </c>
      <c r="U677" t="s">
        <v>13024</v>
      </c>
      <c r="V677" t="s">
        <v>13025</v>
      </c>
      <c r="W677" t="s">
        <v>13026</v>
      </c>
      <c r="X677" t="s">
        <v>7502</v>
      </c>
      <c r="Y677" t="s">
        <v>13027</v>
      </c>
      <c r="Z677" t="s">
        <v>13028</v>
      </c>
      <c r="AA677" t="s">
        <v>74</v>
      </c>
      <c r="AB677" t="s">
        <v>74</v>
      </c>
      <c r="AC677" t="s">
        <v>13029</v>
      </c>
      <c r="AD677" t="s">
        <v>13030</v>
      </c>
      <c r="AE677" t="s">
        <v>13031</v>
      </c>
      <c r="AF677" t="s">
        <v>74</v>
      </c>
      <c r="AG677">
        <v>69</v>
      </c>
      <c r="AH677">
        <v>0</v>
      </c>
      <c r="AI677">
        <v>0</v>
      </c>
      <c r="AJ677">
        <v>3</v>
      </c>
      <c r="AK677">
        <v>3</v>
      </c>
      <c r="AL677" t="s">
        <v>2529</v>
      </c>
      <c r="AM677" t="s">
        <v>2294</v>
      </c>
      <c r="AN677" t="s">
        <v>2530</v>
      </c>
      <c r="AO677" t="s">
        <v>13032</v>
      </c>
      <c r="AP677" t="s">
        <v>74</v>
      </c>
      <c r="AQ677" t="s">
        <v>74</v>
      </c>
      <c r="AR677" t="s">
        <v>13033</v>
      </c>
      <c r="AS677" t="s">
        <v>13034</v>
      </c>
      <c r="AT677" t="s">
        <v>13000</v>
      </c>
      <c r="AU677">
        <v>2023</v>
      </c>
      <c r="AV677">
        <v>21</v>
      </c>
      <c r="AW677">
        <v>1</v>
      </c>
      <c r="AX677" t="s">
        <v>74</v>
      </c>
      <c r="AY677" t="s">
        <v>74</v>
      </c>
      <c r="AZ677" t="s">
        <v>74</v>
      </c>
      <c r="BA677" t="s">
        <v>74</v>
      </c>
      <c r="BB677" t="s">
        <v>74</v>
      </c>
      <c r="BC677" t="s">
        <v>74</v>
      </c>
      <c r="BD677">
        <v>101</v>
      </c>
      <c r="BE677" t="s">
        <v>13035</v>
      </c>
      <c r="BF677" t="str">
        <f>HYPERLINK("http://dx.doi.org/10.1186/s43141-023-00553-2","http://dx.doi.org/10.1186/s43141-023-00553-2")</f>
        <v>http://dx.doi.org/10.1186/s43141-023-00553-2</v>
      </c>
      <c r="BG677" t="s">
        <v>74</v>
      </c>
      <c r="BH677" t="s">
        <v>74</v>
      </c>
      <c r="BI677">
        <v>11</v>
      </c>
      <c r="BJ677" t="s">
        <v>13036</v>
      </c>
      <c r="BK677" t="s">
        <v>912</v>
      </c>
      <c r="BL677" t="s">
        <v>13037</v>
      </c>
      <c r="BM677" t="s">
        <v>13038</v>
      </c>
      <c r="BN677">
        <v>37843651</v>
      </c>
      <c r="BO677" t="s">
        <v>265</v>
      </c>
      <c r="BP677" t="s">
        <v>74</v>
      </c>
      <c r="BQ677" t="s">
        <v>74</v>
      </c>
      <c r="BR677" t="s">
        <v>104</v>
      </c>
      <c r="BS677" t="s">
        <v>13039</v>
      </c>
      <c r="BT677" t="str">
        <f>HYPERLINK("https%3A%2F%2Fwww.webofscience.com%2Fwos%2Fwoscc%2Ffull-record%2FWOS:001099565700001","View Full Record in Web of Science")</f>
        <v>View Full Record in Web of Science</v>
      </c>
    </row>
    <row r="678" spans="1:72" x14ac:dyDescent="0.15">
      <c r="A678" t="s">
        <v>72</v>
      </c>
      <c r="B678" t="s">
        <v>13040</v>
      </c>
      <c r="C678" t="s">
        <v>74</v>
      </c>
      <c r="D678" t="s">
        <v>74</v>
      </c>
      <c r="E678" t="s">
        <v>74</v>
      </c>
      <c r="F678" t="s">
        <v>13041</v>
      </c>
      <c r="G678" t="s">
        <v>74</v>
      </c>
      <c r="H678" t="s">
        <v>74</v>
      </c>
      <c r="I678" t="s">
        <v>13042</v>
      </c>
      <c r="J678" t="s">
        <v>1746</v>
      </c>
      <c r="K678" t="s">
        <v>74</v>
      </c>
      <c r="L678" t="s">
        <v>74</v>
      </c>
      <c r="M678" t="s">
        <v>78</v>
      </c>
      <c r="N678" t="s">
        <v>79</v>
      </c>
      <c r="O678" t="s">
        <v>74</v>
      </c>
      <c r="P678" t="s">
        <v>74</v>
      </c>
      <c r="Q678" t="s">
        <v>74</v>
      </c>
      <c r="R678" t="s">
        <v>74</v>
      </c>
      <c r="S678" t="s">
        <v>74</v>
      </c>
      <c r="T678" t="s">
        <v>13043</v>
      </c>
      <c r="U678" t="s">
        <v>13044</v>
      </c>
      <c r="V678" t="s">
        <v>13045</v>
      </c>
      <c r="W678" t="s">
        <v>13046</v>
      </c>
      <c r="X678" t="s">
        <v>13047</v>
      </c>
      <c r="Y678" t="s">
        <v>13048</v>
      </c>
      <c r="Z678" t="s">
        <v>13049</v>
      </c>
      <c r="AA678" t="s">
        <v>74</v>
      </c>
      <c r="AB678" t="s">
        <v>74</v>
      </c>
      <c r="AC678" t="s">
        <v>13050</v>
      </c>
      <c r="AD678" t="s">
        <v>13051</v>
      </c>
      <c r="AE678" t="s">
        <v>13052</v>
      </c>
      <c r="AF678" t="s">
        <v>74</v>
      </c>
      <c r="AG678">
        <v>180</v>
      </c>
      <c r="AH678">
        <v>0</v>
      </c>
      <c r="AI678">
        <v>0</v>
      </c>
      <c r="AJ678">
        <v>5</v>
      </c>
      <c r="AK678">
        <v>5</v>
      </c>
      <c r="AL678" t="s">
        <v>1758</v>
      </c>
      <c r="AM678" t="s">
        <v>1759</v>
      </c>
      <c r="AN678" t="s">
        <v>1760</v>
      </c>
      <c r="AO678" t="s">
        <v>74</v>
      </c>
      <c r="AP678" t="s">
        <v>1761</v>
      </c>
      <c r="AQ678" t="s">
        <v>74</v>
      </c>
      <c r="AR678" t="s">
        <v>1762</v>
      </c>
      <c r="AS678" t="s">
        <v>1763</v>
      </c>
      <c r="AT678" t="s">
        <v>13000</v>
      </c>
      <c r="AU678">
        <v>2023</v>
      </c>
      <c r="AV678">
        <v>10</v>
      </c>
      <c r="AW678" t="s">
        <v>74</v>
      </c>
      <c r="AX678" t="s">
        <v>74</v>
      </c>
      <c r="AY678" t="s">
        <v>74</v>
      </c>
      <c r="AZ678" t="s">
        <v>74</v>
      </c>
      <c r="BA678" t="s">
        <v>74</v>
      </c>
      <c r="BB678" t="s">
        <v>74</v>
      </c>
      <c r="BC678" t="s">
        <v>74</v>
      </c>
      <c r="BD678">
        <v>1215048</v>
      </c>
      <c r="BE678" t="s">
        <v>13053</v>
      </c>
      <c r="BF678" t="str">
        <f>HYPERLINK("http://dx.doi.org/10.3389/fmars.2023.1215048","http://dx.doi.org/10.3389/fmars.2023.1215048")</f>
        <v>http://dx.doi.org/10.3389/fmars.2023.1215048</v>
      </c>
      <c r="BG678" t="s">
        <v>74</v>
      </c>
      <c r="BH678" t="s">
        <v>74</v>
      </c>
      <c r="BI678">
        <v>17</v>
      </c>
      <c r="BJ678" t="s">
        <v>1135</v>
      </c>
      <c r="BK678" t="s">
        <v>100</v>
      </c>
      <c r="BL678" t="s">
        <v>1136</v>
      </c>
      <c r="BM678" t="s">
        <v>13054</v>
      </c>
      <c r="BN678" t="s">
        <v>74</v>
      </c>
      <c r="BO678" t="s">
        <v>131</v>
      </c>
      <c r="BP678" t="s">
        <v>74</v>
      </c>
      <c r="BQ678" t="s">
        <v>74</v>
      </c>
      <c r="BR678" t="s">
        <v>104</v>
      </c>
      <c r="BS678" t="s">
        <v>13055</v>
      </c>
      <c r="BT678" t="str">
        <f>HYPERLINK("https%3A%2F%2Fwww.webofscience.com%2Fwos%2Fwoscc%2Ffull-record%2FWOS:001098270200001","View Full Record in Web of Science")</f>
        <v>View Full Record in Web of Science</v>
      </c>
    </row>
    <row r="679" spans="1:72" x14ac:dyDescent="0.15">
      <c r="A679" t="s">
        <v>72</v>
      </c>
      <c r="B679" t="s">
        <v>13056</v>
      </c>
      <c r="C679" t="s">
        <v>74</v>
      </c>
      <c r="D679" t="s">
        <v>74</v>
      </c>
      <c r="E679" t="s">
        <v>74</v>
      </c>
      <c r="F679" t="s">
        <v>13057</v>
      </c>
      <c r="G679" t="s">
        <v>74</v>
      </c>
      <c r="H679" t="s">
        <v>74</v>
      </c>
      <c r="I679" t="s">
        <v>13058</v>
      </c>
      <c r="J679" t="s">
        <v>2646</v>
      </c>
      <c r="K679" t="s">
        <v>74</v>
      </c>
      <c r="L679" t="s">
        <v>74</v>
      </c>
      <c r="M679" t="s">
        <v>78</v>
      </c>
      <c r="N679" t="s">
        <v>3749</v>
      </c>
      <c r="O679" t="s">
        <v>74</v>
      </c>
      <c r="P679" t="s">
        <v>74</v>
      </c>
      <c r="Q679" t="s">
        <v>74</v>
      </c>
      <c r="R679" t="s">
        <v>74</v>
      </c>
      <c r="S679" t="s">
        <v>74</v>
      </c>
      <c r="T679" t="s">
        <v>13059</v>
      </c>
      <c r="U679" t="s">
        <v>74</v>
      </c>
      <c r="V679" t="s">
        <v>13060</v>
      </c>
      <c r="W679" t="s">
        <v>13061</v>
      </c>
      <c r="X679" t="s">
        <v>13062</v>
      </c>
      <c r="Y679" t="s">
        <v>13063</v>
      </c>
      <c r="Z679" t="s">
        <v>13064</v>
      </c>
      <c r="AA679" t="s">
        <v>74</v>
      </c>
      <c r="AB679" t="s">
        <v>13065</v>
      </c>
      <c r="AC679" t="s">
        <v>13066</v>
      </c>
      <c r="AD679" t="s">
        <v>13066</v>
      </c>
      <c r="AE679" t="s">
        <v>13067</v>
      </c>
      <c r="AF679" t="s">
        <v>74</v>
      </c>
      <c r="AG679">
        <v>19</v>
      </c>
      <c r="AH679">
        <v>0</v>
      </c>
      <c r="AI679">
        <v>0</v>
      </c>
      <c r="AJ679">
        <v>2</v>
      </c>
      <c r="AK679">
        <v>2</v>
      </c>
      <c r="AL679" t="s">
        <v>947</v>
      </c>
      <c r="AM679" t="s">
        <v>948</v>
      </c>
      <c r="AN679" t="s">
        <v>949</v>
      </c>
      <c r="AO679" t="s">
        <v>2659</v>
      </c>
      <c r="AP679" t="s">
        <v>74</v>
      </c>
      <c r="AQ679" t="s">
        <v>74</v>
      </c>
      <c r="AR679" t="s">
        <v>2660</v>
      </c>
      <c r="AS679" t="s">
        <v>2661</v>
      </c>
      <c r="AT679" t="s">
        <v>1947</v>
      </c>
      <c r="AU679">
        <v>2023</v>
      </c>
      <c r="AV679">
        <v>51</v>
      </c>
      <c r="AW679" t="s">
        <v>74</v>
      </c>
      <c r="AX679" t="s">
        <v>74</v>
      </c>
      <c r="AY679" t="s">
        <v>74</v>
      </c>
      <c r="AZ679" t="s">
        <v>74</v>
      </c>
      <c r="BA679" t="s">
        <v>74</v>
      </c>
      <c r="BB679" t="s">
        <v>74</v>
      </c>
      <c r="BC679" t="s">
        <v>74</v>
      </c>
      <c r="BD679">
        <v>109657</v>
      </c>
      <c r="BE679" t="s">
        <v>13068</v>
      </c>
      <c r="BF679" t="str">
        <f>HYPERLINK("http://dx.doi.org/10.1016/j.dib.2023.109657","http://dx.doi.org/10.1016/j.dib.2023.109657")</f>
        <v>http://dx.doi.org/10.1016/j.dib.2023.109657</v>
      </c>
      <c r="BG679" t="s">
        <v>74</v>
      </c>
      <c r="BH679" t="s">
        <v>11428</v>
      </c>
      <c r="BI679">
        <v>11</v>
      </c>
      <c r="BJ679" t="s">
        <v>1035</v>
      </c>
      <c r="BK679" t="s">
        <v>912</v>
      </c>
      <c r="BL679" t="s">
        <v>1036</v>
      </c>
      <c r="BM679" t="s">
        <v>13069</v>
      </c>
      <c r="BN679">
        <v>37876741</v>
      </c>
      <c r="BO679" t="s">
        <v>9546</v>
      </c>
      <c r="BP679" t="s">
        <v>74</v>
      </c>
      <c r="BQ679" t="s">
        <v>74</v>
      </c>
      <c r="BR679" t="s">
        <v>104</v>
      </c>
      <c r="BS679" t="s">
        <v>13070</v>
      </c>
      <c r="BT679" t="str">
        <f>HYPERLINK("https%3A%2F%2Fwww.webofscience.com%2Fwos%2Fwoscc%2Ffull-record%2FWOS:001096800500001","View Full Record in Web of Science")</f>
        <v>View Full Record in Web of Science</v>
      </c>
    </row>
    <row r="680" spans="1:72" x14ac:dyDescent="0.15">
      <c r="A680" t="s">
        <v>72</v>
      </c>
      <c r="B680" t="s">
        <v>13071</v>
      </c>
      <c r="C680" t="s">
        <v>74</v>
      </c>
      <c r="D680" t="s">
        <v>74</v>
      </c>
      <c r="E680" t="s">
        <v>74</v>
      </c>
      <c r="F680" t="s">
        <v>13072</v>
      </c>
      <c r="G680" t="s">
        <v>74</v>
      </c>
      <c r="H680" t="s">
        <v>74</v>
      </c>
      <c r="I680" t="s">
        <v>13073</v>
      </c>
      <c r="J680" t="s">
        <v>13074</v>
      </c>
      <c r="K680" t="s">
        <v>74</v>
      </c>
      <c r="L680" t="s">
        <v>74</v>
      </c>
      <c r="M680" t="s">
        <v>78</v>
      </c>
      <c r="N680" t="s">
        <v>79</v>
      </c>
      <c r="O680" t="s">
        <v>74</v>
      </c>
      <c r="P680" t="s">
        <v>74</v>
      </c>
      <c r="Q680" t="s">
        <v>74</v>
      </c>
      <c r="R680" t="s">
        <v>74</v>
      </c>
      <c r="S680" t="s">
        <v>74</v>
      </c>
      <c r="T680" t="s">
        <v>74</v>
      </c>
      <c r="U680" t="s">
        <v>13075</v>
      </c>
      <c r="V680" t="s">
        <v>13076</v>
      </c>
      <c r="W680" t="s">
        <v>13077</v>
      </c>
      <c r="X680" t="s">
        <v>13078</v>
      </c>
      <c r="Y680" t="s">
        <v>13079</v>
      </c>
      <c r="Z680" t="s">
        <v>13080</v>
      </c>
      <c r="AA680" t="s">
        <v>13081</v>
      </c>
      <c r="AB680" t="s">
        <v>13082</v>
      </c>
      <c r="AC680" t="s">
        <v>13083</v>
      </c>
      <c r="AD680" t="s">
        <v>13083</v>
      </c>
      <c r="AE680" t="s">
        <v>13084</v>
      </c>
      <c r="AF680" t="s">
        <v>74</v>
      </c>
      <c r="AG680">
        <v>81</v>
      </c>
      <c r="AH680">
        <v>0</v>
      </c>
      <c r="AI680">
        <v>0</v>
      </c>
      <c r="AJ680">
        <v>3</v>
      </c>
      <c r="AK680">
        <v>3</v>
      </c>
      <c r="AL680" t="s">
        <v>13085</v>
      </c>
      <c r="AM680" t="s">
        <v>2294</v>
      </c>
      <c r="AN680" t="s">
        <v>13086</v>
      </c>
      <c r="AO680" t="s">
        <v>13087</v>
      </c>
      <c r="AP680" t="s">
        <v>13088</v>
      </c>
      <c r="AQ680" t="s">
        <v>74</v>
      </c>
      <c r="AR680" t="s">
        <v>13089</v>
      </c>
      <c r="AS680" t="s">
        <v>13090</v>
      </c>
      <c r="AT680" t="s">
        <v>13000</v>
      </c>
      <c r="AU680">
        <v>2023</v>
      </c>
      <c r="AV680">
        <v>2023</v>
      </c>
      <c r="AW680" t="s">
        <v>74</v>
      </c>
      <c r="AX680" t="s">
        <v>74</v>
      </c>
      <c r="AY680" t="s">
        <v>74</v>
      </c>
      <c r="AZ680" t="s">
        <v>74</v>
      </c>
      <c r="BA680" t="s">
        <v>74</v>
      </c>
      <c r="BB680" t="s">
        <v>74</v>
      </c>
      <c r="BC680" t="s">
        <v>74</v>
      </c>
      <c r="BD680">
        <v>5532962</v>
      </c>
      <c r="BE680" t="s">
        <v>13091</v>
      </c>
      <c r="BF680" t="str">
        <f>HYPERLINK("http://dx.doi.org/10.1155/2023/5532962","http://dx.doi.org/10.1155/2023/5532962")</f>
        <v>http://dx.doi.org/10.1155/2023/5532962</v>
      </c>
      <c r="BG680" t="s">
        <v>74</v>
      </c>
      <c r="BH680" t="s">
        <v>74</v>
      </c>
      <c r="BI680">
        <v>14</v>
      </c>
      <c r="BJ680" t="s">
        <v>13092</v>
      </c>
      <c r="BK680" t="s">
        <v>912</v>
      </c>
      <c r="BL680" t="s">
        <v>13092</v>
      </c>
      <c r="BM680" t="s">
        <v>13093</v>
      </c>
      <c r="BN680">
        <v>37876836</v>
      </c>
      <c r="BO680" t="s">
        <v>200</v>
      </c>
      <c r="BP680" t="s">
        <v>74</v>
      </c>
      <c r="BQ680" t="s">
        <v>74</v>
      </c>
      <c r="BR680" t="s">
        <v>104</v>
      </c>
      <c r="BS680" t="s">
        <v>13094</v>
      </c>
      <c r="BT680" t="str">
        <f>HYPERLINK("https%3A%2F%2Fwww.webofscience.com%2Fwos%2Fwoscc%2Ffull-record%2FWOS:001093489400001","View Full Record in Web of Science")</f>
        <v>View Full Record in Web of Science</v>
      </c>
    </row>
    <row r="681" spans="1:72" x14ac:dyDescent="0.15">
      <c r="A681" t="s">
        <v>72</v>
      </c>
      <c r="B681" t="s">
        <v>13095</v>
      </c>
      <c r="C681" t="s">
        <v>74</v>
      </c>
      <c r="D681" t="s">
        <v>74</v>
      </c>
      <c r="E681" t="s">
        <v>74</v>
      </c>
      <c r="F681" t="s">
        <v>13096</v>
      </c>
      <c r="G681" t="s">
        <v>74</v>
      </c>
      <c r="H681" t="s">
        <v>74</v>
      </c>
      <c r="I681" t="s">
        <v>13097</v>
      </c>
      <c r="J681" t="s">
        <v>13098</v>
      </c>
      <c r="K681" t="s">
        <v>74</v>
      </c>
      <c r="L681" t="s">
        <v>74</v>
      </c>
      <c r="M681" t="s">
        <v>78</v>
      </c>
      <c r="N681" t="s">
        <v>1547</v>
      </c>
      <c r="O681" t="s">
        <v>74</v>
      </c>
      <c r="P681" t="s">
        <v>74</v>
      </c>
      <c r="Q681" t="s">
        <v>74</v>
      </c>
      <c r="R681" t="s">
        <v>74</v>
      </c>
      <c r="S681" t="s">
        <v>74</v>
      </c>
      <c r="T681" t="s">
        <v>13099</v>
      </c>
      <c r="U681" t="s">
        <v>13100</v>
      </c>
      <c r="V681" t="s">
        <v>13101</v>
      </c>
      <c r="W681" t="s">
        <v>13102</v>
      </c>
      <c r="X681" t="s">
        <v>13103</v>
      </c>
      <c r="Y681" t="s">
        <v>13104</v>
      </c>
      <c r="Z681" t="s">
        <v>13105</v>
      </c>
      <c r="AA681" t="s">
        <v>13106</v>
      </c>
      <c r="AB681" t="s">
        <v>74</v>
      </c>
      <c r="AC681" t="s">
        <v>13107</v>
      </c>
      <c r="AD681" t="s">
        <v>13108</v>
      </c>
      <c r="AE681" t="s">
        <v>13109</v>
      </c>
      <c r="AF681" t="s">
        <v>74</v>
      </c>
      <c r="AG681">
        <v>29</v>
      </c>
      <c r="AH681">
        <v>0</v>
      </c>
      <c r="AI681">
        <v>0</v>
      </c>
      <c r="AJ681">
        <v>3</v>
      </c>
      <c r="AK681">
        <v>3</v>
      </c>
      <c r="AL681" t="s">
        <v>10494</v>
      </c>
      <c r="AM681" t="s">
        <v>1209</v>
      </c>
      <c r="AN681" t="s">
        <v>10495</v>
      </c>
      <c r="AO681" t="s">
        <v>13110</v>
      </c>
      <c r="AP681" t="s">
        <v>74</v>
      </c>
      <c r="AQ681" t="s">
        <v>74</v>
      </c>
      <c r="AR681" t="s">
        <v>13111</v>
      </c>
      <c r="AS681" t="s">
        <v>13112</v>
      </c>
      <c r="AT681" t="s">
        <v>13113</v>
      </c>
      <c r="AU681">
        <v>2023</v>
      </c>
      <c r="AV681" t="s">
        <v>74</v>
      </c>
      <c r="AW681" t="s">
        <v>74</v>
      </c>
      <c r="AX681" t="s">
        <v>74</v>
      </c>
      <c r="AY681" t="s">
        <v>74</v>
      </c>
      <c r="AZ681" t="s">
        <v>74</v>
      </c>
      <c r="BA681" t="s">
        <v>74</v>
      </c>
      <c r="BB681" t="s">
        <v>74</v>
      </c>
      <c r="BC681" t="s">
        <v>74</v>
      </c>
      <c r="BD681" t="s">
        <v>74</v>
      </c>
      <c r="BE681" t="s">
        <v>13114</v>
      </c>
      <c r="BF681" t="str">
        <f>HYPERLINK("http://dx.doi.org/10.1021/acsearthspacechem.3c00229","http://dx.doi.org/10.1021/acsearthspacechem.3c00229")</f>
        <v>http://dx.doi.org/10.1021/acsearthspacechem.3c00229</v>
      </c>
      <c r="BG681" t="s">
        <v>74</v>
      </c>
      <c r="BH681" t="s">
        <v>11428</v>
      </c>
      <c r="BI681">
        <v>6</v>
      </c>
      <c r="BJ681" t="s">
        <v>13115</v>
      </c>
      <c r="BK681" t="s">
        <v>100</v>
      </c>
      <c r="BL681" t="s">
        <v>13116</v>
      </c>
      <c r="BM681" t="s">
        <v>13117</v>
      </c>
      <c r="BN681" t="s">
        <v>74</v>
      </c>
      <c r="BO681" t="s">
        <v>74</v>
      </c>
      <c r="BP681" t="s">
        <v>74</v>
      </c>
      <c r="BQ681" t="s">
        <v>74</v>
      </c>
      <c r="BR681" t="s">
        <v>104</v>
      </c>
      <c r="BS681" t="s">
        <v>13118</v>
      </c>
      <c r="BT681" t="str">
        <f>HYPERLINK("https%3A%2F%2Fwww.webofscience.com%2Fwos%2Fwoscc%2Ffull-record%2FWOS:001092773100001","View Full Record in Web of Science")</f>
        <v>View Full Record in Web of Science</v>
      </c>
    </row>
    <row r="682" spans="1:72" x14ac:dyDescent="0.15">
      <c r="A682" t="s">
        <v>72</v>
      </c>
      <c r="B682" t="s">
        <v>13119</v>
      </c>
      <c r="C682" t="s">
        <v>74</v>
      </c>
      <c r="D682" t="s">
        <v>74</v>
      </c>
      <c r="E682" t="s">
        <v>74</v>
      </c>
      <c r="F682" t="s">
        <v>13120</v>
      </c>
      <c r="G682" t="s">
        <v>74</v>
      </c>
      <c r="H682" t="s">
        <v>74</v>
      </c>
      <c r="I682" t="s">
        <v>13121</v>
      </c>
      <c r="J682" t="s">
        <v>13122</v>
      </c>
      <c r="K682" t="s">
        <v>74</v>
      </c>
      <c r="L682" t="s">
        <v>74</v>
      </c>
      <c r="M682" t="s">
        <v>78</v>
      </c>
      <c r="N682" t="s">
        <v>3749</v>
      </c>
      <c r="O682" t="s">
        <v>74</v>
      </c>
      <c r="P682" t="s">
        <v>74</v>
      </c>
      <c r="Q682" t="s">
        <v>74</v>
      </c>
      <c r="R682" t="s">
        <v>74</v>
      </c>
      <c r="S682" t="s">
        <v>74</v>
      </c>
      <c r="T682" t="s">
        <v>13123</v>
      </c>
      <c r="U682" t="s">
        <v>13124</v>
      </c>
      <c r="V682" t="s">
        <v>74</v>
      </c>
      <c r="W682" t="s">
        <v>13125</v>
      </c>
      <c r="X682" t="s">
        <v>13126</v>
      </c>
      <c r="Y682" t="s">
        <v>13127</v>
      </c>
      <c r="Z682" t="s">
        <v>13128</v>
      </c>
      <c r="AA682" t="s">
        <v>74</v>
      </c>
      <c r="AB682" t="s">
        <v>74</v>
      </c>
      <c r="AC682" t="s">
        <v>13129</v>
      </c>
      <c r="AD682" t="s">
        <v>13130</v>
      </c>
      <c r="AE682" t="s">
        <v>13131</v>
      </c>
      <c r="AF682" t="s">
        <v>74</v>
      </c>
      <c r="AG682">
        <v>60</v>
      </c>
      <c r="AH682">
        <v>0</v>
      </c>
      <c r="AI682">
        <v>0</v>
      </c>
      <c r="AJ682">
        <v>0</v>
      </c>
      <c r="AK682">
        <v>0</v>
      </c>
      <c r="AL682" t="s">
        <v>1758</v>
      </c>
      <c r="AM682" t="s">
        <v>1759</v>
      </c>
      <c r="AN682" t="s">
        <v>1760</v>
      </c>
      <c r="AO682" t="s">
        <v>13132</v>
      </c>
      <c r="AP682" t="s">
        <v>74</v>
      </c>
      <c r="AQ682" t="s">
        <v>74</v>
      </c>
      <c r="AR682" t="s">
        <v>13133</v>
      </c>
      <c r="AS682" t="s">
        <v>13134</v>
      </c>
      <c r="AT682" t="s">
        <v>13000</v>
      </c>
      <c r="AU682">
        <v>2023</v>
      </c>
      <c r="AV682">
        <v>11</v>
      </c>
      <c r="AW682" t="s">
        <v>74</v>
      </c>
      <c r="AX682" t="s">
        <v>74</v>
      </c>
      <c r="AY682" t="s">
        <v>74</v>
      </c>
      <c r="AZ682" t="s">
        <v>74</v>
      </c>
      <c r="BA682" t="s">
        <v>74</v>
      </c>
      <c r="BB682" t="s">
        <v>74</v>
      </c>
      <c r="BC682" t="s">
        <v>74</v>
      </c>
      <c r="BD682">
        <v>1257705</v>
      </c>
      <c r="BE682" t="s">
        <v>13135</v>
      </c>
      <c r="BF682" t="str">
        <f>HYPERLINK("http://dx.doi.org/10.3389/fbioe.2023.1257705","http://dx.doi.org/10.3389/fbioe.2023.1257705")</f>
        <v>http://dx.doi.org/10.3389/fbioe.2023.1257705</v>
      </c>
      <c r="BG682" t="s">
        <v>74</v>
      </c>
      <c r="BH682" t="s">
        <v>74</v>
      </c>
      <c r="BI682">
        <v>7</v>
      </c>
      <c r="BJ682" t="s">
        <v>13136</v>
      </c>
      <c r="BK682" t="s">
        <v>100</v>
      </c>
      <c r="BL682" t="s">
        <v>13137</v>
      </c>
      <c r="BM682" t="s">
        <v>13138</v>
      </c>
      <c r="BN682">
        <v>37908375</v>
      </c>
      <c r="BO682" t="s">
        <v>200</v>
      </c>
      <c r="BP682" t="s">
        <v>74</v>
      </c>
      <c r="BQ682" t="s">
        <v>74</v>
      </c>
      <c r="BR682" t="s">
        <v>104</v>
      </c>
      <c r="BS682" t="s">
        <v>13139</v>
      </c>
      <c r="BT682" t="str">
        <f>HYPERLINK("https%3A%2F%2Fwww.webofscience.com%2Fwos%2Fwoscc%2Ffull-record%2FWOS:001092378600001","View Full Record in Web of Science")</f>
        <v>View Full Record in Web of Science</v>
      </c>
    </row>
    <row r="683" spans="1:72" x14ac:dyDescent="0.15">
      <c r="A683" t="s">
        <v>72</v>
      </c>
      <c r="B683" t="s">
        <v>13140</v>
      </c>
      <c r="C683" t="s">
        <v>74</v>
      </c>
      <c r="D683" t="s">
        <v>74</v>
      </c>
      <c r="E683" t="s">
        <v>74</v>
      </c>
      <c r="F683" t="s">
        <v>13141</v>
      </c>
      <c r="G683" t="s">
        <v>74</v>
      </c>
      <c r="H683" t="s">
        <v>74</v>
      </c>
      <c r="I683" t="s">
        <v>13142</v>
      </c>
      <c r="J683" t="s">
        <v>4870</v>
      </c>
      <c r="K683" t="s">
        <v>74</v>
      </c>
      <c r="L683" t="s">
        <v>74</v>
      </c>
      <c r="M683" t="s">
        <v>78</v>
      </c>
      <c r="N683" t="s">
        <v>79</v>
      </c>
      <c r="O683" t="s">
        <v>74</v>
      </c>
      <c r="P683" t="s">
        <v>74</v>
      </c>
      <c r="Q683" t="s">
        <v>74</v>
      </c>
      <c r="R683" t="s">
        <v>74</v>
      </c>
      <c r="S683" t="s">
        <v>74</v>
      </c>
      <c r="T683" t="s">
        <v>74</v>
      </c>
      <c r="U683" t="s">
        <v>13143</v>
      </c>
      <c r="V683" t="s">
        <v>13144</v>
      </c>
      <c r="W683" t="s">
        <v>13145</v>
      </c>
      <c r="X683" t="s">
        <v>13146</v>
      </c>
      <c r="Y683" t="s">
        <v>13147</v>
      </c>
      <c r="Z683" t="s">
        <v>13148</v>
      </c>
      <c r="AA683" t="s">
        <v>13149</v>
      </c>
      <c r="AB683" t="s">
        <v>13150</v>
      </c>
      <c r="AC683" t="s">
        <v>13151</v>
      </c>
      <c r="AD683" t="s">
        <v>13152</v>
      </c>
      <c r="AE683" t="s">
        <v>13153</v>
      </c>
      <c r="AF683" t="s">
        <v>74</v>
      </c>
      <c r="AG683">
        <v>81</v>
      </c>
      <c r="AH683">
        <v>0</v>
      </c>
      <c r="AI683">
        <v>0</v>
      </c>
      <c r="AJ683">
        <v>20</v>
      </c>
      <c r="AK683">
        <v>20</v>
      </c>
      <c r="AL683" t="s">
        <v>3057</v>
      </c>
      <c r="AM683" t="s">
        <v>3058</v>
      </c>
      <c r="AN683" t="s">
        <v>3059</v>
      </c>
      <c r="AO683" t="s">
        <v>4881</v>
      </c>
      <c r="AP683" t="s">
        <v>4882</v>
      </c>
      <c r="AQ683" t="s">
        <v>74</v>
      </c>
      <c r="AR683" t="s">
        <v>4883</v>
      </c>
      <c r="AS683" t="s">
        <v>4884</v>
      </c>
      <c r="AT683" t="s">
        <v>4525</v>
      </c>
      <c r="AU683">
        <v>2023</v>
      </c>
      <c r="AV683">
        <v>16</v>
      </c>
      <c r="AW683">
        <v>11</v>
      </c>
      <c r="AX683" t="s">
        <v>74</v>
      </c>
      <c r="AY683" t="s">
        <v>74</v>
      </c>
      <c r="AZ683" t="s">
        <v>74</v>
      </c>
      <c r="BA683" t="s">
        <v>74</v>
      </c>
      <c r="BB683">
        <v>1014</v>
      </c>
      <c r="BC683" t="s">
        <v>4088</v>
      </c>
      <c r="BD683" t="s">
        <v>74</v>
      </c>
      <c r="BE683" t="s">
        <v>13154</v>
      </c>
      <c r="BF683" t="str">
        <f>HYPERLINK("http://dx.doi.org/10.1038/s41561-023-01292-2","http://dx.doi.org/10.1038/s41561-023-01292-2")</f>
        <v>http://dx.doi.org/10.1038/s41561-023-01292-2</v>
      </c>
      <c r="BG683" t="s">
        <v>74</v>
      </c>
      <c r="BH683" t="s">
        <v>11428</v>
      </c>
      <c r="BI683">
        <v>14</v>
      </c>
      <c r="BJ683" t="s">
        <v>535</v>
      </c>
      <c r="BK683" t="s">
        <v>100</v>
      </c>
      <c r="BL683" t="s">
        <v>536</v>
      </c>
      <c r="BM683" t="s">
        <v>13155</v>
      </c>
      <c r="BN683" t="s">
        <v>74</v>
      </c>
      <c r="BO683" t="s">
        <v>74</v>
      </c>
      <c r="BP683" t="s">
        <v>74</v>
      </c>
      <c r="BQ683" t="s">
        <v>74</v>
      </c>
      <c r="BR683" t="s">
        <v>104</v>
      </c>
      <c r="BS683" t="s">
        <v>13156</v>
      </c>
      <c r="BT683" t="str">
        <f>HYPERLINK("https%3A%2F%2Fwww.webofscience.com%2Fwos%2Fwoscc%2Ffull-record%2FWOS:001086641700001","View Full Record in Web of Science")</f>
        <v>View Full Record in Web of Science</v>
      </c>
    </row>
    <row r="684" spans="1:72" x14ac:dyDescent="0.15">
      <c r="A684" t="s">
        <v>72</v>
      </c>
      <c r="B684" t="s">
        <v>13157</v>
      </c>
      <c r="C684" t="s">
        <v>74</v>
      </c>
      <c r="D684" t="s">
        <v>74</v>
      </c>
      <c r="E684" t="s">
        <v>74</v>
      </c>
      <c r="F684" t="s">
        <v>13158</v>
      </c>
      <c r="G684" t="s">
        <v>74</v>
      </c>
      <c r="H684" t="s">
        <v>74</v>
      </c>
      <c r="I684" t="s">
        <v>13159</v>
      </c>
      <c r="J684" t="s">
        <v>13160</v>
      </c>
      <c r="K684" t="s">
        <v>74</v>
      </c>
      <c r="L684" t="s">
        <v>74</v>
      </c>
      <c r="M684" t="s">
        <v>78</v>
      </c>
      <c r="N684" t="s">
        <v>79</v>
      </c>
      <c r="O684" t="s">
        <v>74</v>
      </c>
      <c r="P684" t="s">
        <v>74</v>
      </c>
      <c r="Q684" t="s">
        <v>74</v>
      </c>
      <c r="R684" t="s">
        <v>74</v>
      </c>
      <c r="S684" t="s">
        <v>74</v>
      </c>
      <c r="T684" t="s">
        <v>13161</v>
      </c>
      <c r="U684" t="s">
        <v>13162</v>
      </c>
      <c r="V684" t="s">
        <v>13163</v>
      </c>
      <c r="W684" t="s">
        <v>13164</v>
      </c>
      <c r="X684" t="s">
        <v>13165</v>
      </c>
      <c r="Y684" t="s">
        <v>13166</v>
      </c>
      <c r="Z684" t="s">
        <v>13167</v>
      </c>
      <c r="AA684" t="s">
        <v>13168</v>
      </c>
      <c r="AB684" t="s">
        <v>13169</v>
      </c>
      <c r="AC684" t="s">
        <v>13170</v>
      </c>
      <c r="AD684" t="s">
        <v>13171</v>
      </c>
      <c r="AE684" t="s">
        <v>13172</v>
      </c>
      <c r="AF684" t="s">
        <v>74</v>
      </c>
      <c r="AG684">
        <v>103</v>
      </c>
      <c r="AH684">
        <v>1</v>
      </c>
      <c r="AI684">
        <v>1</v>
      </c>
      <c r="AJ684">
        <v>4</v>
      </c>
      <c r="AK684">
        <v>4</v>
      </c>
      <c r="AL684" t="s">
        <v>3812</v>
      </c>
      <c r="AM684" t="s">
        <v>3813</v>
      </c>
      <c r="AN684" t="s">
        <v>3814</v>
      </c>
      <c r="AO684" t="s">
        <v>13173</v>
      </c>
      <c r="AP684" t="s">
        <v>13174</v>
      </c>
      <c r="AQ684" t="s">
        <v>74</v>
      </c>
      <c r="AR684" t="s">
        <v>13175</v>
      </c>
      <c r="AS684" t="s">
        <v>13176</v>
      </c>
      <c r="AT684" t="s">
        <v>954</v>
      </c>
      <c r="AU684">
        <v>2024</v>
      </c>
      <c r="AV684">
        <v>69</v>
      </c>
      <c r="AW684">
        <v>1</v>
      </c>
      <c r="AX684" t="s">
        <v>74</v>
      </c>
      <c r="AY684" t="s">
        <v>74</v>
      </c>
      <c r="AZ684" t="s">
        <v>74</v>
      </c>
      <c r="BA684" t="s">
        <v>74</v>
      </c>
      <c r="BB684">
        <v>71</v>
      </c>
      <c r="BC684">
        <v>87</v>
      </c>
      <c r="BD684" t="s">
        <v>74</v>
      </c>
      <c r="BE684" t="s">
        <v>13177</v>
      </c>
      <c r="BF684" t="str">
        <f>HYPERLINK("http://dx.doi.org/10.1007/s13364-023-00717-y","http://dx.doi.org/10.1007/s13364-023-00717-y")</f>
        <v>http://dx.doi.org/10.1007/s13364-023-00717-y</v>
      </c>
      <c r="BG684" t="s">
        <v>74</v>
      </c>
      <c r="BH684" t="s">
        <v>11428</v>
      </c>
      <c r="BI684">
        <v>17</v>
      </c>
      <c r="BJ684" t="s">
        <v>1568</v>
      </c>
      <c r="BK684" t="s">
        <v>100</v>
      </c>
      <c r="BL684" t="s">
        <v>1568</v>
      </c>
      <c r="BM684" t="s">
        <v>13178</v>
      </c>
      <c r="BN684" t="s">
        <v>74</v>
      </c>
      <c r="BO684" t="s">
        <v>74</v>
      </c>
      <c r="BP684" t="s">
        <v>74</v>
      </c>
      <c r="BQ684" t="s">
        <v>74</v>
      </c>
      <c r="BR684" t="s">
        <v>104</v>
      </c>
      <c r="BS684" t="s">
        <v>13179</v>
      </c>
      <c r="BT684" t="str">
        <f>HYPERLINK("https%3A%2F%2Fwww.webofscience.com%2Fwos%2Fwoscc%2Ffull-record%2FWOS:001086700000001","View Full Record in Web of Science")</f>
        <v>View Full Record in Web of Science</v>
      </c>
    </row>
    <row r="685" spans="1:72" x14ac:dyDescent="0.15">
      <c r="A685" t="s">
        <v>72</v>
      </c>
      <c r="B685" t="s">
        <v>13180</v>
      </c>
      <c r="C685" t="s">
        <v>74</v>
      </c>
      <c r="D685" t="s">
        <v>74</v>
      </c>
      <c r="E685" t="s">
        <v>74</v>
      </c>
      <c r="F685" t="s">
        <v>13181</v>
      </c>
      <c r="G685" t="s">
        <v>74</v>
      </c>
      <c r="H685" t="s">
        <v>74</v>
      </c>
      <c r="I685" t="s">
        <v>13182</v>
      </c>
      <c r="J685" t="s">
        <v>13183</v>
      </c>
      <c r="K685" t="s">
        <v>74</v>
      </c>
      <c r="L685" t="s">
        <v>74</v>
      </c>
      <c r="M685" t="s">
        <v>78</v>
      </c>
      <c r="N685" t="s">
        <v>79</v>
      </c>
      <c r="O685" t="s">
        <v>74</v>
      </c>
      <c r="P685" t="s">
        <v>74</v>
      </c>
      <c r="Q685" t="s">
        <v>74</v>
      </c>
      <c r="R685" t="s">
        <v>74</v>
      </c>
      <c r="S685" t="s">
        <v>74</v>
      </c>
      <c r="T685" t="s">
        <v>13184</v>
      </c>
      <c r="U685" t="s">
        <v>13185</v>
      </c>
      <c r="V685" t="s">
        <v>13186</v>
      </c>
      <c r="W685" t="s">
        <v>13187</v>
      </c>
      <c r="X685" t="s">
        <v>13188</v>
      </c>
      <c r="Y685" t="s">
        <v>13189</v>
      </c>
      <c r="Z685" t="s">
        <v>9681</v>
      </c>
      <c r="AA685" t="s">
        <v>9682</v>
      </c>
      <c r="AB685" t="s">
        <v>13190</v>
      </c>
      <c r="AC685" t="s">
        <v>13191</v>
      </c>
      <c r="AD685" t="s">
        <v>13192</v>
      </c>
      <c r="AE685" t="s">
        <v>13193</v>
      </c>
      <c r="AF685" t="s">
        <v>74</v>
      </c>
      <c r="AG685">
        <v>56</v>
      </c>
      <c r="AH685">
        <v>1</v>
      </c>
      <c r="AI685">
        <v>1</v>
      </c>
      <c r="AJ685">
        <v>5</v>
      </c>
      <c r="AK685">
        <v>5</v>
      </c>
      <c r="AL685" t="s">
        <v>1101</v>
      </c>
      <c r="AM685" t="s">
        <v>1102</v>
      </c>
      <c r="AN685" t="s">
        <v>1103</v>
      </c>
      <c r="AO685" t="s">
        <v>13194</v>
      </c>
      <c r="AP685" t="s">
        <v>13195</v>
      </c>
      <c r="AQ685" t="s">
        <v>74</v>
      </c>
      <c r="AR685" t="s">
        <v>13196</v>
      </c>
      <c r="AS685" t="s">
        <v>13197</v>
      </c>
      <c r="AT685" t="s">
        <v>10415</v>
      </c>
      <c r="AU685">
        <v>2023</v>
      </c>
      <c r="AV685">
        <v>149</v>
      </c>
      <c r="AW685">
        <v>757</v>
      </c>
      <c r="AX685" t="s">
        <v>74</v>
      </c>
      <c r="AY685" t="s">
        <v>74</v>
      </c>
      <c r="AZ685" t="s">
        <v>74</v>
      </c>
      <c r="BA685" t="s">
        <v>74</v>
      </c>
      <c r="BB685">
        <v>3645</v>
      </c>
      <c r="BC685">
        <v>3668</v>
      </c>
      <c r="BD685" t="s">
        <v>74</v>
      </c>
      <c r="BE685" t="s">
        <v>13198</v>
      </c>
      <c r="BF685" t="str">
        <f>HYPERLINK("http://dx.doi.org/10.1002/qj.4578","http://dx.doi.org/10.1002/qj.4578")</f>
        <v>http://dx.doi.org/10.1002/qj.4578</v>
      </c>
      <c r="BG685" t="s">
        <v>74</v>
      </c>
      <c r="BH685" t="s">
        <v>11428</v>
      </c>
      <c r="BI685">
        <v>24</v>
      </c>
      <c r="BJ685" t="s">
        <v>1522</v>
      </c>
      <c r="BK685" t="s">
        <v>100</v>
      </c>
      <c r="BL685" t="s">
        <v>1522</v>
      </c>
      <c r="BM685" t="s">
        <v>13199</v>
      </c>
      <c r="BN685" t="s">
        <v>74</v>
      </c>
      <c r="BO685" t="s">
        <v>2452</v>
      </c>
      <c r="BP685" t="s">
        <v>74</v>
      </c>
      <c r="BQ685" t="s">
        <v>74</v>
      </c>
      <c r="BR685" t="s">
        <v>104</v>
      </c>
      <c r="BS685" t="s">
        <v>13200</v>
      </c>
      <c r="BT685" t="str">
        <f>HYPERLINK("https%3A%2F%2Fwww.webofscience.com%2Fwos%2Fwoscc%2Ffull-record%2FWOS:001084918700001","View Full Record in Web of Science")</f>
        <v>View Full Record in Web of Science</v>
      </c>
    </row>
    <row r="686" spans="1:72" x14ac:dyDescent="0.15">
      <c r="A686" t="s">
        <v>72</v>
      </c>
      <c r="B686" t="s">
        <v>13201</v>
      </c>
      <c r="C686" t="s">
        <v>74</v>
      </c>
      <c r="D686" t="s">
        <v>74</v>
      </c>
      <c r="E686" t="s">
        <v>74</v>
      </c>
      <c r="F686" t="s">
        <v>13202</v>
      </c>
      <c r="G686" t="s">
        <v>74</v>
      </c>
      <c r="H686" t="s">
        <v>74</v>
      </c>
      <c r="I686" t="s">
        <v>13203</v>
      </c>
      <c r="J686" t="s">
        <v>1195</v>
      </c>
      <c r="K686" t="s">
        <v>74</v>
      </c>
      <c r="L686" t="s">
        <v>74</v>
      </c>
      <c r="M686" t="s">
        <v>78</v>
      </c>
      <c r="N686" t="s">
        <v>79</v>
      </c>
      <c r="O686" t="s">
        <v>74</v>
      </c>
      <c r="P686" t="s">
        <v>74</v>
      </c>
      <c r="Q686" t="s">
        <v>74</v>
      </c>
      <c r="R686" t="s">
        <v>74</v>
      </c>
      <c r="S686" t="s">
        <v>74</v>
      </c>
      <c r="T686" t="s">
        <v>13204</v>
      </c>
      <c r="U686" t="s">
        <v>13205</v>
      </c>
      <c r="V686" t="s">
        <v>13206</v>
      </c>
      <c r="W686" t="s">
        <v>13207</v>
      </c>
      <c r="X686" t="s">
        <v>13208</v>
      </c>
      <c r="Y686" t="s">
        <v>13209</v>
      </c>
      <c r="Z686" t="s">
        <v>7010</v>
      </c>
      <c r="AA686" t="s">
        <v>74</v>
      </c>
      <c r="AB686" t="s">
        <v>13210</v>
      </c>
      <c r="AC686" t="s">
        <v>13211</v>
      </c>
      <c r="AD686" t="s">
        <v>13212</v>
      </c>
      <c r="AE686" t="s">
        <v>13213</v>
      </c>
      <c r="AF686" t="s">
        <v>74</v>
      </c>
      <c r="AG686">
        <v>71</v>
      </c>
      <c r="AH686">
        <v>0</v>
      </c>
      <c r="AI686">
        <v>0</v>
      </c>
      <c r="AJ686">
        <v>6</v>
      </c>
      <c r="AK686">
        <v>6</v>
      </c>
      <c r="AL686" t="s">
        <v>1208</v>
      </c>
      <c r="AM686" t="s">
        <v>1209</v>
      </c>
      <c r="AN686" t="s">
        <v>1210</v>
      </c>
      <c r="AO686" t="s">
        <v>1211</v>
      </c>
      <c r="AP686" t="s">
        <v>1212</v>
      </c>
      <c r="AQ686" t="s">
        <v>74</v>
      </c>
      <c r="AR686" t="s">
        <v>1213</v>
      </c>
      <c r="AS686" t="s">
        <v>1214</v>
      </c>
      <c r="AT686" t="s">
        <v>13000</v>
      </c>
      <c r="AU686">
        <v>2023</v>
      </c>
      <c r="AV686">
        <v>50</v>
      </c>
      <c r="AW686">
        <v>19</v>
      </c>
      <c r="AX686" t="s">
        <v>74</v>
      </c>
      <c r="AY686" t="s">
        <v>74</v>
      </c>
      <c r="AZ686" t="s">
        <v>74</v>
      </c>
      <c r="BA686" t="s">
        <v>74</v>
      </c>
      <c r="BB686" t="s">
        <v>74</v>
      </c>
      <c r="BC686" t="s">
        <v>74</v>
      </c>
      <c r="BD686" t="s">
        <v>13214</v>
      </c>
      <c r="BE686" t="s">
        <v>13215</v>
      </c>
      <c r="BF686" t="str">
        <f>HYPERLINK("http://dx.doi.org/10.1029/2023GL104399","http://dx.doi.org/10.1029/2023GL104399")</f>
        <v>http://dx.doi.org/10.1029/2023GL104399</v>
      </c>
      <c r="BG686" t="s">
        <v>74</v>
      </c>
      <c r="BH686" t="s">
        <v>74</v>
      </c>
      <c r="BI686">
        <v>10</v>
      </c>
      <c r="BJ686" t="s">
        <v>535</v>
      </c>
      <c r="BK686" t="s">
        <v>100</v>
      </c>
      <c r="BL686" t="s">
        <v>536</v>
      </c>
      <c r="BM686" t="s">
        <v>13216</v>
      </c>
      <c r="BN686" t="s">
        <v>74</v>
      </c>
      <c r="BO686" t="s">
        <v>103</v>
      </c>
      <c r="BP686" t="s">
        <v>74</v>
      </c>
      <c r="BQ686" t="s">
        <v>74</v>
      </c>
      <c r="BR686" t="s">
        <v>104</v>
      </c>
      <c r="BS686" t="s">
        <v>13217</v>
      </c>
      <c r="BT686" t="str">
        <f>HYPERLINK("https%3A%2F%2Fwww.webofscience.com%2Fwos%2Fwoscc%2Ffull-record%2FWOS:001076647800001","View Full Record in Web of Science")</f>
        <v>View Full Record in Web of Science</v>
      </c>
    </row>
    <row r="687" spans="1:72" x14ac:dyDescent="0.15">
      <c r="A687" t="s">
        <v>72</v>
      </c>
      <c r="B687" t="s">
        <v>13218</v>
      </c>
      <c r="C687" t="s">
        <v>74</v>
      </c>
      <c r="D687" t="s">
        <v>74</v>
      </c>
      <c r="E687" t="s">
        <v>74</v>
      </c>
      <c r="F687" t="s">
        <v>13219</v>
      </c>
      <c r="G687" t="s">
        <v>74</v>
      </c>
      <c r="H687" t="s">
        <v>74</v>
      </c>
      <c r="I687" t="s">
        <v>13220</v>
      </c>
      <c r="J687" t="s">
        <v>1195</v>
      </c>
      <c r="K687" t="s">
        <v>74</v>
      </c>
      <c r="L687" t="s">
        <v>74</v>
      </c>
      <c r="M687" t="s">
        <v>78</v>
      </c>
      <c r="N687" t="s">
        <v>79</v>
      </c>
      <c r="O687" t="s">
        <v>74</v>
      </c>
      <c r="P687" t="s">
        <v>74</v>
      </c>
      <c r="Q687" t="s">
        <v>74</v>
      </c>
      <c r="R687" t="s">
        <v>74</v>
      </c>
      <c r="S687" t="s">
        <v>74</v>
      </c>
      <c r="T687" t="s">
        <v>13221</v>
      </c>
      <c r="U687" t="s">
        <v>13222</v>
      </c>
      <c r="V687" t="s">
        <v>13223</v>
      </c>
      <c r="W687" t="s">
        <v>13224</v>
      </c>
      <c r="X687" t="s">
        <v>13225</v>
      </c>
      <c r="Y687" t="s">
        <v>13226</v>
      </c>
      <c r="Z687" t="s">
        <v>13227</v>
      </c>
      <c r="AA687" t="s">
        <v>74</v>
      </c>
      <c r="AB687" t="s">
        <v>13228</v>
      </c>
      <c r="AC687" t="s">
        <v>13229</v>
      </c>
      <c r="AD687" t="s">
        <v>13230</v>
      </c>
      <c r="AE687" t="s">
        <v>13231</v>
      </c>
      <c r="AF687" t="s">
        <v>74</v>
      </c>
      <c r="AG687">
        <v>39</v>
      </c>
      <c r="AH687">
        <v>0</v>
      </c>
      <c r="AI687">
        <v>0</v>
      </c>
      <c r="AJ687">
        <v>2</v>
      </c>
      <c r="AK687">
        <v>2</v>
      </c>
      <c r="AL687" t="s">
        <v>1208</v>
      </c>
      <c r="AM687" t="s">
        <v>1209</v>
      </c>
      <c r="AN687" t="s">
        <v>1210</v>
      </c>
      <c r="AO687" t="s">
        <v>1211</v>
      </c>
      <c r="AP687" t="s">
        <v>1212</v>
      </c>
      <c r="AQ687" t="s">
        <v>74</v>
      </c>
      <c r="AR687" t="s">
        <v>1213</v>
      </c>
      <c r="AS687" t="s">
        <v>1214</v>
      </c>
      <c r="AT687" t="s">
        <v>13000</v>
      </c>
      <c r="AU687">
        <v>2023</v>
      </c>
      <c r="AV687">
        <v>50</v>
      </c>
      <c r="AW687">
        <v>19</v>
      </c>
      <c r="AX687" t="s">
        <v>74</v>
      </c>
      <c r="AY687" t="s">
        <v>74</v>
      </c>
      <c r="AZ687" t="s">
        <v>74</v>
      </c>
      <c r="BA687" t="s">
        <v>74</v>
      </c>
      <c r="BB687" t="s">
        <v>74</v>
      </c>
      <c r="BC687" t="s">
        <v>74</v>
      </c>
      <c r="BD687" t="s">
        <v>13232</v>
      </c>
      <c r="BE687" t="s">
        <v>13233</v>
      </c>
      <c r="BF687" t="str">
        <f>HYPERLINK("http://dx.doi.org/10.1029/2023GL104088","http://dx.doi.org/10.1029/2023GL104088")</f>
        <v>http://dx.doi.org/10.1029/2023GL104088</v>
      </c>
      <c r="BG687" t="s">
        <v>74</v>
      </c>
      <c r="BH687" t="s">
        <v>74</v>
      </c>
      <c r="BI687">
        <v>10</v>
      </c>
      <c r="BJ687" t="s">
        <v>535</v>
      </c>
      <c r="BK687" t="s">
        <v>100</v>
      </c>
      <c r="BL687" t="s">
        <v>536</v>
      </c>
      <c r="BM687" t="s">
        <v>13234</v>
      </c>
      <c r="BN687" t="s">
        <v>74</v>
      </c>
      <c r="BO687" t="s">
        <v>7315</v>
      </c>
      <c r="BP687" t="s">
        <v>74</v>
      </c>
      <c r="BQ687" t="s">
        <v>74</v>
      </c>
      <c r="BR687" t="s">
        <v>104</v>
      </c>
      <c r="BS687" t="s">
        <v>13235</v>
      </c>
      <c r="BT687" t="str">
        <f>HYPERLINK("https%3A%2F%2Fwww.webofscience.com%2Fwos%2Fwoscc%2Ffull-record%2FWOS:001075438600001","View Full Record in Web of Science")</f>
        <v>View Full Record in Web of Science</v>
      </c>
    </row>
    <row r="688" spans="1:72" x14ac:dyDescent="0.15">
      <c r="A688" t="s">
        <v>72</v>
      </c>
      <c r="B688" t="s">
        <v>1220</v>
      </c>
      <c r="C688" t="s">
        <v>74</v>
      </c>
      <c r="D688" t="s">
        <v>74</v>
      </c>
      <c r="E688" t="s">
        <v>74</v>
      </c>
      <c r="F688" t="s">
        <v>1221</v>
      </c>
      <c r="G688" t="s">
        <v>74</v>
      </c>
      <c r="H688" t="s">
        <v>74</v>
      </c>
      <c r="I688" t="s">
        <v>13236</v>
      </c>
      <c r="J688" t="s">
        <v>1195</v>
      </c>
      <c r="K688" t="s">
        <v>74</v>
      </c>
      <c r="L688" t="s">
        <v>74</v>
      </c>
      <c r="M688" t="s">
        <v>78</v>
      </c>
      <c r="N688" t="s">
        <v>79</v>
      </c>
      <c r="O688" t="s">
        <v>74</v>
      </c>
      <c r="P688" t="s">
        <v>74</v>
      </c>
      <c r="Q688" t="s">
        <v>74</v>
      </c>
      <c r="R688" t="s">
        <v>74</v>
      </c>
      <c r="S688" t="s">
        <v>74</v>
      </c>
      <c r="T688" t="s">
        <v>13237</v>
      </c>
      <c r="U688" t="s">
        <v>13238</v>
      </c>
      <c r="V688" t="s">
        <v>13239</v>
      </c>
      <c r="W688" t="s">
        <v>13240</v>
      </c>
      <c r="X688" t="s">
        <v>1227</v>
      </c>
      <c r="Y688" t="s">
        <v>13241</v>
      </c>
      <c r="Z688" t="s">
        <v>1229</v>
      </c>
      <c r="AA688" t="s">
        <v>13242</v>
      </c>
      <c r="AB688" t="s">
        <v>13243</v>
      </c>
      <c r="AC688" t="s">
        <v>13244</v>
      </c>
      <c r="AD688" t="s">
        <v>13245</v>
      </c>
      <c r="AE688" t="s">
        <v>13246</v>
      </c>
      <c r="AF688" t="s">
        <v>74</v>
      </c>
      <c r="AG688">
        <v>37</v>
      </c>
      <c r="AH688">
        <v>1</v>
      </c>
      <c r="AI688">
        <v>1</v>
      </c>
      <c r="AJ688">
        <v>3</v>
      </c>
      <c r="AK688">
        <v>3</v>
      </c>
      <c r="AL688" t="s">
        <v>1208</v>
      </c>
      <c r="AM688" t="s">
        <v>1209</v>
      </c>
      <c r="AN688" t="s">
        <v>1210</v>
      </c>
      <c r="AO688" t="s">
        <v>1211</v>
      </c>
      <c r="AP688" t="s">
        <v>1212</v>
      </c>
      <c r="AQ688" t="s">
        <v>74</v>
      </c>
      <c r="AR688" t="s">
        <v>1213</v>
      </c>
      <c r="AS688" t="s">
        <v>1214</v>
      </c>
      <c r="AT688" t="s">
        <v>13000</v>
      </c>
      <c r="AU688">
        <v>2023</v>
      </c>
      <c r="AV688">
        <v>50</v>
      </c>
      <c r="AW688">
        <v>19</v>
      </c>
      <c r="AX688" t="s">
        <v>74</v>
      </c>
      <c r="AY688" t="s">
        <v>74</v>
      </c>
      <c r="AZ688" t="s">
        <v>74</v>
      </c>
      <c r="BA688" t="s">
        <v>74</v>
      </c>
      <c r="BB688" t="s">
        <v>74</v>
      </c>
      <c r="BC688" t="s">
        <v>74</v>
      </c>
      <c r="BD688" t="s">
        <v>13247</v>
      </c>
      <c r="BE688" t="s">
        <v>13248</v>
      </c>
      <c r="BF688" t="str">
        <f>HYPERLINK("http://dx.doi.org/10.1029/2023GL104382","http://dx.doi.org/10.1029/2023GL104382")</f>
        <v>http://dx.doi.org/10.1029/2023GL104382</v>
      </c>
      <c r="BG688" t="s">
        <v>74</v>
      </c>
      <c r="BH688" t="s">
        <v>74</v>
      </c>
      <c r="BI688">
        <v>10</v>
      </c>
      <c r="BJ688" t="s">
        <v>535</v>
      </c>
      <c r="BK688" t="s">
        <v>100</v>
      </c>
      <c r="BL688" t="s">
        <v>536</v>
      </c>
      <c r="BM688" t="s">
        <v>13249</v>
      </c>
      <c r="BN688" t="s">
        <v>74</v>
      </c>
      <c r="BO688" t="s">
        <v>13250</v>
      </c>
      <c r="BP688" t="s">
        <v>74</v>
      </c>
      <c r="BQ688" t="s">
        <v>74</v>
      </c>
      <c r="BR688" t="s">
        <v>104</v>
      </c>
      <c r="BS688" t="s">
        <v>13251</v>
      </c>
      <c r="BT688" t="str">
        <f>HYPERLINK("https%3A%2F%2Fwww.webofscience.com%2Fwos%2Fwoscc%2Ffull-record%2FWOS:001075202100001","View Full Record in Web of Science")</f>
        <v>View Full Record in Web of Science</v>
      </c>
    </row>
    <row r="689" spans="1:72" x14ac:dyDescent="0.15">
      <c r="A689" t="s">
        <v>72</v>
      </c>
      <c r="B689" t="s">
        <v>13252</v>
      </c>
      <c r="C689" t="s">
        <v>74</v>
      </c>
      <c r="D689" t="s">
        <v>74</v>
      </c>
      <c r="E689" t="s">
        <v>74</v>
      </c>
      <c r="F689" t="s">
        <v>13253</v>
      </c>
      <c r="G689" t="s">
        <v>74</v>
      </c>
      <c r="H689" t="s">
        <v>74</v>
      </c>
      <c r="I689" t="s">
        <v>13254</v>
      </c>
      <c r="J689" t="s">
        <v>13255</v>
      </c>
      <c r="K689" t="s">
        <v>74</v>
      </c>
      <c r="L689" t="s">
        <v>74</v>
      </c>
      <c r="M689" t="s">
        <v>78</v>
      </c>
      <c r="N689" t="s">
        <v>79</v>
      </c>
      <c r="O689" t="s">
        <v>74</v>
      </c>
      <c r="P689" t="s">
        <v>74</v>
      </c>
      <c r="Q689" t="s">
        <v>74</v>
      </c>
      <c r="R689" t="s">
        <v>74</v>
      </c>
      <c r="S689" t="s">
        <v>74</v>
      </c>
      <c r="T689" t="s">
        <v>13256</v>
      </c>
      <c r="U689" t="s">
        <v>13257</v>
      </c>
      <c r="V689" t="s">
        <v>13258</v>
      </c>
      <c r="W689" t="s">
        <v>13259</v>
      </c>
      <c r="X689" t="s">
        <v>13260</v>
      </c>
      <c r="Y689" t="s">
        <v>13261</v>
      </c>
      <c r="Z689" t="s">
        <v>12038</v>
      </c>
      <c r="AA689" t="s">
        <v>13262</v>
      </c>
      <c r="AB689" t="s">
        <v>12040</v>
      </c>
      <c r="AC689" t="s">
        <v>13263</v>
      </c>
      <c r="AD689" t="s">
        <v>13264</v>
      </c>
      <c r="AE689" t="s">
        <v>13265</v>
      </c>
      <c r="AF689" t="s">
        <v>74</v>
      </c>
      <c r="AG689">
        <v>66</v>
      </c>
      <c r="AH689">
        <v>0</v>
      </c>
      <c r="AI689">
        <v>0</v>
      </c>
      <c r="AJ689">
        <v>50</v>
      </c>
      <c r="AK689">
        <v>50</v>
      </c>
      <c r="AL689" t="s">
        <v>10494</v>
      </c>
      <c r="AM689" t="s">
        <v>1209</v>
      </c>
      <c r="AN689" t="s">
        <v>10495</v>
      </c>
      <c r="AO689" t="s">
        <v>13266</v>
      </c>
      <c r="AP689" t="s">
        <v>13267</v>
      </c>
      <c r="AQ689" t="s">
        <v>74</v>
      </c>
      <c r="AR689" t="s">
        <v>13268</v>
      </c>
      <c r="AS689" t="s">
        <v>13269</v>
      </c>
      <c r="AT689" t="s">
        <v>13270</v>
      </c>
      <c r="AU689">
        <v>2023</v>
      </c>
      <c r="AV689">
        <v>57</v>
      </c>
      <c r="AW689">
        <v>44</v>
      </c>
      <c r="AX689" t="s">
        <v>74</v>
      </c>
      <c r="AY689" t="s">
        <v>74</v>
      </c>
      <c r="AZ689" t="s">
        <v>74</v>
      </c>
      <c r="BA689" t="s">
        <v>74</v>
      </c>
      <c r="BB689">
        <v>17076</v>
      </c>
      <c r="BC689">
        <v>17086</v>
      </c>
      <c r="BD689" t="s">
        <v>74</v>
      </c>
      <c r="BE689" t="s">
        <v>13271</v>
      </c>
      <c r="BF689" t="str">
        <f>HYPERLINK("http://dx.doi.org/10.1021/acs.est.3c03982","http://dx.doi.org/10.1021/acs.est.3c03982")</f>
        <v>http://dx.doi.org/10.1021/acs.est.3c03982</v>
      </c>
      <c r="BG689" t="s">
        <v>74</v>
      </c>
      <c r="BH689" t="s">
        <v>74</v>
      </c>
      <c r="BI689">
        <v>11</v>
      </c>
      <c r="BJ689" t="s">
        <v>1592</v>
      </c>
      <c r="BK689" t="s">
        <v>100</v>
      </c>
      <c r="BL689" t="s">
        <v>1593</v>
      </c>
      <c r="BM689" t="s">
        <v>13272</v>
      </c>
      <c r="BN689">
        <v>37839075</v>
      </c>
      <c r="BO689" t="s">
        <v>74</v>
      </c>
      <c r="BP689" t="s">
        <v>74</v>
      </c>
      <c r="BQ689" t="s">
        <v>74</v>
      </c>
      <c r="BR689" t="s">
        <v>104</v>
      </c>
      <c r="BS689" t="s">
        <v>13273</v>
      </c>
      <c r="BT689" t="str">
        <f>HYPERLINK("https%3A%2F%2Fwww.webofscience.com%2Fwos%2Fwoscc%2Ffull-record%2FWOS:001101002700001","View Full Record in Web of Science")</f>
        <v>View Full Record in Web of Science</v>
      </c>
    </row>
    <row r="690" spans="1:72" x14ac:dyDescent="0.15">
      <c r="A690" t="s">
        <v>72</v>
      </c>
      <c r="B690" t="s">
        <v>13274</v>
      </c>
      <c r="C690" t="s">
        <v>74</v>
      </c>
      <c r="D690" t="s">
        <v>74</v>
      </c>
      <c r="E690" t="s">
        <v>74</v>
      </c>
      <c r="F690" t="s">
        <v>13275</v>
      </c>
      <c r="G690" t="s">
        <v>74</v>
      </c>
      <c r="H690" t="s">
        <v>74</v>
      </c>
      <c r="I690" t="s">
        <v>13276</v>
      </c>
      <c r="J690" t="s">
        <v>9551</v>
      </c>
      <c r="K690" t="s">
        <v>74</v>
      </c>
      <c r="L690" t="s">
        <v>74</v>
      </c>
      <c r="M690" t="s">
        <v>78</v>
      </c>
      <c r="N690" t="s">
        <v>79</v>
      </c>
      <c r="O690" t="s">
        <v>74</v>
      </c>
      <c r="P690" t="s">
        <v>74</v>
      </c>
      <c r="Q690" t="s">
        <v>74</v>
      </c>
      <c r="R690" t="s">
        <v>74</v>
      </c>
      <c r="S690" t="s">
        <v>74</v>
      </c>
      <c r="T690" t="s">
        <v>13277</v>
      </c>
      <c r="U690" t="s">
        <v>13278</v>
      </c>
      <c r="V690" t="s">
        <v>13279</v>
      </c>
      <c r="W690" t="s">
        <v>13280</v>
      </c>
      <c r="X690" t="s">
        <v>13281</v>
      </c>
      <c r="Y690" t="s">
        <v>13282</v>
      </c>
      <c r="Z690" t="s">
        <v>13283</v>
      </c>
      <c r="AA690" t="s">
        <v>13284</v>
      </c>
      <c r="AB690" t="s">
        <v>13285</v>
      </c>
      <c r="AC690" t="s">
        <v>13286</v>
      </c>
      <c r="AD690" t="s">
        <v>13287</v>
      </c>
      <c r="AE690" t="s">
        <v>13288</v>
      </c>
      <c r="AF690" t="s">
        <v>74</v>
      </c>
      <c r="AG690">
        <v>119</v>
      </c>
      <c r="AH690">
        <v>2</v>
      </c>
      <c r="AI690">
        <v>2</v>
      </c>
      <c r="AJ690">
        <v>18</v>
      </c>
      <c r="AK690">
        <v>18</v>
      </c>
      <c r="AL690" t="s">
        <v>1101</v>
      </c>
      <c r="AM690" t="s">
        <v>1102</v>
      </c>
      <c r="AN690" t="s">
        <v>1103</v>
      </c>
      <c r="AO690" t="s">
        <v>9564</v>
      </c>
      <c r="AP690" t="s">
        <v>9565</v>
      </c>
      <c r="AQ690" t="s">
        <v>74</v>
      </c>
      <c r="AR690" t="s">
        <v>9566</v>
      </c>
      <c r="AS690" t="s">
        <v>9567</v>
      </c>
      <c r="AT690" t="s">
        <v>1947</v>
      </c>
      <c r="AU690">
        <v>2023</v>
      </c>
      <c r="AV690">
        <v>29</v>
      </c>
      <c r="AW690">
        <v>24</v>
      </c>
      <c r="AX690" t="s">
        <v>74</v>
      </c>
      <c r="AY690" t="s">
        <v>74</v>
      </c>
      <c r="AZ690" t="s">
        <v>74</v>
      </c>
      <c r="BA690" t="s">
        <v>74</v>
      </c>
      <c r="BB690">
        <v>6867</v>
      </c>
      <c r="BC690">
        <v>6887</v>
      </c>
      <c r="BD690" t="s">
        <v>74</v>
      </c>
      <c r="BE690" t="s">
        <v>13289</v>
      </c>
      <c r="BF690" t="str">
        <f>HYPERLINK("http://dx.doi.org/10.1111/gcb.16947","http://dx.doi.org/10.1111/gcb.16947")</f>
        <v>http://dx.doi.org/10.1111/gcb.16947</v>
      </c>
      <c r="BG690" t="s">
        <v>74</v>
      </c>
      <c r="BH690" t="s">
        <v>11428</v>
      </c>
      <c r="BI690">
        <v>21</v>
      </c>
      <c r="BJ690" t="s">
        <v>8763</v>
      </c>
      <c r="BK690" t="s">
        <v>100</v>
      </c>
      <c r="BL690" t="s">
        <v>913</v>
      </c>
      <c r="BM690" t="s">
        <v>13290</v>
      </c>
      <c r="BN690">
        <v>37839801</v>
      </c>
      <c r="BO690" t="s">
        <v>103</v>
      </c>
      <c r="BP690" t="s">
        <v>74</v>
      </c>
      <c r="BQ690" t="s">
        <v>74</v>
      </c>
      <c r="BR690" t="s">
        <v>104</v>
      </c>
      <c r="BS690" t="s">
        <v>13291</v>
      </c>
      <c r="BT690" t="str">
        <f>HYPERLINK("https%3A%2F%2Fwww.webofscience.com%2Fwos%2Fwoscc%2Ffull-record%2FWOS:001085514300001","View Full Record in Web of Science")</f>
        <v>View Full Record in Web of Science</v>
      </c>
    </row>
    <row r="691" spans="1:72" x14ac:dyDescent="0.15">
      <c r="A691" t="s">
        <v>72</v>
      </c>
      <c r="B691" t="s">
        <v>13292</v>
      </c>
      <c r="C691" t="s">
        <v>74</v>
      </c>
      <c r="D691" t="s">
        <v>74</v>
      </c>
      <c r="E691" t="s">
        <v>74</v>
      </c>
      <c r="F691" t="s">
        <v>13293</v>
      </c>
      <c r="G691" t="s">
        <v>74</v>
      </c>
      <c r="H691" t="s">
        <v>74</v>
      </c>
      <c r="I691" t="s">
        <v>13294</v>
      </c>
      <c r="J691" t="s">
        <v>2691</v>
      </c>
      <c r="K691" t="s">
        <v>74</v>
      </c>
      <c r="L691" t="s">
        <v>74</v>
      </c>
      <c r="M691" t="s">
        <v>78</v>
      </c>
      <c r="N691" t="s">
        <v>79</v>
      </c>
      <c r="O691" t="s">
        <v>74</v>
      </c>
      <c r="P691" t="s">
        <v>74</v>
      </c>
      <c r="Q691" t="s">
        <v>74</v>
      </c>
      <c r="R691" t="s">
        <v>74</v>
      </c>
      <c r="S691" t="s">
        <v>74</v>
      </c>
      <c r="T691" t="s">
        <v>13295</v>
      </c>
      <c r="U691" t="s">
        <v>13296</v>
      </c>
      <c r="V691" t="s">
        <v>13297</v>
      </c>
      <c r="W691" t="s">
        <v>13298</v>
      </c>
      <c r="X691" t="s">
        <v>13299</v>
      </c>
      <c r="Y691" t="s">
        <v>13300</v>
      </c>
      <c r="Z691" t="s">
        <v>13301</v>
      </c>
      <c r="AA691" t="s">
        <v>13302</v>
      </c>
      <c r="AB691" t="s">
        <v>13303</v>
      </c>
      <c r="AC691" t="s">
        <v>13304</v>
      </c>
      <c r="AD691" t="s">
        <v>13305</v>
      </c>
      <c r="AE691" t="s">
        <v>13306</v>
      </c>
      <c r="AF691" t="s">
        <v>74</v>
      </c>
      <c r="AG691">
        <v>74</v>
      </c>
      <c r="AH691">
        <v>0</v>
      </c>
      <c r="AI691">
        <v>0</v>
      </c>
      <c r="AJ691">
        <v>4</v>
      </c>
      <c r="AK691">
        <v>4</v>
      </c>
      <c r="AL691" t="s">
        <v>947</v>
      </c>
      <c r="AM691" t="s">
        <v>948</v>
      </c>
      <c r="AN691" t="s">
        <v>949</v>
      </c>
      <c r="AO691" t="s">
        <v>2701</v>
      </c>
      <c r="AP691" t="s">
        <v>74</v>
      </c>
      <c r="AQ691" t="s">
        <v>74</v>
      </c>
      <c r="AR691" t="s">
        <v>2702</v>
      </c>
      <c r="AS691" t="s">
        <v>2703</v>
      </c>
      <c r="AT691" t="s">
        <v>1649</v>
      </c>
      <c r="AU691">
        <v>2023</v>
      </c>
      <c r="AV691">
        <v>68</v>
      </c>
      <c r="AW691" t="s">
        <v>74</v>
      </c>
      <c r="AX691" t="s">
        <v>74</v>
      </c>
      <c r="AY691" t="s">
        <v>74</v>
      </c>
      <c r="AZ691" t="s">
        <v>74</v>
      </c>
      <c r="BA691" t="s">
        <v>74</v>
      </c>
      <c r="BB691" t="s">
        <v>74</v>
      </c>
      <c r="BC691" t="s">
        <v>74</v>
      </c>
      <c r="BD691">
        <v>103227</v>
      </c>
      <c r="BE691" t="s">
        <v>13307</v>
      </c>
      <c r="BF691" t="str">
        <f>HYPERLINK("http://dx.doi.org/10.1016/j.rsma.2023.103227","http://dx.doi.org/10.1016/j.rsma.2023.103227")</f>
        <v>http://dx.doi.org/10.1016/j.rsma.2023.103227</v>
      </c>
      <c r="BG691" t="s">
        <v>74</v>
      </c>
      <c r="BH691" t="s">
        <v>11428</v>
      </c>
      <c r="BI691">
        <v>18</v>
      </c>
      <c r="BJ691" t="s">
        <v>2705</v>
      </c>
      <c r="BK691" t="s">
        <v>100</v>
      </c>
      <c r="BL691" t="s">
        <v>1136</v>
      </c>
      <c r="BM691" t="s">
        <v>13308</v>
      </c>
      <c r="BN691" t="s">
        <v>74</v>
      </c>
      <c r="BO691" t="s">
        <v>74</v>
      </c>
      <c r="BP691" t="s">
        <v>74</v>
      </c>
      <c r="BQ691" t="s">
        <v>74</v>
      </c>
      <c r="BR691" t="s">
        <v>104</v>
      </c>
      <c r="BS691" t="s">
        <v>13309</v>
      </c>
      <c r="BT691" t="str">
        <f>HYPERLINK("https%3A%2F%2Fwww.webofscience.com%2Fwos%2Fwoscc%2Ffull-record%2FWOS:001098661900001","View Full Record in Web of Science")</f>
        <v>View Full Record in Web of Science</v>
      </c>
    </row>
    <row r="692" spans="1:72" x14ac:dyDescent="0.15">
      <c r="A692" t="s">
        <v>72</v>
      </c>
      <c r="B692" t="s">
        <v>13310</v>
      </c>
      <c r="C692" t="s">
        <v>74</v>
      </c>
      <c r="D692" t="s">
        <v>74</v>
      </c>
      <c r="E692" t="s">
        <v>74</v>
      </c>
      <c r="F692" t="s">
        <v>13311</v>
      </c>
      <c r="G692" t="s">
        <v>74</v>
      </c>
      <c r="H692" t="s">
        <v>74</v>
      </c>
      <c r="I692" t="s">
        <v>13312</v>
      </c>
      <c r="J692" t="s">
        <v>3000</v>
      </c>
      <c r="K692" t="s">
        <v>74</v>
      </c>
      <c r="L692" t="s">
        <v>74</v>
      </c>
      <c r="M692" t="s">
        <v>78</v>
      </c>
      <c r="N692" t="s">
        <v>79</v>
      </c>
      <c r="O692" t="s">
        <v>74</v>
      </c>
      <c r="P692" t="s">
        <v>74</v>
      </c>
      <c r="Q692" t="s">
        <v>74</v>
      </c>
      <c r="R692" t="s">
        <v>74</v>
      </c>
      <c r="S692" t="s">
        <v>74</v>
      </c>
      <c r="T692" t="s">
        <v>13313</v>
      </c>
      <c r="U692" t="s">
        <v>13314</v>
      </c>
      <c r="V692" t="s">
        <v>13315</v>
      </c>
      <c r="W692" t="s">
        <v>13316</v>
      </c>
      <c r="X692" t="s">
        <v>13317</v>
      </c>
      <c r="Y692" t="s">
        <v>13318</v>
      </c>
      <c r="Z692" t="s">
        <v>13319</v>
      </c>
      <c r="AA692" t="s">
        <v>13320</v>
      </c>
      <c r="AB692" t="s">
        <v>74</v>
      </c>
      <c r="AC692" t="s">
        <v>13321</v>
      </c>
      <c r="AD692" t="s">
        <v>4596</v>
      </c>
      <c r="AE692" t="s">
        <v>13322</v>
      </c>
      <c r="AF692" t="s">
        <v>74</v>
      </c>
      <c r="AG692">
        <v>69</v>
      </c>
      <c r="AH692">
        <v>0</v>
      </c>
      <c r="AI692">
        <v>0</v>
      </c>
      <c r="AJ692">
        <v>7</v>
      </c>
      <c r="AK692">
        <v>8</v>
      </c>
      <c r="AL692" t="s">
        <v>3013</v>
      </c>
      <c r="AM692" t="s">
        <v>3014</v>
      </c>
      <c r="AN692" t="s">
        <v>3015</v>
      </c>
      <c r="AO692" t="s">
        <v>3016</v>
      </c>
      <c r="AP692" t="s">
        <v>3017</v>
      </c>
      <c r="AQ692" t="s">
        <v>74</v>
      </c>
      <c r="AR692" t="s">
        <v>3018</v>
      </c>
      <c r="AS692" t="s">
        <v>3019</v>
      </c>
      <c r="AT692" t="s">
        <v>3263</v>
      </c>
      <c r="AU692">
        <v>2023</v>
      </c>
      <c r="AV692">
        <v>239</v>
      </c>
      <c r="AW692" t="s">
        <v>74</v>
      </c>
      <c r="AX692">
        <v>1</v>
      </c>
      <c r="AY692" t="s">
        <v>74</v>
      </c>
      <c r="AZ692" t="s">
        <v>74</v>
      </c>
      <c r="BA692" t="s">
        <v>74</v>
      </c>
      <c r="BB692" t="s">
        <v>74</v>
      </c>
      <c r="BC692" t="s">
        <v>74</v>
      </c>
      <c r="BD692">
        <v>117217</v>
      </c>
      <c r="BE692" t="s">
        <v>13323</v>
      </c>
      <c r="BF692" t="str">
        <f>HYPERLINK("http://dx.doi.org/10.1016/j.envres.2023.117217","http://dx.doi.org/10.1016/j.envres.2023.117217")</f>
        <v>http://dx.doi.org/10.1016/j.envres.2023.117217</v>
      </c>
      <c r="BG692" t="s">
        <v>74</v>
      </c>
      <c r="BH692" t="s">
        <v>11428</v>
      </c>
      <c r="BI692">
        <v>9</v>
      </c>
      <c r="BJ692" t="s">
        <v>3021</v>
      </c>
      <c r="BK692" t="s">
        <v>100</v>
      </c>
      <c r="BL692" t="s">
        <v>3022</v>
      </c>
      <c r="BM692" t="s">
        <v>13324</v>
      </c>
      <c r="BN692">
        <v>37775002</v>
      </c>
      <c r="BO692" t="s">
        <v>74</v>
      </c>
      <c r="BP692" t="s">
        <v>74</v>
      </c>
      <c r="BQ692" t="s">
        <v>74</v>
      </c>
      <c r="BR692" t="s">
        <v>104</v>
      </c>
      <c r="BS692" t="s">
        <v>13325</v>
      </c>
      <c r="BT692" t="str">
        <f>HYPERLINK("https%3A%2F%2Fwww.webofscience.com%2Fwos%2Fwoscc%2Ffull-record%2FWOS:001096043900001","View Full Record in Web of Science")</f>
        <v>View Full Record in Web of Science</v>
      </c>
    </row>
    <row r="693" spans="1:72" x14ac:dyDescent="0.15">
      <c r="A693" t="s">
        <v>72</v>
      </c>
      <c r="B693" t="s">
        <v>13326</v>
      </c>
      <c r="C693" t="s">
        <v>74</v>
      </c>
      <c r="D693" t="s">
        <v>74</v>
      </c>
      <c r="E693" t="s">
        <v>74</v>
      </c>
      <c r="F693" t="s">
        <v>13327</v>
      </c>
      <c r="G693" t="s">
        <v>74</v>
      </c>
      <c r="H693" t="s">
        <v>74</v>
      </c>
      <c r="I693" t="s">
        <v>13328</v>
      </c>
      <c r="J693" t="s">
        <v>3323</v>
      </c>
      <c r="K693" t="s">
        <v>74</v>
      </c>
      <c r="L693" t="s">
        <v>74</v>
      </c>
      <c r="M693" t="s">
        <v>78</v>
      </c>
      <c r="N693" t="s">
        <v>79</v>
      </c>
      <c r="O693" t="s">
        <v>74</v>
      </c>
      <c r="P693" t="s">
        <v>74</v>
      </c>
      <c r="Q693" t="s">
        <v>74</v>
      </c>
      <c r="R693" t="s">
        <v>74</v>
      </c>
      <c r="S693" t="s">
        <v>74</v>
      </c>
      <c r="T693" t="s">
        <v>74</v>
      </c>
      <c r="U693" t="s">
        <v>13329</v>
      </c>
      <c r="V693" t="s">
        <v>13330</v>
      </c>
      <c r="W693" t="s">
        <v>13331</v>
      </c>
      <c r="X693" t="s">
        <v>13332</v>
      </c>
      <c r="Y693" t="s">
        <v>13333</v>
      </c>
      <c r="Z693" t="s">
        <v>13334</v>
      </c>
      <c r="AA693" t="s">
        <v>13335</v>
      </c>
      <c r="AB693" t="s">
        <v>13336</v>
      </c>
      <c r="AC693" t="s">
        <v>13337</v>
      </c>
      <c r="AD693" t="s">
        <v>13338</v>
      </c>
      <c r="AE693" t="s">
        <v>13339</v>
      </c>
      <c r="AF693" t="s">
        <v>74</v>
      </c>
      <c r="AG693">
        <v>106</v>
      </c>
      <c r="AH693">
        <v>0</v>
      </c>
      <c r="AI693">
        <v>0</v>
      </c>
      <c r="AJ693">
        <v>2</v>
      </c>
      <c r="AK693">
        <v>2</v>
      </c>
      <c r="AL693" t="s">
        <v>1838</v>
      </c>
      <c r="AM693" t="s">
        <v>1839</v>
      </c>
      <c r="AN693" t="s">
        <v>1840</v>
      </c>
      <c r="AO693" t="s">
        <v>3335</v>
      </c>
      <c r="AP693" t="s">
        <v>3336</v>
      </c>
      <c r="AQ693" t="s">
        <v>74</v>
      </c>
      <c r="AR693" t="s">
        <v>3337</v>
      </c>
      <c r="AS693" t="s">
        <v>3338</v>
      </c>
      <c r="AT693" t="s">
        <v>13340</v>
      </c>
      <c r="AU693">
        <v>2023</v>
      </c>
      <c r="AV693">
        <v>19</v>
      </c>
      <c r="AW693">
        <v>10</v>
      </c>
      <c r="AX693" t="s">
        <v>74</v>
      </c>
      <c r="AY693" t="s">
        <v>74</v>
      </c>
      <c r="AZ693" t="s">
        <v>74</v>
      </c>
      <c r="BA693" t="s">
        <v>74</v>
      </c>
      <c r="BB693">
        <v>1931</v>
      </c>
      <c r="BC693">
        <v>1949</v>
      </c>
      <c r="BD693" t="s">
        <v>74</v>
      </c>
      <c r="BE693" t="s">
        <v>13341</v>
      </c>
      <c r="BF693" t="str">
        <f>HYPERLINK("http://dx.doi.org/10.5194/cp-19-1931-2023","http://dx.doi.org/10.5194/cp-19-1931-2023")</f>
        <v>http://dx.doi.org/10.5194/cp-19-1931-2023</v>
      </c>
      <c r="BG693" t="s">
        <v>74</v>
      </c>
      <c r="BH693" t="s">
        <v>74</v>
      </c>
      <c r="BI693">
        <v>19</v>
      </c>
      <c r="BJ693" t="s">
        <v>2405</v>
      </c>
      <c r="BK693" t="s">
        <v>100</v>
      </c>
      <c r="BL693" t="s">
        <v>2406</v>
      </c>
      <c r="BM693" t="s">
        <v>13342</v>
      </c>
      <c r="BN693" t="s">
        <v>74</v>
      </c>
      <c r="BO693" t="s">
        <v>183</v>
      </c>
      <c r="BP693" t="s">
        <v>74</v>
      </c>
      <c r="BQ693" t="s">
        <v>74</v>
      </c>
      <c r="BR693" t="s">
        <v>104</v>
      </c>
      <c r="BS693" t="s">
        <v>13343</v>
      </c>
      <c r="BT693" t="str">
        <f>HYPERLINK("https%3A%2F%2Fwww.webofscience.com%2Fwos%2Fwoscc%2Ffull-record%2FWOS:001161785600001","View Full Record in Web of Science")</f>
        <v>View Full Record in Web of Science</v>
      </c>
    </row>
    <row r="694" spans="1:72" x14ac:dyDescent="0.15">
      <c r="A694" t="s">
        <v>72</v>
      </c>
      <c r="B694" t="s">
        <v>13344</v>
      </c>
      <c r="C694" t="s">
        <v>74</v>
      </c>
      <c r="D694" t="s">
        <v>74</v>
      </c>
      <c r="E694" t="s">
        <v>74</v>
      </c>
      <c r="F694" t="s">
        <v>13345</v>
      </c>
      <c r="G694" t="s">
        <v>74</v>
      </c>
      <c r="H694" t="s">
        <v>74</v>
      </c>
      <c r="I694" t="s">
        <v>13346</v>
      </c>
      <c r="J694" t="s">
        <v>991</v>
      </c>
      <c r="K694" t="s">
        <v>74</v>
      </c>
      <c r="L694" t="s">
        <v>74</v>
      </c>
      <c r="M694" t="s">
        <v>78</v>
      </c>
      <c r="N694" t="s">
        <v>79</v>
      </c>
      <c r="O694" t="s">
        <v>74</v>
      </c>
      <c r="P694" t="s">
        <v>74</v>
      </c>
      <c r="Q694" t="s">
        <v>74</v>
      </c>
      <c r="R694" t="s">
        <v>74</v>
      </c>
      <c r="S694" t="s">
        <v>74</v>
      </c>
      <c r="T694" t="s">
        <v>13347</v>
      </c>
      <c r="U694" t="s">
        <v>13348</v>
      </c>
      <c r="V694" t="s">
        <v>13349</v>
      </c>
      <c r="W694" t="s">
        <v>13350</v>
      </c>
      <c r="X694" t="s">
        <v>13351</v>
      </c>
      <c r="Y694" t="s">
        <v>13352</v>
      </c>
      <c r="Z694" t="s">
        <v>13353</v>
      </c>
      <c r="AA694" t="s">
        <v>13354</v>
      </c>
      <c r="AB694" t="s">
        <v>13355</v>
      </c>
      <c r="AC694" t="s">
        <v>13356</v>
      </c>
      <c r="AD694" t="s">
        <v>13357</v>
      </c>
      <c r="AE694" t="s">
        <v>13358</v>
      </c>
      <c r="AF694" t="s">
        <v>74</v>
      </c>
      <c r="AG694">
        <v>85</v>
      </c>
      <c r="AH694">
        <v>0</v>
      </c>
      <c r="AI694">
        <v>0</v>
      </c>
      <c r="AJ694">
        <v>5</v>
      </c>
      <c r="AK694">
        <v>5</v>
      </c>
      <c r="AL694" t="s">
        <v>947</v>
      </c>
      <c r="AM694" t="s">
        <v>948</v>
      </c>
      <c r="AN694" t="s">
        <v>949</v>
      </c>
      <c r="AO694" t="s">
        <v>1004</v>
      </c>
      <c r="AP694" t="s">
        <v>1005</v>
      </c>
      <c r="AQ694" t="s">
        <v>74</v>
      </c>
      <c r="AR694" t="s">
        <v>1006</v>
      </c>
      <c r="AS694" t="s">
        <v>1007</v>
      </c>
      <c r="AT694" t="s">
        <v>1186</v>
      </c>
      <c r="AU694">
        <v>2024</v>
      </c>
      <c r="AV694">
        <v>906</v>
      </c>
      <c r="AW694" t="s">
        <v>74</v>
      </c>
      <c r="AX694" t="s">
        <v>74</v>
      </c>
      <c r="AY694" t="s">
        <v>74</v>
      </c>
      <c r="AZ694" t="s">
        <v>74</v>
      </c>
      <c r="BA694" t="s">
        <v>74</v>
      </c>
      <c r="BB694" t="s">
        <v>74</v>
      </c>
      <c r="BC694" t="s">
        <v>74</v>
      </c>
      <c r="BD694">
        <v>167713</v>
      </c>
      <c r="BE694" t="s">
        <v>13359</v>
      </c>
      <c r="BF694" t="str">
        <f>HYPERLINK("http://dx.doi.org/10.1016/j.scitotenv.2023.167713","http://dx.doi.org/10.1016/j.scitotenv.2023.167713")</f>
        <v>http://dx.doi.org/10.1016/j.scitotenv.2023.167713</v>
      </c>
      <c r="BG694" t="s">
        <v>74</v>
      </c>
      <c r="BH694" t="s">
        <v>11428</v>
      </c>
      <c r="BI694">
        <v>13</v>
      </c>
      <c r="BJ694" t="s">
        <v>1010</v>
      </c>
      <c r="BK694" t="s">
        <v>100</v>
      </c>
      <c r="BL694" t="s">
        <v>1011</v>
      </c>
      <c r="BM694" t="s">
        <v>13360</v>
      </c>
      <c r="BN694">
        <v>37827316</v>
      </c>
      <c r="BO694" t="s">
        <v>103</v>
      </c>
      <c r="BP694" t="s">
        <v>74</v>
      </c>
      <c r="BQ694" t="s">
        <v>74</v>
      </c>
      <c r="BR694" t="s">
        <v>104</v>
      </c>
      <c r="BS694" t="s">
        <v>13361</v>
      </c>
      <c r="BT694" t="str">
        <f>HYPERLINK("https%3A%2F%2Fwww.webofscience.com%2Fwos%2Fwoscc%2Ffull-record%2FWOS:001102920400001","View Full Record in Web of Science")</f>
        <v>View Full Record in Web of Science</v>
      </c>
    </row>
    <row r="695" spans="1:72" x14ac:dyDescent="0.15">
      <c r="A695" t="s">
        <v>72</v>
      </c>
      <c r="B695" t="s">
        <v>13362</v>
      </c>
      <c r="C695" t="s">
        <v>74</v>
      </c>
      <c r="D695" t="s">
        <v>74</v>
      </c>
      <c r="E695" t="s">
        <v>74</v>
      </c>
      <c r="F695" t="s">
        <v>13363</v>
      </c>
      <c r="G695" t="s">
        <v>74</v>
      </c>
      <c r="H695" t="s">
        <v>74</v>
      </c>
      <c r="I695" t="s">
        <v>13364</v>
      </c>
      <c r="J695" t="s">
        <v>1746</v>
      </c>
      <c r="K695" t="s">
        <v>74</v>
      </c>
      <c r="L695" t="s">
        <v>74</v>
      </c>
      <c r="M695" t="s">
        <v>78</v>
      </c>
      <c r="N695" t="s">
        <v>79</v>
      </c>
      <c r="O695" t="s">
        <v>74</v>
      </c>
      <c r="P695" t="s">
        <v>74</v>
      </c>
      <c r="Q695" t="s">
        <v>74</v>
      </c>
      <c r="R695" t="s">
        <v>74</v>
      </c>
      <c r="S695" t="s">
        <v>74</v>
      </c>
      <c r="T695" t="s">
        <v>13365</v>
      </c>
      <c r="U695" t="s">
        <v>13366</v>
      </c>
      <c r="V695" t="s">
        <v>13367</v>
      </c>
      <c r="W695" t="s">
        <v>13368</v>
      </c>
      <c r="X695" t="s">
        <v>13369</v>
      </c>
      <c r="Y695" t="s">
        <v>13370</v>
      </c>
      <c r="Z695" t="s">
        <v>13371</v>
      </c>
      <c r="AA695" t="s">
        <v>74</v>
      </c>
      <c r="AB695" t="s">
        <v>74</v>
      </c>
      <c r="AC695" t="s">
        <v>13372</v>
      </c>
      <c r="AD695" t="s">
        <v>13373</v>
      </c>
      <c r="AE695" t="s">
        <v>13374</v>
      </c>
      <c r="AF695" t="s">
        <v>74</v>
      </c>
      <c r="AG695">
        <v>139</v>
      </c>
      <c r="AH695">
        <v>0</v>
      </c>
      <c r="AI695">
        <v>0</v>
      </c>
      <c r="AJ695">
        <v>6</v>
      </c>
      <c r="AK695">
        <v>6</v>
      </c>
      <c r="AL695" t="s">
        <v>1758</v>
      </c>
      <c r="AM695" t="s">
        <v>1759</v>
      </c>
      <c r="AN695" t="s">
        <v>1760</v>
      </c>
      <c r="AO695" t="s">
        <v>74</v>
      </c>
      <c r="AP695" t="s">
        <v>1761</v>
      </c>
      <c r="AQ695" t="s">
        <v>74</v>
      </c>
      <c r="AR695" t="s">
        <v>1762</v>
      </c>
      <c r="AS695" t="s">
        <v>1763</v>
      </c>
      <c r="AT695" t="s">
        <v>13340</v>
      </c>
      <c r="AU695">
        <v>2023</v>
      </c>
      <c r="AV695">
        <v>10</v>
      </c>
      <c r="AW695" t="s">
        <v>74</v>
      </c>
      <c r="AX695" t="s">
        <v>74</v>
      </c>
      <c r="AY695" t="s">
        <v>74</v>
      </c>
      <c r="AZ695" t="s">
        <v>74</v>
      </c>
      <c r="BA695" t="s">
        <v>74</v>
      </c>
      <c r="BB695" t="s">
        <v>74</v>
      </c>
      <c r="BC695" t="s">
        <v>74</v>
      </c>
      <c r="BD695">
        <v>1231337</v>
      </c>
      <c r="BE695" t="s">
        <v>13375</v>
      </c>
      <c r="BF695" t="str">
        <f>HYPERLINK("http://dx.doi.org/10.3389/fmars.2023.1231337","http://dx.doi.org/10.3389/fmars.2023.1231337")</f>
        <v>http://dx.doi.org/10.3389/fmars.2023.1231337</v>
      </c>
      <c r="BG695" t="s">
        <v>74</v>
      </c>
      <c r="BH695" t="s">
        <v>74</v>
      </c>
      <c r="BI695">
        <v>15</v>
      </c>
      <c r="BJ695" t="s">
        <v>1135</v>
      </c>
      <c r="BK695" t="s">
        <v>100</v>
      </c>
      <c r="BL695" t="s">
        <v>1136</v>
      </c>
      <c r="BM695" t="s">
        <v>13376</v>
      </c>
      <c r="BN695" t="s">
        <v>74</v>
      </c>
      <c r="BO695" t="s">
        <v>131</v>
      </c>
      <c r="BP695" t="s">
        <v>74</v>
      </c>
      <c r="BQ695" t="s">
        <v>74</v>
      </c>
      <c r="BR695" t="s">
        <v>104</v>
      </c>
      <c r="BS695" t="s">
        <v>13377</v>
      </c>
      <c r="BT695" t="str">
        <f>HYPERLINK("https%3A%2F%2Fwww.webofscience.com%2Fwos%2Fwoscc%2Ffull-record%2FWOS:001094967100001","View Full Record in Web of Science")</f>
        <v>View Full Record in Web of Science</v>
      </c>
    </row>
    <row r="696" spans="1:72" x14ac:dyDescent="0.15">
      <c r="A696" t="s">
        <v>72</v>
      </c>
      <c r="B696" t="s">
        <v>13378</v>
      </c>
      <c r="C696" t="s">
        <v>74</v>
      </c>
      <c r="D696" t="s">
        <v>74</v>
      </c>
      <c r="E696" t="s">
        <v>74</v>
      </c>
      <c r="F696" t="s">
        <v>13379</v>
      </c>
      <c r="G696" t="s">
        <v>74</v>
      </c>
      <c r="H696" t="s">
        <v>74</v>
      </c>
      <c r="I696" t="s">
        <v>13380</v>
      </c>
      <c r="J696" t="s">
        <v>1893</v>
      </c>
      <c r="K696" t="s">
        <v>74</v>
      </c>
      <c r="L696" t="s">
        <v>74</v>
      </c>
      <c r="M696" t="s">
        <v>78</v>
      </c>
      <c r="N696" t="s">
        <v>79</v>
      </c>
      <c r="O696" t="s">
        <v>74</v>
      </c>
      <c r="P696" t="s">
        <v>74</v>
      </c>
      <c r="Q696" t="s">
        <v>74</v>
      </c>
      <c r="R696" t="s">
        <v>74</v>
      </c>
      <c r="S696" t="s">
        <v>74</v>
      </c>
      <c r="T696" t="s">
        <v>13381</v>
      </c>
      <c r="U696" t="s">
        <v>13382</v>
      </c>
      <c r="V696" t="s">
        <v>13383</v>
      </c>
      <c r="W696" t="s">
        <v>13384</v>
      </c>
      <c r="X696" t="s">
        <v>13385</v>
      </c>
      <c r="Y696" t="s">
        <v>13386</v>
      </c>
      <c r="Z696" t="s">
        <v>13387</v>
      </c>
      <c r="AA696" t="s">
        <v>13388</v>
      </c>
      <c r="AB696" t="s">
        <v>13389</v>
      </c>
      <c r="AC696" t="s">
        <v>13390</v>
      </c>
      <c r="AD696" t="s">
        <v>13391</v>
      </c>
      <c r="AE696" t="s">
        <v>13392</v>
      </c>
      <c r="AF696" t="s">
        <v>74</v>
      </c>
      <c r="AG696">
        <v>209</v>
      </c>
      <c r="AH696">
        <v>0</v>
      </c>
      <c r="AI696">
        <v>0</v>
      </c>
      <c r="AJ696">
        <v>8</v>
      </c>
      <c r="AK696">
        <v>8</v>
      </c>
      <c r="AL696" t="s">
        <v>947</v>
      </c>
      <c r="AM696" t="s">
        <v>948</v>
      </c>
      <c r="AN696" t="s">
        <v>949</v>
      </c>
      <c r="AO696" t="s">
        <v>1904</v>
      </c>
      <c r="AP696" t="s">
        <v>1905</v>
      </c>
      <c r="AQ696" t="s">
        <v>74</v>
      </c>
      <c r="AR696" t="s">
        <v>1906</v>
      </c>
      <c r="AS696" t="s">
        <v>1907</v>
      </c>
      <c r="AT696" t="s">
        <v>4525</v>
      </c>
      <c r="AU696">
        <v>2023</v>
      </c>
      <c r="AV696">
        <v>246</v>
      </c>
      <c r="AW696" t="s">
        <v>74</v>
      </c>
      <c r="AX696" t="s">
        <v>74</v>
      </c>
      <c r="AY696" t="s">
        <v>74</v>
      </c>
      <c r="AZ696" t="s">
        <v>74</v>
      </c>
      <c r="BA696" t="s">
        <v>74</v>
      </c>
      <c r="BB696" t="s">
        <v>74</v>
      </c>
      <c r="BC696" t="s">
        <v>74</v>
      </c>
      <c r="BD696">
        <v>104587</v>
      </c>
      <c r="BE696" t="s">
        <v>13393</v>
      </c>
      <c r="BF696" t="str">
        <f>HYPERLINK("http://dx.doi.org/10.1016/j.earscirev.2023.104587","http://dx.doi.org/10.1016/j.earscirev.2023.104587")</f>
        <v>http://dx.doi.org/10.1016/j.earscirev.2023.104587</v>
      </c>
      <c r="BG696" t="s">
        <v>74</v>
      </c>
      <c r="BH696" t="s">
        <v>11428</v>
      </c>
      <c r="BI696">
        <v>26</v>
      </c>
      <c r="BJ696" t="s">
        <v>535</v>
      </c>
      <c r="BK696" t="s">
        <v>100</v>
      </c>
      <c r="BL696" t="s">
        <v>536</v>
      </c>
      <c r="BM696" t="s">
        <v>13394</v>
      </c>
      <c r="BN696" t="s">
        <v>74</v>
      </c>
      <c r="BO696" t="s">
        <v>74</v>
      </c>
      <c r="BP696" t="s">
        <v>74</v>
      </c>
      <c r="BQ696" t="s">
        <v>74</v>
      </c>
      <c r="BR696" t="s">
        <v>104</v>
      </c>
      <c r="BS696" t="s">
        <v>13395</v>
      </c>
      <c r="BT696" t="str">
        <f>HYPERLINK("https%3A%2F%2Fwww.webofscience.com%2Fwos%2Fwoscc%2Ffull-record%2FWOS:001096638000001","View Full Record in Web of Science")</f>
        <v>View Full Record in Web of Science</v>
      </c>
    </row>
    <row r="697" spans="1:72" x14ac:dyDescent="0.15">
      <c r="A697" t="s">
        <v>72</v>
      </c>
      <c r="B697" t="s">
        <v>13396</v>
      </c>
      <c r="C697" t="s">
        <v>74</v>
      </c>
      <c r="D697" t="s">
        <v>74</v>
      </c>
      <c r="E697" t="s">
        <v>74</v>
      </c>
      <c r="F697" t="s">
        <v>13397</v>
      </c>
      <c r="G697" t="s">
        <v>74</v>
      </c>
      <c r="H697" t="s">
        <v>74</v>
      </c>
      <c r="I697" t="s">
        <v>13398</v>
      </c>
      <c r="J697" t="s">
        <v>13399</v>
      </c>
      <c r="K697" t="s">
        <v>74</v>
      </c>
      <c r="L697" t="s">
        <v>74</v>
      </c>
      <c r="M697" t="s">
        <v>78</v>
      </c>
      <c r="N697" t="s">
        <v>79</v>
      </c>
      <c r="O697" t="s">
        <v>74</v>
      </c>
      <c r="P697" t="s">
        <v>74</v>
      </c>
      <c r="Q697" t="s">
        <v>74</v>
      </c>
      <c r="R697" t="s">
        <v>74</v>
      </c>
      <c r="S697" t="s">
        <v>74</v>
      </c>
      <c r="T697" t="s">
        <v>13400</v>
      </c>
      <c r="U697" t="s">
        <v>13401</v>
      </c>
      <c r="V697" t="s">
        <v>13402</v>
      </c>
      <c r="W697" t="s">
        <v>13403</v>
      </c>
      <c r="X697" t="s">
        <v>13404</v>
      </c>
      <c r="Y697" t="s">
        <v>13405</v>
      </c>
      <c r="Z697" t="s">
        <v>13406</v>
      </c>
      <c r="AA697" t="s">
        <v>13407</v>
      </c>
      <c r="AB697" t="s">
        <v>13408</v>
      </c>
      <c r="AC697" t="s">
        <v>13409</v>
      </c>
      <c r="AD697" t="s">
        <v>13410</v>
      </c>
      <c r="AE697" t="s">
        <v>13411</v>
      </c>
      <c r="AF697" t="s">
        <v>74</v>
      </c>
      <c r="AG697">
        <v>50</v>
      </c>
      <c r="AH697">
        <v>0</v>
      </c>
      <c r="AI697">
        <v>0</v>
      </c>
      <c r="AJ697">
        <v>10</v>
      </c>
      <c r="AK697">
        <v>10</v>
      </c>
      <c r="AL697" t="s">
        <v>947</v>
      </c>
      <c r="AM697" t="s">
        <v>948</v>
      </c>
      <c r="AN697" t="s">
        <v>949</v>
      </c>
      <c r="AO697" t="s">
        <v>13412</v>
      </c>
      <c r="AP697" t="s">
        <v>13413</v>
      </c>
      <c r="AQ697" t="s">
        <v>74</v>
      </c>
      <c r="AR697" t="s">
        <v>13414</v>
      </c>
      <c r="AS697" t="s">
        <v>13415</v>
      </c>
      <c r="AT697" t="s">
        <v>1947</v>
      </c>
      <c r="AU697">
        <v>2023</v>
      </c>
      <c r="AV697">
        <v>174</v>
      </c>
      <c r="AW697" t="s">
        <v>74</v>
      </c>
      <c r="AX697">
        <v>1</v>
      </c>
      <c r="AY697" t="s">
        <v>74</v>
      </c>
      <c r="AZ697" t="s">
        <v>74</v>
      </c>
      <c r="BA697" t="s">
        <v>74</v>
      </c>
      <c r="BB697" t="s">
        <v>74</v>
      </c>
      <c r="BC697" t="s">
        <v>74</v>
      </c>
      <c r="BD697">
        <v>113499</v>
      </c>
      <c r="BE697" t="s">
        <v>13416</v>
      </c>
      <c r="BF697" t="str">
        <f>HYPERLINK("http://dx.doi.org/10.1016/j.foodres.2023.113499","http://dx.doi.org/10.1016/j.foodres.2023.113499")</f>
        <v>http://dx.doi.org/10.1016/j.foodres.2023.113499</v>
      </c>
      <c r="BG697" t="s">
        <v>74</v>
      </c>
      <c r="BH697" t="s">
        <v>11428</v>
      </c>
      <c r="BI697">
        <v>11</v>
      </c>
      <c r="BJ697" t="s">
        <v>6029</v>
      </c>
      <c r="BK697" t="s">
        <v>100</v>
      </c>
      <c r="BL697" t="s">
        <v>6029</v>
      </c>
      <c r="BM697" t="s">
        <v>13417</v>
      </c>
      <c r="BN697">
        <v>37986414</v>
      </c>
      <c r="BO697" t="s">
        <v>74</v>
      </c>
      <c r="BP697" t="s">
        <v>74</v>
      </c>
      <c r="BQ697" t="s">
        <v>74</v>
      </c>
      <c r="BR697" t="s">
        <v>104</v>
      </c>
      <c r="BS697" t="s">
        <v>13418</v>
      </c>
      <c r="BT697" t="str">
        <f>HYPERLINK("https%3A%2F%2Fwww.webofscience.com%2Fwos%2Fwoscc%2Ffull-record%2FWOS:001096852600001","View Full Record in Web of Science")</f>
        <v>View Full Record in Web of Science</v>
      </c>
    </row>
    <row r="698" spans="1:72" x14ac:dyDescent="0.15">
      <c r="A698" t="s">
        <v>72</v>
      </c>
      <c r="B698" t="s">
        <v>13419</v>
      </c>
      <c r="C698" t="s">
        <v>74</v>
      </c>
      <c r="D698" t="s">
        <v>74</v>
      </c>
      <c r="E698" t="s">
        <v>74</v>
      </c>
      <c r="F698" t="s">
        <v>13420</v>
      </c>
      <c r="G698" t="s">
        <v>74</v>
      </c>
      <c r="H698" t="s">
        <v>74</v>
      </c>
      <c r="I698" t="s">
        <v>13421</v>
      </c>
      <c r="J698" t="s">
        <v>1746</v>
      </c>
      <c r="K698" t="s">
        <v>74</v>
      </c>
      <c r="L698" t="s">
        <v>74</v>
      </c>
      <c r="M698" t="s">
        <v>78</v>
      </c>
      <c r="N698" t="s">
        <v>79</v>
      </c>
      <c r="O698" t="s">
        <v>74</v>
      </c>
      <c r="P698" t="s">
        <v>74</v>
      </c>
      <c r="Q698" t="s">
        <v>74</v>
      </c>
      <c r="R698" t="s">
        <v>74</v>
      </c>
      <c r="S698" t="s">
        <v>74</v>
      </c>
      <c r="T698" t="s">
        <v>13422</v>
      </c>
      <c r="U698" t="s">
        <v>13423</v>
      </c>
      <c r="V698" t="s">
        <v>13424</v>
      </c>
      <c r="W698" t="s">
        <v>13425</v>
      </c>
      <c r="X698" t="s">
        <v>13426</v>
      </c>
      <c r="Y698" t="s">
        <v>13427</v>
      </c>
      <c r="Z698" t="s">
        <v>13428</v>
      </c>
      <c r="AA698" t="s">
        <v>74</v>
      </c>
      <c r="AB698" t="s">
        <v>74</v>
      </c>
      <c r="AC698" t="s">
        <v>13429</v>
      </c>
      <c r="AD698" t="s">
        <v>13430</v>
      </c>
      <c r="AE698" t="s">
        <v>13431</v>
      </c>
      <c r="AF698" t="s">
        <v>74</v>
      </c>
      <c r="AG698">
        <v>88</v>
      </c>
      <c r="AH698">
        <v>1</v>
      </c>
      <c r="AI698">
        <v>1</v>
      </c>
      <c r="AJ698">
        <v>6</v>
      </c>
      <c r="AK698">
        <v>6</v>
      </c>
      <c r="AL698" t="s">
        <v>1758</v>
      </c>
      <c r="AM698" t="s">
        <v>1759</v>
      </c>
      <c r="AN698" t="s">
        <v>1760</v>
      </c>
      <c r="AO698" t="s">
        <v>74</v>
      </c>
      <c r="AP698" t="s">
        <v>1761</v>
      </c>
      <c r="AQ698" t="s">
        <v>74</v>
      </c>
      <c r="AR698" t="s">
        <v>1762</v>
      </c>
      <c r="AS698" t="s">
        <v>1763</v>
      </c>
      <c r="AT698" t="s">
        <v>13340</v>
      </c>
      <c r="AU698">
        <v>2023</v>
      </c>
      <c r="AV698">
        <v>10</v>
      </c>
      <c r="AW698" t="s">
        <v>74</v>
      </c>
      <c r="AX698" t="s">
        <v>74</v>
      </c>
      <c r="AY698" t="s">
        <v>74</v>
      </c>
      <c r="AZ698" t="s">
        <v>74</v>
      </c>
      <c r="BA698" t="s">
        <v>74</v>
      </c>
      <c r="BB698" t="s">
        <v>74</v>
      </c>
      <c r="BC698" t="s">
        <v>74</v>
      </c>
      <c r="BD698">
        <v>1281854</v>
      </c>
      <c r="BE698" t="s">
        <v>13432</v>
      </c>
      <c r="BF698" t="str">
        <f>HYPERLINK("http://dx.doi.org/10.3389/fmars.2023.1281854","http://dx.doi.org/10.3389/fmars.2023.1281854")</f>
        <v>http://dx.doi.org/10.3389/fmars.2023.1281854</v>
      </c>
      <c r="BG698" t="s">
        <v>74</v>
      </c>
      <c r="BH698" t="s">
        <v>74</v>
      </c>
      <c r="BI698">
        <v>11</v>
      </c>
      <c r="BJ698" t="s">
        <v>1135</v>
      </c>
      <c r="BK698" t="s">
        <v>100</v>
      </c>
      <c r="BL698" t="s">
        <v>1136</v>
      </c>
      <c r="BM698" t="s">
        <v>13433</v>
      </c>
      <c r="BN698" t="s">
        <v>74</v>
      </c>
      <c r="BO698" t="s">
        <v>131</v>
      </c>
      <c r="BP698" t="s">
        <v>74</v>
      </c>
      <c r="BQ698" t="s">
        <v>74</v>
      </c>
      <c r="BR698" t="s">
        <v>104</v>
      </c>
      <c r="BS698" t="s">
        <v>13434</v>
      </c>
      <c r="BT698" t="str">
        <f>HYPERLINK("https%3A%2F%2Fwww.webofscience.com%2Fwos%2Fwoscc%2Ffull-record%2FWOS:001091288000001","View Full Record in Web of Science")</f>
        <v>View Full Record in Web of Science</v>
      </c>
    </row>
    <row r="699" spans="1:72" x14ac:dyDescent="0.15">
      <c r="A699" t="s">
        <v>72</v>
      </c>
      <c r="B699" t="s">
        <v>13435</v>
      </c>
      <c r="C699" t="s">
        <v>74</v>
      </c>
      <c r="D699" t="s">
        <v>74</v>
      </c>
      <c r="E699" t="s">
        <v>74</v>
      </c>
      <c r="F699" t="s">
        <v>13436</v>
      </c>
      <c r="G699" t="s">
        <v>74</v>
      </c>
      <c r="H699" t="s">
        <v>74</v>
      </c>
      <c r="I699" t="s">
        <v>13437</v>
      </c>
      <c r="J699" t="s">
        <v>3287</v>
      </c>
      <c r="K699" t="s">
        <v>74</v>
      </c>
      <c r="L699" t="s">
        <v>74</v>
      </c>
      <c r="M699" t="s">
        <v>78</v>
      </c>
      <c r="N699" t="s">
        <v>79</v>
      </c>
      <c r="O699" t="s">
        <v>74</v>
      </c>
      <c r="P699" t="s">
        <v>74</v>
      </c>
      <c r="Q699" t="s">
        <v>74</v>
      </c>
      <c r="R699" t="s">
        <v>74</v>
      </c>
      <c r="S699" t="s">
        <v>74</v>
      </c>
      <c r="T699" t="s">
        <v>74</v>
      </c>
      <c r="U699" t="s">
        <v>13438</v>
      </c>
      <c r="V699" t="s">
        <v>13439</v>
      </c>
      <c r="W699" t="s">
        <v>13440</v>
      </c>
      <c r="X699" t="s">
        <v>13441</v>
      </c>
      <c r="Y699" t="s">
        <v>13442</v>
      </c>
      <c r="Z699" t="s">
        <v>13443</v>
      </c>
      <c r="AA699" t="s">
        <v>13444</v>
      </c>
      <c r="AB699" t="s">
        <v>13445</v>
      </c>
      <c r="AC699" t="s">
        <v>13446</v>
      </c>
      <c r="AD699" t="s">
        <v>13447</v>
      </c>
      <c r="AE699" t="s">
        <v>13448</v>
      </c>
      <c r="AF699" t="s">
        <v>74</v>
      </c>
      <c r="AG699">
        <v>106</v>
      </c>
      <c r="AH699">
        <v>1</v>
      </c>
      <c r="AI699">
        <v>1</v>
      </c>
      <c r="AJ699">
        <v>9</v>
      </c>
      <c r="AK699">
        <v>11</v>
      </c>
      <c r="AL699" t="s">
        <v>1710</v>
      </c>
      <c r="AM699" t="s">
        <v>1209</v>
      </c>
      <c r="AN699" t="s">
        <v>1711</v>
      </c>
      <c r="AO699" t="s">
        <v>3297</v>
      </c>
      <c r="AP699" t="s">
        <v>74</v>
      </c>
      <c r="AQ699" t="s">
        <v>74</v>
      </c>
      <c r="AR699" t="s">
        <v>3298</v>
      </c>
      <c r="AS699" t="s">
        <v>3299</v>
      </c>
      <c r="AT699" t="s">
        <v>13340</v>
      </c>
      <c r="AU699">
        <v>2023</v>
      </c>
      <c r="AV699">
        <v>9</v>
      </c>
      <c r="AW699">
        <v>41</v>
      </c>
      <c r="AX699" t="s">
        <v>74</v>
      </c>
      <c r="AY699" t="s">
        <v>74</v>
      </c>
      <c r="AZ699" t="s">
        <v>74</v>
      </c>
      <c r="BA699" t="s">
        <v>74</v>
      </c>
      <c r="BB699" t="s">
        <v>74</v>
      </c>
      <c r="BC699" t="s">
        <v>74</v>
      </c>
      <c r="BD699" t="s">
        <v>13449</v>
      </c>
      <c r="BE699" t="s">
        <v>13450</v>
      </c>
      <c r="BF699" t="str">
        <f>HYPERLINK("http://dx.doi.org/10.1126/sciadv.adi0186","http://dx.doi.org/10.1126/sciadv.adi0186")</f>
        <v>http://dx.doi.org/10.1126/sciadv.adi0186</v>
      </c>
      <c r="BG699" t="s">
        <v>74</v>
      </c>
      <c r="BH699" t="s">
        <v>74</v>
      </c>
      <c r="BI699">
        <v>12</v>
      </c>
      <c r="BJ699" t="s">
        <v>1035</v>
      </c>
      <c r="BK699" t="s">
        <v>100</v>
      </c>
      <c r="BL699" t="s">
        <v>1036</v>
      </c>
      <c r="BM699" t="s">
        <v>13451</v>
      </c>
      <c r="BN699">
        <v>37824617</v>
      </c>
      <c r="BO699" t="s">
        <v>131</v>
      </c>
      <c r="BP699" t="s">
        <v>74</v>
      </c>
      <c r="BQ699" t="s">
        <v>74</v>
      </c>
      <c r="BR699" t="s">
        <v>104</v>
      </c>
      <c r="BS699" t="s">
        <v>13452</v>
      </c>
      <c r="BT699" t="str">
        <f>HYPERLINK("https%3A%2F%2Fwww.webofscience.com%2Fwos%2Fwoscc%2Ffull-record%2FWOS:001086506900028","View Full Record in Web of Science")</f>
        <v>View Full Record in Web of Science</v>
      </c>
    </row>
    <row r="700" spans="1:72" x14ac:dyDescent="0.15">
      <c r="A700" t="s">
        <v>72</v>
      </c>
      <c r="B700" t="s">
        <v>13453</v>
      </c>
      <c r="C700" t="s">
        <v>74</v>
      </c>
      <c r="D700" t="s">
        <v>74</v>
      </c>
      <c r="E700" t="s">
        <v>74</v>
      </c>
      <c r="F700" t="s">
        <v>13454</v>
      </c>
      <c r="G700" t="s">
        <v>74</v>
      </c>
      <c r="H700" t="s">
        <v>74</v>
      </c>
      <c r="I700" t="s">
        <v>13455</v>
      </c>
      <c r="J700" t="s">
        <v>3287</v>
      </c>
      <c r="K700" t="s">
        <v>74</v>
      </c>
      <c r="L700" t="s">
        <v>74</v>
      </c>
      <c r="M700" t="s">
        <v>78</v>
      </c>
      <c r="N700" t="s">
        <v>79</v>
      </c>
      <c r="O700" t="s">
        <v>74</v>
      </c>
      <c r="P700" t="s">
        <v>74</v>
      </c>
      <c r="Q700" t="s">
        <v>74</v>
      </c>
      <c r="R700" t="s">
        <v>74</v>
      </c>
      <c r="S700" t="s">
        <v>74</v>
      </c>
      <c r="T700" t="s">
        <v>74</v>
      </c>
      <c r="U700" t="s">
        <v>13456</v>
      </c>
      <c r="V700" t="s">
        <v>13457</v>
      </c>
      <c r="W700" t="s">
        <v>13458</v>
      </c>
      <c r="X700" t="s">
        <v>13459</v>
      </c>
      <c r="Y700" t="s">
        <v>13460</v>
      </c>
      <c r="Z700" t="s">
        <v>13461</v>
      </c>
      <c r="AA700" t="s">
        <v>13462</v>
      </c>
      <c r="AB700" t="s">
        <v>74</v>
      </c>
      <c r="AC700" t="s">
        <v>13463</v>
      </c>
      <c r="AD700" t="s">
        <v>13464</v>
      </c>
      <c r="AE700" t="s">
        <v>13465</v>
      </c>
      <c r="AF700" t="s">
        <v>74</v>
      </c>
      <c r="AG700">
        <v>100</v>
      </c>
      <c r="AH700">
        <v>0</v>
      </c>
      <c r="AI700">
        <v>0</v>
      </c>
      <c r="AJ700">
        <v>21</v>
      </c>
      <c r="AK700">
        <v>22</v>
      </c>
      <c r="AL700" t="s">
        <v>1710</v>
      </c>
      <c r="AM700" t="s">
        <v>1209</v>
      </c>
      <c r="AN700" t="s">
        <v>1711</v>
      </c>
      <c r="AO700" t="s">
        <v>3297</v>
      </c>
      <c r="AP700" t="s">
        <v>74</v>
      </c>
      <c r="AQ700" t="s">
        <v>74</v>
      </c>
      <c r="AR700" t="s">
        <v>3298</v>
      </c>
      <c r="AS700" t="s">
        <v>3299</v>
      </c>
      <c r="AT700" t="s">
        <v>13340</v>
      </c>
      <c r="AU700">
        <v>2023</v>
      </c>
      <c r="AV700">
        <v>9</v>
      </c>
      <c r="AW700">
        <v>41</v>
      </c>
      <c r="AX700" t="s">
        <v>74</v>
      </c>
      <c r="AY700" t="s">
        <v>74</v>
      </c>
      <c r="AZ700" t="s">
        <v>74</v>
      </c>
      <c r="BA700" t="s">
        <v>74</v>
      </c>
      <c r="BB700" t="s">
        <v>74</v>
      </c>
      <c r="BC700" t="s">
        <v>74</v>
      </c>
      <c r="BD700" t="s">
        <v>13466</v>
      </c>
      <c r="BE700" t="s">
        <v>13467</v>
      </c>
      <c r="BF700" t="str">
        <f>HYPERLINK("http://dx.doi.org/10.1126/sciadv.adh9513","http://dx.doi.org/10.1126/sciadv.adh9513")</f>
        <v>http://dx.doi.org/10.1126/sciadv.adh9513</v>
      </c>
      <c r="BG700" t="s">
        <v>74</v>
      </c>
      <c r="BH700" t="s">
        <v>74</v>
      </c>
      <c r="BI700">
        <v>15</v>
      </c>
      <c r="BJ700" t="s">
        <v>1035</v>
      </c>
      <c r="BK700" t="s">
        <v>100</v>
      </c>
      <c r="BL700" t="s">
        <v>1036</v>
      </c>
      <c r="BM700" t="s">
        <v>13451</v>
      </c>
      <c r="BN700">
        <v>37824627</v>
      </c>
      <c r="BO700" t="s">
        <v>9546</v>
      </c>
      <c r="BP700" t="s">
        <v>74</v>
      </c>
      <c r="BQ700" t="s">
        <v>74</v>
      </c>
      <c r="BR700" t="s">
        <v>104</v>
      </c>
      <c r="BS700" t="s">
        <v>13468</v>
      </c>
      <c r="BT700" t="str">
        <f>HYPERLINK("https%3A%2F%2Fwww.webofscience.com%2Fwos%2Fwoscc%2Ffull-record%2FWOS:001086506900021","View Full Record in Web of Science")</f>
        <v>View Full Record in Web of Science</v>
      </c>
    </row>
    <row r="701" spans="1:72" x14ac:dyDescent="0.15">
      <c r="A701" t="s">
        <v>72</v>
      </c>
      <c r="B701" t="s">
        <v>13469</v>
      </c>
      <c r="C701" t="s">
        <v>74</v>
      </c>
      <c r="D701" t="s">
        <v>74</v>
      </c>
      <c r="E701" t="s">
        <v>74</v>
      </c>
      <c r="F701" t="s">
        <v>13470</v>
      </c>
      <c r="G701" t="s">
        <v>74</v>
      </c>
      <c r="H701" t="s">
        <v>74</v>
      </c>
      <c r="I701" t="s">
        <v>13471</v>
      </c>
      <c r="J701" t="s">
        <v>13472</v>
      </c>
      <c r="K701" t="s">
        <v>74</v>
      </c>
      <c r="L701" t="s">
        <v>74</v>
      </c>
      <c r="M701" t="s">
        <v>78</v>
      </c>
      <c r="N701" t="s">
        <v>1547</v>
      </c>
      <c r="O701" t="s">
        <v>74</v>
      </c>
      <c r="P701" t="s">
        <v>74</v>
      </c>
      <c r="Q701" t="s">
        <v>74</v>
      </c>
      <c r="R701" t="s">
        <v>74</v>
      </c>
      <c r="S701" t="s">
        <v>74</v>
      </c>
      <c r="T701" t="s">
        <v>13473</v>
      </c>
      <c r="U701" t="s">
        <v>13474</v>
      </c>
      <c r="V701" t="s">
        <v>13475</v>
      </c>
      <c r="W701" t="s">
        <v>13476</v>
      </c>
      <c r="X701" t="s">
        <v>13477</v>
      </c>
      <c r="Y701" t="s">
        <v>13478</v>
      </c>
      <c r="Z701" t="s">
        <v>13479</v>
      </c>
      <c r="AA701" t="s">
        <v>13480</v>
      </c>
      <c r="AB701" t="s">
        <v>13481</v>
      </c>
      <c r="AC701" t="s">
        <v>13482</v>
      </c>
      <c r="AD701" t="s">
        <v>13483</v>
      </c>
      <c r="AE701" t="s">
        <v>13484</v>
      </c>
      <c r="AF701" t="s">
        <v>74</v>
      </c>
      <c r="AG701">
        <v>53</v>
      </c>
      <c r="AH701">
        <v>2</v>
      </c>
      <c r="AI701">
        <v>2</v>
      </c>
      <c r="AJ701">
        <v>10</v>
      </c>
      <c r="AK701">
        <v>10</v>
      </c>
      <c r="AL701" t="s">
        <v>1101</v>
      </c>
      <c r="AM701" t="s">
        <v>1102</v>
      </c>
      <c r="AN701" t="s">
        <v>6210</v>
      </c>
      <c r="AO701" t="s">
        <v>74</v>
      </c>
      <c r="AP701" t="s">
        <v>13485</v>
      </c>
      <c r="AQ701" t="s">
        <v>74</v>
      </c>
      <c r="AR701" t="s">
        <v>13486</v>
      </c>
      <c r="AS701" t="s">
        <v>13487</v>
      </c>
      <c r="AT701" t="s">
        <v>13488</v>
      </c>
      <c r="AU701">
        <v>2023</v>
      </c>
      <c r="AV701" t="s">
        <v>74</v>
      </c>
      <c r="AW701" t="s">
        <v>74</v>
      </c>
      <c r="AX701" t="s">
        <v>74</v>
      </c>
      <c r="AY701" t="s">
        <v>74</v>
      </c>
      <c r="AZ701" t="s">
        <v>74</v>
      </c>
      <c r="BA701" t="s">
        <v>74</v>
      </c>
      <c r="BB701" t="s">
        <v>74</v>
      </c>
      <c r="BC701" t="s">
        <v>74</v>
      </c>
      <c r="BD701" t="s">
        <v>74</v>
      </c>
      <c r="BE701" t="s">
        <v>13489</v>
      </c>
      <c r="BF701" t="str">
        <f>HYPERLINK("http://dx.doi.org/10.1002/rse2.371","http://dx.doi.org/10.1002/rse2.371")</f>
        <v>http://dx.doi.org/10.1002/rse2.371</v>
      </c>
      <c r="BG701" t="s">
        <v>74</v>
      </c>
      <c r="BH701" t="s">
        <v>11428</v>
      </c>
      <c r="BI701">
        <v>16</v>
      </c>
      <c r="BJ701" t="s">
        <v>13490</v>
      </c>
      <c r="BK701" t="s">
        <v>100</v>
      </c>
      <c r="BL701" t="s">
        <v>13491</v>
      </c>
      <c r="BM701" t="s">
        <v>13492</v>
      </c>
      <c r="BN701" t="s">
        <v>74</v>
      </c>
      <c r="BO701" t="s">
        <v>131</v>
      </c>
      <c r="BP701" t="s">
        <v>74</v>
      </c>
      <c r="BQ701" t="s">
        <v>74</v>
      </c>
      <c r="BR701" t="s">
        <v>104</v>
      </c>
      <c r="BS701" t="s">
        <v>13493</v>
      </c>
      <c r="BT701" t="str">
        <f>HYPERLINK("https%3A%2F%2Fwww.webofscience.com%2Fwos%2Fwoscc%2Ffull-record%2FWOS:001084159000001","View Full Record in Web of Science")</f>
        <v>View Full Record in Web of Science</v>
      </c>
    </row>
    <row r="702" spans="1:72" x14ac:dyDescent="0.15">
      <c r="A702" t="s">
        <v>72</v>
      </c>
      <c r="B702" t="s">
        <v>13494</v>
      </c>
      <c r="C702" t="s">
        <v>74</v>
      </c>
      <c r="D702" t="s">
        <v>74</v>
      </c>
      <c r="E702" t="s">
        <v>74</v>
      </c>
      <c r="F702" t="s">
        <v>13495</v>
      </c>
      <c r="G702" t="s">
        <v>74</v>
      </c>
      <c r="H702" t="s">
        <v>74</v>
      </c>
      <c r="I702" t="s">
        <v>13496</v>
      </c>
      <c r="J702" t="s">
        <v>9176</v>
      </c>
      <c r="K702" t="s">
        <v>74</v>
      </c>
      <c r="L702" t="s">
        <v>74</v>
      </c>
      <c r="M702" t="s">
        <v>78</v>
      </c>
      <c r="N702" t="s">
        <v>79</v>
      </c>
      <c r="O702" t="s">
        <v>74</v>
      </c>
      <c r="P702" t="s">
        <v>74</v>
      </c>
      <c r="Q702" t="s">
        <v>74</v>
      </c>
      <c r="R702" t="s">
        <v>74</v>
      </c>
      <c r="S702" t="s">
        <v>74</v>
      </c>
      <c r="T702" t="s">
        <v>74</v>
      </c>
      <c r="U702" t="s">
        <v>13497</v>
      </c>
      <c r="V702" t="s">
        <v>13498</v>
      </c>
      <c r="W702" t="s">
        <v>13499</v>
      </c>
      <c r="X702" t="s">
        <v>13500</v>
      </c>
      <c r="Y702" t="s">
        <v>13501</v>
      </c>
      <c r="Z702" t="s">
        <v>13502</v>
      </c>
      <c r="AA702" t="s">
        <v>13503</v>
      </c>
      <c r="AB702" t="s">
        <v>13504</v>
      </c>
      <c r="AC702" t="s">
        <v>13505</v>
      </c>
      <c r="AD702" t="s">
        <v>13506</v>
      </c>
      <c r="AE702" t="s">
        <v>13507</v>
      </c>
      <c r="AF702" t="s">
        <v>74</v>
      </c>
      <c r="AG702">
        <v>58</v>
      </c>
      <c r="AH702">
        <v>0</v>
      </c>
      <c r="AI702">
        <v>0</v>
      </c>
      <c r="AJ702">
        <v>0</v>
      </c>
      <c r="AK702">
        <v>0</v>
      </c>
      <c r="AL702" t="s">
        <v>1838</v>
      </c>
      <c r="AM702" t="s">
        <v>1839</v>
      </c>
      <c r="AN702" t="s">
        <v>1840</v>
      </c>
      <c r="AO702" t="s">
        <v>9185</v>
      </c>
      <c r="AP702" t="s">
        <v>9186</v>
      </c>
      <c r="AQ702" t="s">
        <v>74</v>
      </c>
      <c r="AR702" t="s">
        <v>9187</v>
      </c>
      <c r="AS702" t="s">
        <v>9188</v>
      </c>
      <c r="AT702" t="s">
        <v>13508</v>
      </c>
      <c r="AU702">
        <v>2023</v>
      </c>
      <c r="AV702">
        <v>16</v>
      </c>
      <c r="AW702">
        <v>19</v>
      </c>
      <c r="AX702" t="s">
        <v>74</v>
      </c>
      <c r="AY702" t="s">
        <v>74</v>
      </c>
      <c r="AZ702" t="s">
        <v>74</v>
      </c>
      <c r="BA702" t="s">
        <v>74</v>
      </c>
      <c r="BB702">
        <v>4529</v>
      </c>
      <c r="BC702">
        <v>4550</v>
      </c>
      <c r="BD702" t="s">
        <v>74</v>
      </c>
      <c r="BE702" t="s">
        <v>13509</v>
      </c>
      <c r="BF702" t="str">
        <f>HYPERLINK("http://dx.doi.org/10.5194/amt-16-4529-2023","http://dx.doi.org/10.5194/amt-16-4529-2023")</f>
        <v>http://dx.doi.org/10.5194/amt-16-4529-2023</v>
      </c>
      <c r="BG702" t="s">
        <v>74</v>
      </c>
      <c r="BH702" t="s">
        <v>74</v>
      </c>
      <c r="BI702">
        <v>22</v>
      </c>
      <c r="BJ702" t="s">
        <v>1522</v>
      </c>
      <c r="BK702" t="s">
        <v>100</v>
      </c>
      <c r="BL702" t="s">
        <v>1522</v>
      </c>
      <c r="BM702" t="s">
        <v>13510</v>
      </c>
      <c r="BN702" t="s">
        <v>74</v>
      </c>
      <c r="BO702" t="s">
        <v>131</v>
      </c>
      <c r="BP702" t="s">
        <v>74</v>
      </c>
      <c r="BQ702" t="s">
        <v>74</v>
      </c>
      <c r="BR702" t="s">
        <v>104</v>
      </c>
      <c r="BS702" t="s">
        <v>13511</v>
      </c>
      <c r="BT702" t="str">
        <f>HYPERLINK("https%3A%2F%2Fwww.webofscience.com%2Fwos%2Fwoscc%2Ffull-record%2FWOS:001161779800001","View Full Record in Web of Science")</f>
        <v>View Full Record in Web of Science</v>
      </c>
    </row>
    <row r="703" spans="1:72" x14ac:dyDescent="0.15">
      <c r="A703" t="s">
        <v>72</v>
      </c>
      <c r="B703" t="s">
        <v>11922</v>
      </c>
      <c r="C703" t="s">
        <v>74</v>
      </c>
      <c r="D703" t="s">
        <v>74</v>
      </c>
      <c r="E703" t="s">
        <v>74</v>
      </c>
      <c r="F703" t="s">
        <v>11923</v>
      </c>
      <c r="G703" t="s">
        <v>74</v>
      </c>
      <c r="H703" t="s">
        <v>74</v>
      </c>
      <c r="I703" t="s">
        <v>13512</v>
      </c>
      <c r="J703" t="s">
        <v>11925</v>
      </c>
      <c r="K703" t="s">
        <v>74</v>
      </c>
      <c r="L703" t="s">
        <v>74</v>
      </c>
      <c r="M703" t="s">
        <v>78</v>
      </c>
      <c r="N703" t="s">
        <v>920</v>
      </c>
      <c r="O703" t="s">
        <v>74</v>
      </c>
      <c r="P703" t="s">
        <v>74</v>
      </c>
      <c r="Q703" t="s">
        <v>74</v>
      </c>
      <c r="R703" t="s">
        <v>74</v>
      </c>
      <c r="S703" t="s">
        <v>74</v>
      </c>
      <c r="T703" t="s">
        <v>74</v>
      </c>
      <c r="U703" t="s">
        <v>74</v>
      </c>
      <c r="V703" t="s">
        <v>74</v>
      </c>
      <c r="W703" t="s">
        <v>13513</v>
      </c>
      <c r="X703" t="s">
        <v>2773</v>
      </c>
      <c r="Y703" t="s">
        <v>13514</v>
      </c>
      <c r="Z703" t="s">
        <v>13515</v>
      </c>
      <c r="AA703" t="s">
        <v>11930</v>
      </c>
      <c r="AB703" t="s">
        <v>11931</v>
      </c>
      <c r="AC703" t="s">
        <v>74</v>
      </c>
      <c r="AD703" t="s">
        <v>74</v>
      </c>
      <c r="AE703" t="s">
        <v>74</v>
      </c>
      <c r="AF703" t="s">
        <v>74</v>
      </c>
      <c r="AG703">
        <v>0</v>
      </c>
      <c r="AH703">
        <v>0</v>
      </c>
      <c r="AI703">
        <v>0</v>
      </c>
      <c r="AJ703">
        <v>0</v>
      </c>
      <c r="AK703">
        <v>0</v>
      </c>
      <c r="AL703" t="s">
        <v>119</v>
      </c>
      <c r="AM703" t="s">
        <v>120</v>
      </c>
      <c r="AN703" t="s">
        <v>121</v>
      </c>
      <c r="AO703" t="s">
        <v>11932</v>
      </c>
      <c r="AP703" t="s">
        <v>11933</v>
      </c>
      <c r="AQ703" t="s">
        <v>74</v>
      </c>
      <c r="AR703" t="s">
        <v>11934</v>
      </c>
      <c r="AS703" t="s">
        <v>11935</v>
      </c>
      <c r="AT703" t="s">
        <v>11936</v>
      </c>
      <c r="AU703">
        <v>2023</v>
      </c>
      <c r="AV703">
        <v>13</v>
      </c>
      <c r="AW703">
        <v>2</v>
      </c>
      <c r="AX703" t="s">
        <v>74</v>
      </c>
      <c r="AY703" t="s">
        <v>74</v>
      </c>
      <c r="AZ703" t="s">
        <v>4005</v>
      </c>
      <c r="BA703" t="s">
        <v>74</v>
      </c>
      <c r="BB703">
        <v>372</v>
      </c>
      <c r="BC703">
        <v>374</v>
      </c>
      <c r="BD703" t="s">
        <v>74</v>
      </c>
      <c r="BE703" t="s">
        <v>13516</v>
      </c>
      <c r="BF703" t="str">
        <f>HYPERLINK("http://dx.doi.org/10.1080/2154896X.2023.2263999","http://dx.doi.org/10.1080/2154896X.2023.2263999")</f>
        <v>http://dx.doi.org/10.1080/2154896X.2023.2263999</v>
      </c>
      <c r="BG703" t="s">
        <v>74</v>
      </c>
      <c r="BH703" t="s">
        <v>11428</v>
      </c>
      <c r="BI703">
        <v>3</v>
      </c>
      <c r="BJ703" t="s">
        <v>11938</v>
      </c>
      <c r="BK703" t="s">
        <v>912</v>
      </c>
      <c r="BL703" t="s">
        <v>11939</v>
      </c>
      <c r="BM703" t="s">
        <v>11940</v>
      </c>
      <c r="BN703" t="s">
        <v>74</v>
      </c>
      <c r="BO703" t="s">
        <v>74</v>
      </c>
      <c r="BP703" t="s">
        <v>74</v>
      </c>
      <c r="BQ703" t="s">
        <v>74</v>
      </c>
      <c r="BR703" t="s">
        <v>104</v>
      </c>
      <c r="BS703" t="s">
        <v>13517</v>
      </c>
      <c r="BT703" t="str">
        <f>HYPERLINK("https%3A%2F%2Fwww.webofscience.com%2Fwos%2Fwoscc%2Ffull-record%2FWOS:001098846700001","View Full Record in Web of Science")</f>
        <v>View Full Record in Web of Science</v>
      </c>
    </row>
    <row r="704" spans="1:72" x14ac:dyDescent="0.15">
      <c r="A704" t="s">
        <v>72</v>
      </c>
      <c r="B704" t="s">
        <v>13518</v>
      </c>
      <c r="C704" t="s">
        <v>74</v>
      </c>
      <c r="D704" t="s">
        <v>74</v>
      </c>
      <c r="E704" t="s">
        <v>74</v>
      </c>
      <c r="F704" t="s">
        <v>13519</v>
      </c>
      <c r="G704" t="s">
        <v>74</v>
      </c>
      <c r="H704" t="s">
        <v>74</v>
      </c>
      <c r="I704" t="s">
        <v>13520</v>
      </c>
      <c r="J704" t="s">
        <v>13521</v>
      </c>
      <c r="K704" t="s">
        <v>74</v>
      </c>
      <c r="L704" t="s">
        <v>74</v>
      </c>
      <c r="M704" t="s">
        <v>78</v>
      </c>
      <c r="N704" t="s">
        <v>79</v>
      </c>
      <c r="O704" t="s">
        <v>74</v>
      </c>
      <c r="P704" t="s">
        <v>74</v>
      </c>
      <c r="Q704" t="s">
        <v>74</v>
      </c>
      <c r="R704" t="s">
        <v>74</v>
      </c>
      <c r="S704" t="s">
        <v>74</v>
      </c>
      <c r="T704" t="s">
        <v>13522</v>
      </c>
      <c r="U704" t="s">
        <v>13523</v>
      </c>
      <c r="V704" t="s">
        <v>13524</v>
      </c>
      <c r="W704" t="s">
        <v>13525</v>
      </c>
      <c r="X704" t="s">
        <v>13526</v>
      </c>
      <c r="Y704" t="s">
        <v>13527</v>
      </c>
      <c r="Z704" t="s">
        <v>13528</v>
      </c>
      <c r="AA704" t="s">
        <v>74</v>
      </c>
      <c r="AB704" t="s">
        <v>13529</v>
      </c>
      <c r="AC704" t="s">
        <v>13530</v>
      </c>
      <c r="AD704" t="s">
        <v>13531</v>
      </c>
      <c r="AE704" t="s">
        <v>13532</v>
      </c>
      <c r="AF704" t="s">
        <v>74</v>
      </c>
      <c r="AG704">
        <v>82</v>
      </c>
      <c r="AH704">
        <v>0</v>
      </c>
      <c r="AI704">
        <v>0</v>
      </c>
      <c r="AJ704">
        <v>2</v>
      </c>
      <c r="AK704">
        <v>2</v>
      </c>
      <c r="AL704" t="s">
        <v>1758</v>
      </c>
      <c r="AM704" t="s">
        <v>1759</v>
      </c>
      <c r="AN704" t="s">
        <v>1760</v>
      </c>
      <c r="AO704" t="s">
        <v>74</v>
      </c>
      <c r="AP704" t="s">
        <v>13533</v>
      </c>
      <c r="AQ704" t="s">
        <v>74</v>
      </c>
      <c r="AR704" t="s">
        <v>13534</v>
      </c>
      <c r="AS704" t="s">
        <v>13535</v>
      </c>
      <c r="AT704" t="s">
        <v>13508</v>
      </c>
      <c r="AU704">
        <v>2023</v>
      </c>
      <c r="AV704">
        <v>11</v>
      </c>
      <c r="AW704" t="s">
        <v>74</v>
      </c>
      <c r="AX704" t="s">
        <v>74</v>
      </c>
      <c r="AY704" t="s">
        <v>74</v>
      </c>
      <c r="AZ704" t="s">
        <v>74</v>
      </c>
      <c r="BA704" t="s">
        <v>74</v>
      </c>
      <c r="BB704" t="s">
        <v>74</v>
      </c>
      <c r="BC704" t="s">
        <v>74</v>
      </c>
      <c r="BD704">
        <v>1192812</v>
      </c>
      <c r="BE704" t="s">
        <v>13536</v>
      </c>
      <c r="BF704" t="str">
        <f>HYPERLINK("http://dx.doi.org/10.3389/feart.2023.1192812","http://dx.doi.org/10.3389/feart.2023.1192812")</f>
        <v>http://dx.doi.org/10.3389/feart.2023.1192812</v>
      </c>
      <c r="BG704" t="s">
        <v>74</v>
      </c>
      <c r="BH704" t="s">
        <v>74</v>
      </c>
      <c r="BI704">
        <v>21</v>
      </c>
      <c r="BJ704" t="s">
        <v>535</v>
      </c>
      <c r="BK704" t="s">
        <v>100</v>
      </c>
      <c r="BL704" t="s">
        <v>536</v>
      </c>
      <c r="BM704" t="s">
        <v>13537</v>
      </c>
      <c r="BN704" t="s">
        <v>74</v>
      </c>
      <c r="BO704" t="s">
        <v>131</v>
      </c>
      <c r="BP704" t="s">
        <v>74</v>
      </c>
      <c r="BQ704" t="s">
        <v>74</v>
      </c>
      <c r="BR704" t="s">
        <v>104</v>
      </c>
      <c r="BS704" t="s">
        <v>13538</v>
      </c>
      <c r="BT704" t="str">
        <f>HYPERLINK("https%3A%2F%2Fwww.webofscience.com%2Fwos%2Fwoscc%2Ffull-record%2FWOS:001087482300001","View Full Record in Web of Science")</f>
        <v>View Full Record in Web of Science</v>
      </c>
    </row>
    <row r="705" spans="1:72" x14ac:dyDescent="0.15">
      <c r="A705" t="s">
        <v>72</v>
      </c>
      <c r="B705" t="s">
        <v>13539</v>
      </c>
      <c r="C705" t="s">
        <v>74</v>
      </c>
      <c r="D705" t="s">
        <v>74</v>
      </c>
      <c r="E705" t="s">
        <v>74</v>
      </c>
      <c r="F705" t="s">
        <v>13539</v>
      </c>
      <c r="G705" t="s">
        <v>74</v>
      </c>
      <c r="H705" t="s">
        <v>74</v>
      </c>
      <c r="I705" t="s">
        <v>13540</v>
      </c>
      <c r="J705" t="s">
        <v>4870</v>
      </c>
      <c r="K705" t="s">
        <v>74</v>
      </c>
      <c r="L705" t="s">
        <v>74</v>
      </c>
      <c r="M705" t="s">
        <v>78</v>
      </c>
      <c r="N705" t="s">
        <v>920</v>
      </c>
      <c r="O705" t="s">
        <v>74</v>
      </c>
      <c r="P705" t="s">
        <v>74</v>
      </c>
      <c r="Q705" t="s">
        <v>74</v>
      </c>
      <c r="R705" t="s">
        <v>74</v>
      </c>
      <c r="S705" t="s">
        <v>74</v>
      </c>
      <c r="T705" t="s">
        <v>74</v>
      </c>
      <c r="U705" t="s">
        <v>74</v>
      </c>
      <c r="V705" t="s">
        <v>13541</v>
      </c>
      <c r="W705" t="s">
        <v>74</v>
      </c>
      <c r="X705" t="s">
        <v>74</v>
      </c>
      <c r="Y705" t="s">
        <v>74</v>
      </c>
      <c r="Z705" t="s">
        <v>74</v>
      </c>
      <c r="AA705" t="s">
        <v>74</v>
      </c>
      <c r="AB705" t="s">
        <v>74</v>
      </c>
      <c r="AC705" t="s">
        <v>74</v>
      </c>
      <c r="AD705" t="s">
        <v>74</v>
      </c>
      <c r="AE705" t="s">
        <v>74</v>
      </c>
      <c r="AF705" t="s">
        <v>74</v>
      </c>
      <c r="AG705">
        <v>6</v>
      </c>
      <c r="AH705">
        <v>0</v>
      </c>
      <c r="AI705">
        <v>0</v>
      </c>
      <c r="AJ705">
        <v>0</v>
      </c>
      <c r="AK705">
        <v>0</v>
      </c>
      <c r="AL705" t="s">
        <v>3057</v>
      </c>
      <c r="AM705" t="s">
        <v>3058</v>
      </c>
      <c r="AN705" t="s">
        <v>3059</v>
      </c>
      <c r="AO705" t="s">
        <v>4881</v>
      </c>
      <c r="AP705" t="s">
        <v>4882</v>
      </c>
      <c r="AQ705" t="s">
        <v>74</v>
      </c>
      <c r="AR705" t="s">
        <v>4883</v>
      </c>
      <c r="AS705" t="s">
        <v>4884</v>
      </c>
      <c r="AT705" t="s">
        <v>4525</v>
      </c>
      <c r="AU705">
        <v>2023</v>
      </c>
      <c r="AV705">
        <v>16</v>
      </c>
      <c r="AW705">
        <v>11</v>
      </c>
      <c r="AX705" t="s">
        <v>74</v>
      </c>
      <c r="AY705" t="s">
        <v>74</v>
      </c>
      <c r="AZ705" t="s">
        <v>74</v>
      </c>
      <c r="BA705" t="s">
        <v>74</v>
      </c>
      <c r="BB705">
        <v>946</v>
      </c>
      <c r="BC705">
        <v>947</v>
      </c>
      <c r="BD705" t="s">
        <v>74</v>
      </c>
      <c r="BE705" t="s">
        <v>13542</v>
      </c>
      <c r="BF705" t="str">
        <f>HYPERLINK("http://dx.doi.org/10.1038/s41561-023-01267-3","http://dx.doi.org/10.1038/s41561-023-01267-3")</f>
        <v>http://dx.doi.org/10.1038/s41561-023-01267-3</v>
      </c>
      <c r="BG705" t="s">
        <v>74</v>
      </c>
      <c r="BH705" t="s">
        <v>11428</v>
      </c>
      <c r="BI705">
        <v>2</v>
      </c>
      <c r="BJ705" t="s">
        <v>535</v>
      </c>
      <c r="BK705" t="s">
        <v>100</v>
      </c>
      <c r="BL705" t="s">
        <v>536</v>
      </c>
      <c r="BM705" t="s">
        <v>13155</v>
      </c>
      <c r="BN705" t="s">
        <v>74</v>
      </c>
      <c r="BO705" t="s">
        <v>74</v>
      </c>
      <c r="BP705" t="s">
        <v>74</v>
      </c>
      <c r="BQ705" t="s">
        <v>74</v>
      </c>
      <c r="BR705" t="s">
        <v>104</v>
      </c>
      <c r="BS705" t="s">
        <v>13543</v>
      </c>
      <c r="BT705" t="str">
        <f>HYPERLINK("https%3A%2F%2Fwww.webofscience.com%2Fwos%2Fwoscc%2Ffull-record%2FWOS:001087204800002","View Full Record in Web of Science")</f>
        <v>View Full Record in Web of Science</v>
      </c>
    </row>
    <row r="706" spans="1:72" x14ac:dyDescent="0.15">
      <c r="A706" t="s">
        <v>72</v>
      </c>
      <c r="B706" t="s">
        <v>13544</v>
      </c>
      <c r="C706" t="s">
        <v>74</v>
      </c>
      <c r="D706" t="s">
        <v>74</v>
      </c>
      <c r="E706" t="s">
        <v>74</v>
      </c>
      <c r="F706" t="s">
        <v>13545</v>
      </c>
      <c r="G706" t="s">
        <v>74</v>
      </c>
      <c r="H706" t="s">
        <v>74</v>
      </c>
      <c r="I706" t="s">
        <v>13546</v>
      </c>
      <c r="J706" t="s">
        <v>4870</v>
      </c>
      <c r="K706" t="s">
        <v>74</v>
      </c>
      <c r="L706" t="s">
        <v>74</v>
      </c>
      <c r="M706" t="s">
        <v>78</v>
      </c>
      <c r="N706" t="s">
        <v>79</v>
      </c>
      <c r="O706" t="s">
        <v>74</v>
      </c>
      <c r="P706" t="s">
        <v>74</v>
      </c>
      <c r="Q706" t="s">
        <v>74</v>
      </c>
      <c r="R706" t="s">
        <v>74</v>
      </c>
      <c r="S706" t="s">
        <v>74</v>
      </c>
      <c r="T706" t="s">
        <v>74</v>
      </c>
      <c r="U706" t="s">
        <v>13547</v>
      </c>
      <c r="V706" t="s">
        <v>13548</v>
      </c>
      <c r="W706" t="s">
        <v>13549</v>
      </c>
      <c r="X706" t="s">
        <v>13550</v>
      </c>
      <c r="Y706" t="s">
        <v>13551</v>
      </c>
      <c r="Z706" t="s">
        <v>13552</v>
      </c>
      <c r="AA706" t="s">
        <v>74</v>
      </c>
      <c r="AB706" t="s">
        <v>13553</v>
      </c>
      <c r="AC706" t="s">
        <v>13554</v>
      </c>
      <c r="AD706" t="s">
        <v>13555</v>
      </c>
      <c r="AE706" t="s">
        <v>13556</v>
      </c>
      <c r="AF706" t="s">
        <v>74</v>
      </c>
      <c r="AG706">
        <v>60</v>
      </c>
      <c r="AH706">
        <v>0</v>
      </c>
      <c r="AI706">
        <v>0</v>
      </c>
      <c r="AJ706">
        <v>3</v>
      </c>
      <c r="AK706">
        <v>3</v>
      </c>
      <c r="AL706" t="s">
        <v>3057</v>
      </c>
      <c r="AM706" t="s">
        <v>3058</v>
      </c>
      <c r="AN706" t="s">
        <v>3059</v>
      </c>
      <c r="AO706" t="s">
        <v>4881</v>
      </c>
      <c r="AP706" t="s">
        <v>4882</v>
      </c>
      <c r="AQ706" t="s">
        <v>74</v>
      </c>
      <c r="AR706" t="s">
        <v>4883</v>
      </c>
      <c r="AS706" t="s">
        <v>4884</v>
      </c>
      <c r="AT706" t="s">
        <v>4525</v>
      </c>
      <c r="AU706">
        <v>2023</v>
      </c>
      <c r="AV706">
        <v>16</v>
      </c>
      <c r="AW706">
        <v>11</v>
      </c>
      <c r="AX706" t="s">
        <v>74</v>
      </c>
      <c r="AY706" t="s">
        <v>74</v>
      </c>
      <c r="AZ706" t="s">
        <v>74</v>
      </c>
      <c r="BA706" t="s">
        <v>74</v>
      </c>
      <c r="BB706">
        <v>1005</v>
      </c>
      <c r="BC706" t="s">
        <v>4088</v>
      </c>
      <c r="BD706" t="s">
        <v>74</v>
      </c>
      <c r="BE706" t="s">
        <v>13557</v>
      </c>
      <c r="BF706" t="str">
        <f>HYPERLINK("http://dx.doi.org/10.1038/s41561-023-01265-5","http://dx.doi.org/10.1038/s41561-023-01265-5")</f>
        <v>http://dx.doi.org/10.1038/s41561-023-01265-5</v>
      </c>
      <c r="BG706" t="s">
        <v>74</v>
      </c>
      <c r="BH706" t="s">
        <v>11428</v>
      </c>
      <c r="BI706">
        <v>19</v>
      </c>
      <c r="BJ706" t="s">
        <v>535</v>
      </c>
      <c r="BK706" t="s">
        <v>100</v>
      </c>
      <c r="BL706" t="s">
        <v>536</v>
      </c>
      <c r="BM706" t="s">
        <v>13155</v>
      </c>
      <c r="BN706" t="s">
        <v>74</v>
      </c>
      <c r="BO706" t="s">
        <v>103</v>
      </c>
      <c r="BP706" t="s">
        <v>74</v>
      </c>
      <c r="BQ706" t="s">
        <v>74</v>
      </c>
      <c r="BR706" t="s">
        <v>104</v>
      </c>
      <c r="BS706" t="s">
        <v>13558</v>
      </c>
      <c r="BT706" t="str">
        <f>HYPERLINK("https%3A%2F%2Fwww.webofscience.com%2Fwos%2Fwoscc%2Ffull-record%2FWOS:001087204800005","View Full Record in Web of Science")</f>
        <v>View Full Record in Web of Science</v>
      </c>
    </row>
    <row r="707" spans="1:72" x14ac:dyDescent="0.15">
      <c r="A707" t="s">
        <v>72</v>
      </c>
      <c r="B707" t="s">
        <v>13559</v>
      </c>
      <c r="C707" t="s">
        <v>74</v>
      </c>
      <c r="D707" t="s">
        <v>74</v>
      </c>
      <c r="E707" t="s">
        <v>74</v>
      </c>
      <c r="F707" t="s">
        <v>13560</v>
      </c>
      <c r="G707" t="s">
        <v>74</v>
      </c>
      <c r="H707" t="s">
        <v>74</v>
      </c>
      <c r="I707" t="s">
        <v>13561</v>
      </c>
      <c r="J707" t="s">
        <v>9575</v>
      </c>
      <c r="K707" t="s">
        <v>74</v>
      </c>
      <c r="L707" t="s">
        <v>74</v>
      </c>
      <c r="M707" t="s">
        <v>78</v>
      </c>
      <c r="N707" t="s">
        <v>79</v>
      </c>
      <c r="O707" t="s">
        <v>74</v>
      </c>
      <c r="P707" t="s">
        <v>74</v>
      </c>
      <c r="Q707" t="s">
        <v>74</v>
      </c>
      <c r="R707" t="s">
        <v>74</v>
      </c>
      <c r="S707" t="s">
        <v>74</v>
      </c>
      <c r="T707" t="s">
        <v>13562</v>
      </c>
      <c r="U707" t="s">
        <v>13563</v>
      </c>
      <c r="V707" t="s">
        <v>13564</v>
      </c>
      <c r="W707" t="s">
        <v>13565</v>
      </c>
      <c r="X707" t="s">
        <v>13566</v>
      </c>
      <c r="Y707" t="s">
        <v>13567</v>
      </c>
      <c r="Z707" t="s">
        <v>13568</v>
      </c>
      <c r="AA707" t="s">
        <v>74</v>
      </c>
      <c r="AB707" t="s">
        <v>74</v>
      </c>
      <c r="AC707" t="s">
        <v>13569</v>
      </c>
      <c r="AD707" t="s">
        <v>13570</v>
      </c>
      <c r="AE707" t="s">
        <v>13571</v>
      </c>
      <c r="AF707" t="s">
        <v>74</v>
      </c>
      <c r="AG707">
        <v>71</v>
      </c>
      <c r="AH707">
        <v>0</v>
      </c>
      <c r="AI707">
        <v>0</v>
      </c>
      <c r="AJ707">
        <v>4</v>
      </c>
      <c r="AK707">
        <v>4</v>
      </c>
      <c r="AL707" t="s">
        <v>1810</v>
      </c>
      <c r="AM707" t="s">
        <v>1811</v>
      </c>
      <c r="AN707" t="s">
        <v>1812</v>
      </c>
      <c r="AO707" t="s">
        <v>9587</v>
      </c>
      <c r="AP707" t="s">
        <v>9588</v>
      </c>
      <c r="AQ707" t="s">
        <v>74</v>
      </c>
      <c r="AR707" t="s">
        <v>9589</v>
      </c>
      <c r="AS707" t="s">
        <v>9590</v>
      </c>
      <c r="AT707" t="s">
        <v>13508</v>
      </c>
      <c r="AU707">
        <v>2023</v>
      </c>
      <c r="AV707">
        <v>52</v>
      </c>
      <c r="AW707" t="s">
        <v>74</v>
      </c>
      <c r="AX707" t="s">
        <v>74</v>
      </c>
      <c r="AY707" t="s">
        <v>74</v>
      </c>
      <c r="AZ707" t="s">
        <v>74</v>
      </c>
      <c r="BA707" t="s">
        <v>74</v>
      </c>
      <c r="BB707">
        <v>149</v>
      </c>
      <c r="BC707">
        <v>161</v>
      </c>
      <c r="BD707" t="s">
        <v>74</v>
      </c>
      <c r="BE707" t="s">
        <v>13572</v>
      </c>
      <c r="BF707" t="str">
        <f>HYPERLINK("http://dx.doi.org/10.3354/esr01272","http://dx.doi.org/10.3354/esr01272")</f>
        <v>http://dx.doi.org/10.3354/esr01272</v>
      </c>
      <c r="BG707" t="s">
        <v>74</v>
      </c>
      <c r="BH707" t="s">
        <v>74</v>
      </c>
      <c r="BI707">
        <v>13</v>
      </c>
      <c r="BJ707" t="s">
        <v>1615</v>
      </c>
      <c r="BK707" t="s">
        <v>100</v>
      </c>
      <c r="BL707" t="s">
        <v>1616</v>
      </c>
      <c r="BM707" t="s">
        <v>13573</v>
      </c>
      <c r="BN707" t="s">
        <v>74</v>
      </c>
      <c r="BO707" t="s">
        <v>131</v>
      </c>
      <c r="BP707" t="s">
        <v>74</v>
      </c>
      <c r="BQ707" t="s">
        <v>74</v>
      </c>
      <c r="BR707" t="s">
        <v>104</v>
      </c>
      <c r="BS707" t="s">
        <v>13574</v>
      </c>
      <c r="BT707" t="str">
        <f>HYPERLINK("https%3A%2F%2Fwww.webofscience.com%2Fwos%2Fwoscc%2Ffull-record%2FWOS:001079841400003","View Full Record in Web of Science")</f>
        <v>View Full Record in Web of Science</v>
      </c>
    </row>
    <row r="708" spans="1:72" x14ac:dyDescent="0.15">
      <c r="A708" t="s">
        <v>72</v>
      </c>
      <c r="B708" t="s">
        <v>13575</v>
      </c>
      <c r="C708" t="s">
        <v>74</v>
      </c>
      <c r="D708" t="s">
        <v>74</v>
      </c>
      <c r="E708" t="s">
        <v>74</v>
      </c>
      <c r="F708" t="s">
        <v>13576</v>
      </c>
      <c r="G708" t="s">
        <v>74</v>
      </c>
      <c r="H708" t="s">
        <v>74</v>
      </c>
      <c r="I708" t="s">
        <v>13577</v>
      </c>
      <c r="J708" t="s">
        <v>13578</v>
      </c>
      <c r="K708" t="s">
        <v>74</v>
      </c>
      <c r="L708" t="s">
        <v>74</v>
      </c>
      <c r="M708" t="s">
        <v>78</v>
      </c>
      <c r="N708" t="s">
        <v>79</v>
      </c>
      <c r="O708" t="s">
        <v>74</v>
      </c>
      <c r="P708" t="s">
        <v>74</v>
      </c>
      <c r="Q708" t="s">
        <v>74</v>
      </c>
      <c r="R708" t="s">
        <v>74</v>
      </c>
      <c r="S708" t="s">
        <v>74</v>
      </c>
      <c r="T708" t="s">
        <v>13579</v>
      </c>
      <c r="U708" t="s">
        <v>74</v>
      </c>
      <c r="V708" t="s">
        <v>13580</v>
      </c>
      <c r="W708" t="s">
        <v>13581</v>
      </c>
      <c r="X708" t="s">
        <v>13582</v>
      </c>
      <c r="Y708" t="s">
        <v>13583</v>
      </c>
      <c r="Z708" t="s">
        <v>13584</v>
      </c>
      <c r="AA708" t="s">
        <v>74</v>
      </c>
      <c r="AB708" t="s">
        <v>13585</v>
      </c>
      <c r="AC708" t="s">
        <v>13586</v>
      </c>
      <c r="AD708" t="s">
        <v>13587</v>
      </c>
      <c r="AE708" t="s">
        <v>13588</v>
      </c>
      <c r="AF708" t="s">
        <v>74</v>
      </c>
      <c r="AG708">
        <v>18</v>
      </c>
      <c r="AH708">
        <v>0</v>
      </c>
      <c r="AI708">
        <v>0</v>
      </c>
      <c r="AJ708">
        <v>2</v>
      </c>
      <c r="AK708">
        <v>2</v>
      </c>
      <c r="AL708" t="s">
        <v>13589</v>
      </c>
      <c r="AM708" t="s">
        <v>1076</v>
      </c>
      <c r="AN708" t="s">
        <v>13590</v>
      </c>
      <c r="AO708" t="s">
        <v>13591</v>
      </c>
      <c r="AP708" t="s">
        <v>13592</v>
      </c>
      <c r="AQ708" t="s">
        <v>74</v>
      </c>
      <c r="AR708" t="s">
        <v>13593</v>
      </c>
      <c r="AS708" t="s">
        <v>13594</v>
      </c>
      <c r="AT708" t="s">
        <v>1947</v>
      </c>
      <c r="AU708">
        <v>2023</v>
      </c>
      <c r="AV708">
        <v>213</v>
      </c>
      <c r="AW708" t="s">
        <v>10416</v>
      </c>
      <c r="AX708" t="s">
        <v>74</v>
      </c>
      <c r="AY708" t="s">
        <v>74</v>
      </c>
      <c r="AZ708" t="s">
        <v>74</v>
      </c>
      <c r="BA708" t="s">
        <v>74</v>
      </c>
      <c r="BB708">
        <v>317</v>
      </c>
      <c r="BC708">
        <v>326</v>
      </c>
      <c r="BD708" t="s">
        <v>13595</v>
      </c>
      <c r="BE708" t="s">
        <v>13596</v>
      </c>
      <c r="BF708" t="str">
        <f>HYPERLINK("http://dx.doi.org/10.1007/s10909-023-03005-w","http://dx.doi.org/10.1007/s10909-023-03005-w")</f>
        <v>http://dx.doi.org/10.1007/s10909-023-03005-w</v>
      </c>
      <c r="BG708" t="s">
        <v>74</v>
      </c>
      <c r="BH708" t="s">
        <v>11428</v>
      </c>
      <c r="BI708">
        <v>10</v>
      </c>
      <c r="BJ708" t="s">
        <v>13597</v>
      </c>
      <c r="BK708" t="s">
        <v>100</v>
      </c>
      <c r="BL708" t="s">
        <v>13598</v>
      </c>
      <c r="BM708" t="s">
        <v>13599</v>
      </c>
      <c r="BN708" t="s">
        <v>74</v>
      </c>
      <c r="BO708" t="s">
        <v>13600</v>
      </c>
      <c r="BP708" t="s">
        <v>74</v>
      </c>
      <c r="BQ708" t="s">
        <v>74</v>
      </c>
      <c r="BR708" t="s">
        <v>104</v>
      </c>
      <c r="BS708" t="s">
        <v>13601</v>
      </c>
      <c r="BT708" t="str">
        <f>HYPERLINK("https%3A%2F%2Fwww.webofscience.com%2Fwos%2Fwoscc%2Ffull-record%2FWOS:001079610300001","View Full Record in Web of Science")</f>
        <v>View Full Record in Web of Science</v>
      </c>
    </row>
    <row r="709" spans="1:72" x14ac:dyDescent="0.15">
      <c r="A709" t="s">
        <v>72</v>
      </c>
      <c r="B709" t="s">
        <v>13602</v>
      </c>
      <c r="C709" t="s">
        <v>74</v>
      </c>
      <c r="D709" t="s">
        <v>74</v>
      </c>
      <c r="E709" t="s">
        <v>74</v>
      </c>
      <c r="F709" t="s">
        <v>13603</v>
      </c>
      <c r="G709" t="s">
        <v>74</v>
      </c>
      <c r="H709" t="s">
        <v>74</v>
      </c>
      <c r="I709" t="s">
        <v>13604</v>
      </c>
      <c r="J709" t="s">
        <v>1243</v>
      </c>
      <c r="K709" t="s">
        <v>74</v>
      </c>
      <c r="L709" t="s">
        <v>74</v>
      </c>
      <c r="M709" t="s">
        <v>78</v>
      </c>
      <c r="N709" t="s">
        <v>441</v>
      </c>
      <c r="O709" t="s">
        <v>74</v>
      </c>
      <c r="P709" t="s">
        <v>74</v>
      </c>
      <c r="Q709" t="s">
        <v>74</v>
      </c>
      <c r="R709" t="s">
        <v>74</v>
      </c>
      <c r="S709" t="s">
        <v>74</v>
      </c>
      <c r="T709" t="s">
        <v>13605</v>
      </c>
      <c r="U709" t="s">
        <v>13606</v>
      </c>
      <c r="V709" t="s">
        <v>13607</v>
      </c>
      <c r="W709" t="s">
        <v>13608</v>
      </c>
      <c r="X709" t="s">
        <v>13609</v>
      </c>
      <c r="Y709" t="s">
        <v>13610</v>
      </c>
      <c r="Z709" t="s">
        <v>13611</v>
      </c>
      <c r="AA709" t="s">
        <v>13612</v>
      </c>
      <c r="AB709" t="s">
        <v>74</v>
      </c>
      <c r="AC709" t="s">
        <v>13613</v>
      </c>
      <c r="AD709" t="s">
        <v>13614</v>
      </c>
      <c r="AE709" t="s">
        <v>13615</v>
      </c>
      <c r="AF709" t="s">
        <v>74</v>
      </c>
      <c r="AG709">
        <v>61</v>
      </c>
      <c r="AH709">
        <v>0</v>
      </c>
      <c r="AI709">
        <v>0</v>
      </c>
      <c r="AJ709">
        <v>3</v>
      </c>
      <c r="AK709">
        <v>3</v>
      </c>
      <c r="AL709" t="s">
        <v>1075</v>
      </c>
      <c r="AM709" t="s">
        <v>1076</v>
      </c>
      <c r="AN709" t="s">
        <v>1077</v>
      </c>
      <c r="AO709" t="s">
        <v>1256</v>
      </c>
      <c r="AP709" t="s">
        <v>1257</v>
      </c>
      <c r="AQ709" t="s">
        <v>74</v>
      </c>
      <c r="AR709" t="s">
        <v>1258</v>
      </c>
      <c r="AS709" t="s">
        <v>1259</v>
      </c>
      <c r="AT709" t="s">
        <v>1947</v>
      </c>
      <c r="AU709">
        <v>2023</v>
      </c>
      <c r="AV709">
        <v>46</v>
      </c>
      <c r="AW709">
        <v>12</v>
      </c>
      <c r="AX709" t="s">
        <v>74</v>
      </c>
      <c r="AY709" t="s">
        <v>74</v>
      </c>
      <c r="AZ709" t="s">
        <v>74</v>
      </c>
      <c r="BA709" t="s">
        <v>74</v>
      </c>
      <c r="BB709">
        <v>1287</v>
      </c>
      <c r="BC709">
        <v>1305</v>
      </c>
      <c r="BD709" t="s">
        <v>13616</v>
      </c>
      <c r="BE709" t="s">
        <v>13617</v>
      </c>
      <c r="BF709" t="str">
        <f>HYPERLINK("http://dx.doi.org/10.1007/s00300-023-03202-z","http://dx.doi.org/10.1007/s00300-023-03202-z")</f>
        <v>http://dx.doi.org/10.1007/s00300-023-03202-z</v>
      </c>
      <c r="BG709" t="s">
        <v>74</v>
      </c>
      <c r="BH709" t="s">
        <v>11428</v>
      </c>
      <c r="BI709">
        <v>19</v>
      </c>
      <c r="BJ709" t="s">
        <v>1261</v>
      </c>
      <c r="BK709" t="s">
        <v>100</v>
      </c>
      <c r="BL709" t="s">
        <v>913</v>
      </c>
      <c r="BM709" t="s">
        <v>11829</v>
      </c>
      <c r="BN709" t="s">
        <v>74</v>
      </c>
      <c r="BO709" t="s">
        <v>74</v>
      </c>
      <c r="BP709" t="s">
        <v>74</v>
      </c>
      <c r="BQ709" t="s">
        <v>74</v>
      </c>
      <c r="BR709" t="s">
        <v>104</v>
      </c>
      <c r="BS709" t="s">
        <v>13618</v>
      </c>
      <c r="BT709" t="str">
        <f>HYPERLINK("https%3A%2F%2Fwww.webofscience.com%2Fwos%2Fwoscc%2Ffull-record%2FWOS:001084361700001","View Full Record in Web of Science")</f>
        <v>View Full Record in Web of Science</v>
      </c>
    </row>
    <row r="710" spans="1:72" x14ac:dyDescent="0.15">
      <c r="A710" t="s">
        <v>72</v>
      </c>
      <c r="B710" t="s">
        <v>13619</v>
      </c>
      <c r="C710" t="s">
        <v>74</v>
      </c>
      <c r="D710" t="s">
        <v>74</v>
      </c>
      <c r="E710" t="s">
        <v>74</v>
      </c>
      <c r="F710" t="s">
        <v>13620</v>
      </c>
      <c r="G710" t="s">
        <v>74</v>
      </c>
      <c r="H710" t="s">
        <v>74</v>
      </c>
      <c r="I710" t="s">
        <v>13621</v>
      </c>
      <c r="J710" t="s">
        <v>4805</v>
      </c>
      <c r="K710" t="s">
        <v>74</v>
      </c>
      <c r="L710" t="s">
        <v>74</v>
      </c>
      <c r="M710" t="s">
        <v>78</v>
      </c>
      <c r="N710" t="s">
        <v>79</v>
      </c>
      <c r="O710" t="s">
        <v>74</v>
      </c>
      <c r="P710" t="s">
        <v>74</v>
      </c>
      <c r="Q710" t="s">
        <v>74</v>
      </c>
      <c r="R710" t="s">
        <v>74</v>
      </c>
      <c r="S710" t="s">
        <v>74</v>
      </c>
      <c r="T710" t="s">
        <v>13622</v>
      </c>
      <c r="U710" t="s">
        <v>13623</v>
      </c>
      <c r="V710" t="s">
        <v>13624</v>
      </c>
      <c r="W710" t="s">
        <v>13625</v>
      </c>
      <c r="X710" t="s">
        <v>13626</v>
      </c>
      <c r="Y710" t="s">
        <v>13627</v>
      </c>
      <c r="Z710" t="s">
        <v>13628</v>
      </c>
      <c r="AA710" t="s">
        <v>13629</v>
      </c>
      <c r="AB710" t="s">
        <v>13630</v>
      </c>
      <c r="AC710" t="s">
        <v>13631</v>
      </c>
      <c r="AD710" t="s">
        <v>13632</v>
      </c>
      <c r="AE710" t="s">
        <v>13633</v>
      </c>
      <c r="AF710" t="s">
        <v>74</v>
      </c>
      <c r="AG710">
        <v>86</v>
      </c>
      <c r="AH710">
        <v>6</v>
      </c>
      <c r="AI710">
        <v>6</v>
      </c>
      <c r="AJ710">
        <v>3</v>
      </c>
      <c r="AK710">
        <v>12</v>
      </c>
      <c r="AL710" t="s">
        <v>1560</v>
      </c>
      <c r="AM710" t="s">
        <v>976</v>
      </c>
      <c r="AN710" t="s">
        <v>1561</v>
      </c>
      <c r="AO710" t="s">
        <v>4818</v>
      </c>
      <c r="AP710" t="s">
        <v>4819</v>
      </c>
      <c r="AQ710" t="s">
        <v>74</v>
      </c>
      <c r="AR710" t="s">
        <v>4820</v>
      </c>
      <c r="AS710" t="s">
        <v>4821</v>
      </c>
      <c r="AT710" t="s">
        <v>13508</v>
      </c>
      <c r="AU710">
        <v>2023</v>
      </c>
      <c r="AV710">
        <v>232</v>
      </c>
      <c r="AW710">
        <v>2</v>
      </c>
      <c r="AX710" t="s">
        <v>74</v>
      </c>
      <c r="AY710" t="s">
        <v>74</v>
      </c>
      <c r="AZ710" t="s">
        <v>74</v>
      </c>
      <c r="BA710" t="s">
        <v>74</v>
      </c>
      <c r="BB710">
        <v>842</v>
      </c>
      <c r="BC710">
        <v>863</v>
      </c>
      <c r="BD710" t="s">
        <v>74</v>
      </c>
      <c r="BE710" t="s">
        <v>13634</v>
      </c>
      <c r="BF710" t="str">
        <f>HYPERLINK("http://dx.doi.org/10.1093/gji/ggac353","http://dx.doi.org/10.1093/gji/ggac353")</f>
        <v>http://dx.doi.org/10.1093/gji/ggac353</v>
      </c>
      <c r="BG710" t="s">
        <v>74</v>
      </c>
      <c r="BH710" t="s">
        <v>74</v>
      </c>
      <c r="BI710">
        <v>22</v>
      </c>
      <c r="BJ710" t="s">
        <v>4252</v>
      </c>
      <c r="BK710" t="s">
        <v>100</v>
      </c>
      <c r="BL710" t="s">
        <v>4252</v>
      </c>
      <c r="BM710" t="s">
        <v>13635</v>
      </c>
      <c r="BN710" t="s">
        <v>74</v>
      </c>
      <c r="BO710" t="s">
        <v>322</v>
      </c>
      <c r="BP710" t="s">
        <v>74</v>
      </c>
      <c r="BQ710" t="s">
        <v>74</v>
      </c>
      <c r="BR710" t="s">
        <v>104</v>
      </c>
      <c r="BS710" t="s">
        <v>13636</v>
      </c>
      <c r="BT710" t="str">
        <f>HYPERLINK("https%3A%2F%2Fwww.webofscience.com%2Fwos%2Fwoscc%2Ffull-record%2FWOS:000866173400003","View Full Record in Web of Science")</f>
        <v>View Full Record in Web of Science</v>
      </c>
    </row>
    <row r="711" spans="1:72" x14ac:dyDescent="0.15">
      <c r="A711" t="s">
        <v>72</v>
      </c>
      <c r="B711" t="s">
        <v>13637</v>
      </c>
      <c r="C711" t="s">
        <v>74</v>
      </c>
      <c r="D711" t="s">
        <v>74</v>
      </c>
      <c r="E711" t="s">
        <v>74</v>
      </c>
      <c r="F711" t="s">
        <v>13638</v>
      </c>
      <c r="G711" t="s">
        <v>74</v>
      </c>
      <c r="H711" t="s">
        <v>74</v>
      </c>
      <c r="I711" t="s">
        <v>13639</v>
      </c>
      <c r="J711" t="s">
        <v>2366</v>
      </c>
      <c r="K711" t="s">
        <v>74</v>
      </c>
      <c r="L711" t="s">
        <v>74</v>
      </c>
      <c r="M711" t="s">
        <v>78</v>
      </c>
      <c r="N711" t="s">
        <v>79</v>
      </c>
      <c r="O711" t="s">
        <v>74</v>
      </c>
      <c r="P711" t="s">
        <v>74</v>
      </c>
      <c r="Q711" t="s">
        <v>74</v>
      </c>
      <c r="R711" t="s">
        <v>74</v>
      </c>
      <c r="S711" t="s">
        <v>74</v>
      </c>
      <c r="T711" t="s">
        <v>74</v>
      </c>
      <c r="U711" t="s">
        <v>13640</v>
      </c>
      <c r="V711" t="s">
        <v>13641</v>
      </c>
      <c r="W711" t="s">
        <v>13642</v>
      </c>
      <c r="X711" t="s">
        <v>13643</v>
      </c>
      <c r="Y711" t="s">
        <v>13644</v>
      </c>
      <c r="Z711" t="s">
        <v>13645</v>
      </c>
      <c r="AA711" t="s">
        <v>74</v>
      </c>
      <c r="AB711" t="s">
        <v>74</v>
      </c>
      <c r="AC711" t="s">
        <v>13646</v>
      </c>
      <c r="AD711" t="s">
        <v>13647</v>
      </c>
      <c r="AE711" t="s">
        <v>13648</v>
      </c>
      <c r="AF711" t="s">
        <v>74</v>
      </c>
      <c r="AG711">
        <v>78</v>
      </c>
      <c r="AH711">
        <v>0</v>
      </c>
      <c r="AI711">
        <v>0</v>
      </c>
      <c r="AJ711">
        <v>2</v>
      </c>
      <c r="AK711">
        <v>2</v>
      </c>
      <c r="AL711" t="s">
        <v>1838</v>
      </c>
      <c r="AM711" t="s">
        <v>1839</v>
      </c>
      <c r="AN711" t="s">
        <v>1840</v>
      </c>
      <c r="AO711" t="s">
        <v>2377</v>
      </c>
      <c r="AP711" t="s">
        <v>2378</v>
      </c>
      <c r="AQ711" t="s">
        <v>74</v>
      </c>
      <c r="AR711" t="s">
        <v>2379</v>
      </c>
      <c r="AS711" t="s">
        <v>2380</v>
      </c>
      <c r="AT711" t="s">
        <v>13649</v>
      </c>
      <c r="AU711">
        <v>2023</v>
      </c>
      <c r="AV711">
        <v>23</v>
      </c>
      <c r="AW711">
        <v>19</v>
      </c>
      <c r="AX711" t="s">
        <v>74</v>
      </c>
      <c r="AY711" t="s">
        <v>74</v>
      </c>
      <c r="AZ711" t="s">
        <v>74</v>
      </c>
      <c r="BA711" t="s">
        <v>74</v>
      </c>
      <c r="BB711">
        <v>12731</v>
      </c>
      <c r="BC711">
        <v>12751</v>
      </c>
      <c r="BD711" t="s">
        <v>74</v>
      </c>
      <c r="BE711" t="s">
        <v>13650</v>
      </c>
      <c r="BF711" t="str">
        <f>HYPERLINK("http://dx.doi.org/10.5194/acp-23-12731-2023","http://dx.doi.org/10.5194/acp-23-12731-2023")</f>
        <v>http://dx.doi.org/10.5194/acp-23-12731-2023</v>
      </c>
      <c r="BG711" t="s">
        <v>74</v>
      </c>
      <c r="BH711" t="s">
        <v>74</v>
      </c>
      <c r="BI711">
        <v>21</v>
      </c>
      <c r="BJ711" t="s">
        <v>2382</v>
      </c>
      <c r="BK711" t="s">
        <v>100</v>
      </c>
      <c r="BL711" t="s">
        <v>2383</v>
      </c>
      <c r="BM711" t="s">
        <v>13651</v>
      </c>
      <c r="BN711" t="s">
        <v>74</v>
      </c>
      <c r="BO711" t="s">
        <v>131</v>
      </c>
      <c r="BP711" t="s">
        <v>74</v>
      </c>
      <c r="BQ711" t="s">
        <v>74</v>
      </c>
      <c r="BR711" t="s">
        <v>104</v>
      </c>
      <c r="BS711" t="s">
        <v>13652</v>
      </c>
      <c r="BT711" t="str">
        <f>HYPERLINK("https%3A%2F%2Fwww.webofscience.com%2Fwos%2Fwoscc%2Ffull-record%2FWOS:001161776400001","View Full Record in Web of Science")</f>
        <v>View Full Record in Web of Science</v>
      </c>
    </row>
    <row r="712" spans="1:72" x14ac:dyDescent="0.15">
      <c r="A712" t="s">
        <v>72</v>
      </c>
      <c r="B712" t="s">
        <v>13653</v>
      </c>
      <c r="C712" t="s">
        <v>74</v>
      </c>
      <c r="D712" t="s">
        <v>74</v>
      </c>
      <c r="E712" t="s">
        <v>74</v>
      </c>
      <c r="F712" t="s">
        <v>13654</v>
      </c>
      <c r="G712" t="s">
        <v>74</v>
      </c>
      <c r="H712" t="s">
        <v>74</v>
      </c>
      <c r="I712" t="s">
        <v>13655</v>
      </c>
      <c r="J712" t="s">
        <v>4190</v>
      </c>
      <c r="K712" t="s">
        <v>74</v>
      </c>
      <c r="L712" t="s">
        <v>74</v>
      </c>
      <c r="M712" t="s">
        <v>78</v>
      </c>
      <c r="N712" t="s">
        <v>79</v>
      </c>
      <c r="O712" t="s">
        <v>74</v>
      </c>
      <c r="P712" t="s">
        <v>74</v>
      </c>
      <c r="Q712" t="s">
        <v>74</v>
      </c>
      <c r="R712" t="s">
        <v>74</v>
      </c>
      <c r="S712" t="s">
        <v>74</v>
      </c>
      <c r="T712" t="s">
        <v>13656</v>
      </c>
      <c r="U712" t="s">
        <v>13657</v>
      </c>
      <c r="V712" t="s">
        <v>13658</v>
      </c>
      <c r="W712" t="s">
        <v>13659</v>
      </c>
      <c r="X712" t="s">
        <v>13660</v>
      </c>
      <c r="Y712" t="s">
        <v>13661</v>
      </c>
      <c r="Z712" t="s">
        <v>12868</v>
      </c>
      <c r="AA712" t="s">
        <v>12869</v>
      </c>
      <c r="AB712" t="s">
        <v>74</v>
      </c>
      <c r="AC712" t="s">
        <v>13662</v>
      </c>
      <c r="AD712" t="s">
        <v>13663</v>
      </c>
      <c r="AE712" t="s">
        <v>13664</v>
      </c>
      <c r="AF712" t="s">
        <v>74</v>
      </c>
      <c r="AG712">
        <v>131</v>
      </c>
      <c r="AH712">
        <v>0</v>
      </c>
      <c r="AI712">
        <v>0</v>
      </c>
      <c r="AJ712">
        <v>4</v>
      </c>
      <c r="AK712">
        <v>4</v>
      </c>
      <c r="AL712" t="s">
        <v>2884</v>
      </c>
      <c r="AM712" t="s">
        <v>2294</v>
      </c>
      <c r="AN712" t="s">
        <v>2885</v>
      </c>
      <c r="AO712" t="s">
        <v>4203</v>
      </c>
      <c r="AP712" t="s">
        <v>4204</v>
      </c>
      <c r="AQ712" t="s">
        <v>74</v>
      </c>
      <c r="AR712" t="s">
        <v>4205</v>
      </c>
      <c r="AS712" t="s">
        <v>4206</v>
      </c>
      <c r="AT712" t="s">
        <v>3263</v>
      </c>
      <c r="AU712">
        <v>2023</v>
      </c>
      <c r="AV712">
        <v>348</v>
      </c>
      <c r="AW712" t="s">
        <v>74</v>
      </c>
      <c r="AX712" t="s">
        <v>74</v>
      </c>
      <c r="AY712" t="s">
        <v>74</v>
      </c>
      <c r="AZ712" t="s">
        <v>74</v>
      </c>
      <c r="BA712" t="s">
        <v>74</v>
      </c>
      <c r="BB712" t="s">
        <v>74</v>
      </c>
      <c r="BC712" t="s">
        <v>74</v>
      </c>
      <c r="BD712">
        <v>119200</v>
      </c>
      <c r="BE712" t="s">
        <v>13665</v>
      </c>
      <c r="BF712" t="str">
        <f>HYPERLINK("http://dx.doi.org/10.1016/j.jenvman.2023.119200","http://dx.doi.org/10.1016/j.jenvman.2023.119200")</f>
        <v>http://dx.doi.org/10.1016/j.jenvman.2023.119200</v>
      </c>
      <c r="BG712" t="s">
        <v>74</v>
      </c>
      <c r="BH712" t="s">
        <v>11428</v>
      </c>
      <c r="BI712">
        <v>16</v>
      </c>
      <c r="BJ712" t="s">
        <v>1010</v>
      </c>
      <c r="BK712" t="s">
        <v>100</v>
      </c>
      <c r="BL712" t="s">
        <v>1011</v>
      </c>
      <c r="BM712" t="s">
        <v>13666</v>
      </c>
      <c r="BN712">
        <v>37832295</v>
      </c>
      <c r="BO712" t="s">
        <v>7315</v>
      </c>
      <c r="BP712" t="s">
        <v>74</v>
      </c>
      <c r="BQ712" t="s">
        <v>74</v>
      </c>
      <c r="BR712" t="s">
        <v>104</v>
      </c>
      <c r="BS712" t="s">
        <v>13667</v>
      </c>
      <c r="BT712" t="str">
        <f>HYPERLINK("https%3A%2F%2Fwww.webofscience.com%2Fwos%2Fwoscc%2Ffull-record%2FWOS:001100029200001","View Full Record in Web of Science")</f>
        <v>View Full Record in Web of Science</v>
      </c>
    </row>
    <row r="713" spans="1:72" x14ac:dyDescent="0.15">
      <c r="A713" t="s">
        <v>72</v>
      </c>
      <c r="B713" t="s">
        <v>13668</v>
      </c>
      <c r="C713" t="s">
        <v>74</v>
      </c>
      <c r="D713" t="s">
        <v>74</v>
      </c>
      <c r="E713" t="s">
        <v>74</v>
      </c>
      <c r="F713" t="s">
        <v>13669</v>
      </c>
      <c r="G713" t="s">
        <v>74</v>
      </c>
      <c r="H713" t="s">
        <v>74</v>
      </c>
      <c r="I713" t="s">
        <v>13670</v>
      </c>
      <c r="J713" t="s">
        <v>991</v>
      </c>
      <c r="K713" t="s">
        <v>74</v>
      </c>
      <c r="L713" t="s">
        <v>74</v>
      </c>
      <c r="M713" t="s">
        <v>78</v>
      </c>
      <c r="N713" t="s">
        <v>79</v>
      </c>
      <c r="O713" t="s">
        <v>74</v>
      </c>
      <c r="P713" t="s">
        <v>74</v>
      </c>
      <c r="Q713" t="s">
        <v>74</v>
      </c>
      <c r="R713" t="s">
        <v>74</v>
      </c>
      <c r="S713" t="s">
        <v>74</v>
      </c>
      <c r="T713" t="s">
        <v>13671</v>
      </c>
      <c r="U713" t="s">
        <v>13672</v>
      </c>
      <c r="V713" t="s">
        <v>13673</v>
      </c>
      <c r="W713" t="s">
        <v>13674</v>
      </c>
      <c r="X713" t="s">
        <v>13675</v>
      </c>
      <c r="Y713" t="s">
        <v>13676</v>
      </c>
      <c r="Z713" t="s">
        <v>13677</v>
      </c>
      <c r="AA713" t="s">
        <v>13678</v>
      </c>
      <c r="AB713" t="s">
        <v>13679</v>
      </c>
      <c r="AC713" t="s">
        <v>13680</v>
      </c>
      <c r="AD713" t="s">
        <v>13681</v>
      </c>
      <c r="AE713" t="s">
        <v>13682</v>
      </c>
      <c r="AF713" t="s">
        <v>74</v>
      </c>
      <c r="AG713">
        <v>48</v>
      </c>
      <c r="AH713">
        <v>3</v>
      </c>
      <c r="AI713">
        <v>3</v>
      </c>
      <c r="AJ713">
        <v>10</v>
      </c>
      <c r="AK713">
        <v>10</v>
      </c>
      <c r="AL713" t="s">
        <v>947</v>
      </c>
      <c r="AM713" t="s">
        <v>948</v>
      </c>
      <c r="AN713" t="s">
        <v>949</v>
      </c>
      <c r="AO713" t="s">
        <v>1004</v>
      </c>
      <c r="AP713" t="s">
        <v>1005</v>
      </c>
      <c r="AQ713" t="s">
        <v>74</v>
      </c>
      <c r="AR713" t="s">
        <v>1006</v>
      </c>
      <c r="AS713" t="s">
        <v>1007</v>
      </c>
      <c r="AT713" t="s">
        <v>1186</v>
      </c>
      <c r="AU713">
        <v>2024</v>
      </c>
      <c r="AV713">
        <v>906</v>
      </c>
      <c r="AW713" t="s">
        <v>74</v>
      </c>
      <c r="AX713" t="s">
        <v>74</v>
      </c>
      <c r="AY713" t="s">
        <v>74</v>
      </c>
      <c r="AZ713" t="s">
        <v>74</v>
      </c>
      <c r="BA713" t="s">
        <v>74</v>
      </c>
      <c r="BB713" t="s">
        <v>74</v>
      </c>
      <c r="BC713" t="s">
        <v>74</v>
      </c>
      <c r="BD713">
        <v>167674</v>
      </c>
      <c r="BE713" t="s">
        <v>13683</v>
      </c>
      <c r="BF713" t="str">
        <f>HYPERLINK("http://dx.doi.org/10.1016/j.scitotenv.2023.167674","http://dx.doi.org/10.1016/j.scitotenv.2023.167674")</f>
        <v>http://dx.doi.org/10.1016/j.scitotenv.2023.167674</v>
      </c>
      <c r="BG713" t="s">
        <v>74</v>
      </c>
      <c r="BH713" t="s">
        <v>11428</v>
      </c>
      <c r="BI713">
        <v>10</v>
      </c>
      <c r="BJ713" t="s">
        <v>1010</v>
      </c>
      <c r="BK713" t="s">
        <v>100</v>
      </c>
      <c r="BL713" t="s">
        <v>1011</v>
      </c>
      <c r="BM713" t="s">
        <v>13684</v>
      </c>
      <c r="BN713">
        <v>37813267</v>
      </c>
      <c r="BO713" t="s">
        <v>3456</v>
      </c>
      <c r="BP713" t="s">
        <v>74</v>
      </c>
      <c r="BQ713" t="s">
        <v>74</v>
      </c>
      <c r="BR713" t="s">
        <v>104</v>
      </c>
      <c r="BS713" t="s">
        <v>13685</v>
      </c>
      <c r="BT713" t="str">
        <f>HYPERLINK("https%3A%2F%2Fwww.webofscience.com%2Fwos%2Fwoscc%2Ffull-record%2FWOS:001102977800001","View Full Record in Web of Science")</f>
        <v>View Full Record in Web of Science</v>
      </c>
    </row>
    <row r="714" spans="1:72" x14ac:dyDescent="0.15">
      <c r="A714" t="s">
        <v>72</v>
      </c>
      <c r="B714" t="s">
        <v>13686</v>
      </c>
      <c r="C714" t="s">
        <v>74</v>
      </c>
      <c r="D714" t="s">
        <v>74</v>
      </c>
      <c r="E714" t="s">
        <v>74</v>
      </c>
      <c r="F714" t="s">
        <v>13687</v>
      </c>
      <c r="G714" t="s">
        <v>74</v>
      </c>
      <c r="H714" t="s">
        <v>74</v>
      </c>
      <c r="I714" t="s">
        <v>13688</v>
      </c>
      <c r="J714" t="s">
        <v>3384</v>
      </c>
      <c r="K714" t="s">
        <v>74</v>
      </c>
      <c r="L714" t="s">
        <v>74</v>
      </c>
      <c r="M714" t="s">
        <v>78</v>
      </c>
      <c r="N714" t="s">
        <v>79</v>
      </c>
      <c r="O714" t="s">
        <v>74</v>
      </c>
      <c r="P714" t="s">
        <v>74</v>
      </c>
      <c r="Q714" t="s">
        <v>74</v>
      </c>
      <c r="R714" t="s">
        <v>74</v>
      </c>
      <c r="S714" t="s">
        <v>74</v>
      </c>
      <c r="T714" t="s">
        <v>74</v>
      </c>
      <c r="U714" t="s">
        <v>13689</v>
      </c>
      <c r="V714" t="s">
        <v>13690</v>
      </c>
      <c r="W714" t="s">
        <v>13691</v>
      </c>
      <c r="X714" t="s">
        <v>13692</v>
      </c>
      <c r="Y714" t="s">
        <v>13693</v>
      </c>
      <c r="Z714" t="s">
        <v>13694</v>
      </c>
      <c r="AA714" t="s">
        <v>13695</v>
      </c>
      <c r="AB714" t="s">
        <v>13696</v>
      </c>
      <c r="AC714" t="s">
        <v>13697</v>
      </c>
      <c r="AD714" t="s">
        <v>13698</v>
      </c>
      <c r="AE714" t="s">
        <v>13699</v>
      </c>
      <c r="AF714" t="s">
        <v>74</v>
      </c>
      <c r="AG714">
        <v>59</v>
      </c>
      <c r="AH714">
        <v>1</v>
      </c>
      <c r="AI714">
        <v>1</v>
      </c>
      <c r="AJ714">
        <v>13</v>
      </c>
      <c r="AK714">
        <v>13</v>
      </c>
      <c r="AL714" t="s">
        <v>3057</v>
      </c>
      <c r="AM714" t="s">
        <v>3058</v>
      </c>
      <c r="AN714" t="s">
        <v>3059</v>
      </c>
      <c r="AO714" t="s">
        <v>74</v>
      </c>
      <c r="AP714" t="s">
        <v>3396</v>
      </c>
      <c r="AQ714" t="s">
        <v>74</v>
      </c>
      <c r="AR714" t="s">
        <v>3397</v>
      </c>
      <c r="AS714" t="s">
        <v>3398</v>
      </c>
      <c r="AT714" t="s">
        <v>13649</v>
      </c>
      <c r="AU714">
        <v>2023</v>
      </c>
      <c r="AV714">
        <v>14</v>
      </c>
      <c r="AW714">
        <v>1</v>
      </c>
      <c r="AX714" t="s">
        <v>74</v>
      </c>
      <c r="AY714" t="s">
        <v>74</v>
      </c>
      <c r="AZ714" t="s">
        <v>74</v>
      </c>
      <c r="BA714" t="s">
        <v>74</v>
      </c>
      <c r="BB714" t="s">
        <v>74</v>
      </c>
      <c r="BC714" t="s">
        <v>74</v>
      </c>
      <c r="BD714">
        <v>6387</v>
      </c>
      <c r="BE714" t="s">
        <v>13700</v>
      </c>
      <c r="BF714" t="str">
        <f>HYPERLINK("http://dx.doi.org/10.1038/s41467-023-42113-9","http://dx.doi.org/10.1038/s41467-023-42113-9")</f>
        <v>http://dx.doi.org/10.1038/s41467-023-42113-9</v>
      </c>
      <c r="BG714" t="s">
        <v>74</v>
      </c>
      <c r="BH714" t="s">
        <v>74</v>
      </c>
      <c r="BI714">
        <v>9</v>
      </c>
      <c r="BJ714" t="s">
        <v>1035</v>
      </c>
      <c r="BK714" t="s">
        <v>100</v>
      </c>
      <c r="BL714" t="s">
        <v>1036</v>
      </c>
      <c r="BM714" t="s">
        <v>13701</v>
      </c>
      <c r="BN714">
        <v>37821438</v>
      </c>
      <c r="BO714" t="s">
        <v>265</v>
      </c>
      <c r="BP714" t="s">
        <v>74</v>
      </c>
      <c r="BQ714" t="s">
        <v>74</v>
      </c>
      <c r="BR714" t="s">
        <v>104</v>
      </c>
      <c r="BS714" t="s">
        <v>13702</v>
      </c>
      <c r="BT714" t="str">
        <f>HYPERLINK("https%3A%2F%2Fwww.webofscience.com%2Fwos%2Fwoscc%2Ffull-record%2FWOS:001099083700020","View Full Record in Web of Science")</f>
        <v>View Full Record in Web of Science</v>
      </c>
    </row>
    <row r="715" spans="1:72" x14ac:dyDescent="0.15">
      <c r="A715" t="s">
        <v>72</v>
      </c>
      <c r="B715" t="s">
        <v>13703</v>
      </c>
      <c r="C715" t="s">
        <v>74</v>
      </c>
      <c r="D715" t="s">
        <v>74</v>
      </c>
      <c r="E715" t="s">
        <v>74</v>
      </c>
      <c r="F715" t="s">
        <v>13704</v>
      </c>
      <c r="G715" t="s">
        <v>74</v>
      </c>
      <c r="H715" t="s">
        <v>74</v>
      </c>
      <c r="I715" t="s">
        <v>13705</v>
      </c>
      <c r="J715" t="s">
        <v>3000</v>
      </c>
      <c r="K715" t="s">
        <v>74</v>
      </c>
      <c r="L715" t="s">
        <v>74</v>
      </c>
      <c r="M715" t="s">
        <v>78</v>
      </c>
      <c r="N715" t="s">
        <v>79</v>
      </c>
      <c r="O715" t="s">
        <v>74</v>
      </c>
      <c r="P715" t="s">
        <v>74</v>
      </c>
      <c r="Q715" t="s">
        <v>74</v>
      </c>
      <c r="R715" t="s">
        <v>74</v>
      </c>
      <c r="S715" t="s">
        <v>74</v>
      </c>
      <c r="T715" t="s">
        <v>13706</v>
      </c>
      <c r="U715" t="s">
        <v>13707</v>
      </c>
      <c r="V715" t="s">
        <v>13708</v>
      </c>
      <c r="W715" t="s">
        <v>13709</v>
      </c>
      <c r="X715" t="s">
        <v>13710</v>
      </c>
      <c r="Y715" t="s">
        <v>13711</v>
      </c>
      <c r="Z715" t="s">
        <v>13712</v>
      </c>
      <c r="AA715" t="s">
        <v>13713</v>
      </c>
      <c r="AB715" t="s">
        <v>13714</v>
      </c>
      <c r="AC715" t="s">
        <v>13715</v>
      </c>
      <c r="AD715" t="s">
        <v>13716</v>
      </c>
      <c r="AE715" t="s">
        <v>13717</v>
      </c>
      <c r="AF715" t="s">
        <v>74</v>
      </c>
      <c r="AG715">
        <v>62</v>
      </c>
      <c r="AH715">
        <v>1</v>
      </c>
      <c r="AI715">
        <v>1</v>
      </c>
      <c r="AJ715">
        <v>3</v>
      </c>
      <c r="AK715">
        <v>3</v>
      </c>
      <c r="AL715" t="s">
        <v>3013</v>
      </c>
      <c r="AM715" t="s">
        <v>3014</v>
      </c>
      <c r="AN715" t="s">
        <v>3015</v>
      </c>
      <c r="AO715" t="s">
        <v>3016</v>
      </c>
      <c r="AP715" t="s">
        <v>3017</v>
      </c>
      <c r="AQ715" t="s">
        <v>74</v>
      </c>
      <c r="AR715" t="s">
        <v>3018</v>
      </c>
      <c r="AS715" t="s">
        <v>3019</v>
      </c>
      <c r="AT715" t="s">
        <v>3263</v>
      </c>
      <c r="AU715">
        <v>2023</v>
      </c>
      <c r="AV715">
        <v>239</v>
      </c>
      <c r="AW715" t="s">
        <v>74</v>
      </c>
      <c r="AX715">
        <v>1</v>
      </c>
      <c r="AY715" t="s">
        <v>74</v>
      </c>
      <c r="AZ715" t="s">
        <v>74</v>
      </c>
      <c r="BA715" t="s">
        <v>74</v>
      </c>
      <c r="BB715" t="s">
        <v>74</v>
      </c>
      <c r="BC715" t="s">
        <v>74</v>
      </c>
      <c r="BD715">
        <v>117344</v>
      </c>
      <c r="BE715" t="s">
        <v>13718</v>
      </c>
      <c r="BF715" t="str">
        <f>HYPERLINK("http://dx.doi.org/10.1016/j.envres.2023.117344","http://dx.doi.org/10.1016/j.envres.2023.117344")</f>
        <v>http://dx.doi.org/10.1016/j.envres.2023.117344</v>
      </c>
      <c r="BG715" t="s">
        <v>74</v>
      </c>
      <c r="BH715" t="s">
        <v>11428</v>
      </c>
      <c r="BI715">
        <v>10</v>
      </c>
      <c r="BJ715" t="s">
        <v>3021</v>
      </c>
      <c r="BK715" t="s">
        <v>100</v>
      </c>
      <c r="BL715" t="s">
        <v>3022</v>
      </c>
      <c r="BM715" t="s">
        <v>13719</v>
      </c>
      <c r="BN715">
        <v>37821067</v>
      </c>
      <c r="BO715" t="s">
        <v>103</v>
      </c>
      <c r="BP715" t="s">
        <v>74</v>
      </c>
      <c r="BQ715" t="s">
        <v>74</v>
      </c>
      <c r="BR715" t="s">
        <v>104</v>
      </c>
      <c r="BS715" t="s">
        <v>13720</v>
      </c>
      <c r="BT715" t="str">
        <f>HYPERLINK("https%3A%2F%2Fwww.webofscience.com%2Fwos%2Fwoscc%2Ffull-record%2FWOS:001097956000001","View Full Record in Web of Science")</f>
        <v>View Full Record in Web of Science</v>
      </c>
    </row>
    <row r="716" spans="1:72" x14ac:dyDescent="0.15">
      <c r="A716" t="s">
        <v>72</v>
      </c>
      <c r="B716" t="s">
        <v>13721</v>
      </c>
      <c r="C716" t="s">
        <v>74</v>
      </c>
      <c r="D716" t="s">
        <v>74</v>
      </c>
      <c r="E716" t="s">
        <v>74</v>
      </c>
      <c r="F716" t="s">
        <v>13722</v>
      </c>
      <c r="G716" t="s">
        <v>74</v>
      </c>
      <c r="H716" t="s">
        <v>74</v>
      </c>
      <c r="I716" t="s">
        <v>13723</v>
      </c>
      <c r="J716" t="s">
        <v>7825</v>
      </c>
      <c r="K716" t="s">
        <v>74</v>
      </c>
      <c r="L716" t="s">
        <v>74</v>
      </c>
      <c r="M716" t="s">
        <v>78</v>
      </c>
      <c r="N716" t="s">
        <v>79</v>
      </c>
      <c r="O716" t="s">
        <v>74</v>
      </c>
      <c r="P716" t="s">
        <v>74</v>
      </c>
      <c r="Q716" t="s">
        <v>74</v>
      </c>
      <c r="R716" t="s">
        <v>74</v>
      </c>
      <c r="S716" t="s">
        <v>74</v>
      </c>
      <c r="T716" t="s">
        <v>13724</v>
      </c>
      <c r="U716" t="s">
        <v>13725</v>
      </c>
      <c r="V716" t="s">
        <v>13726</v>
      </c>
      <c r="W716" t="s">
        <v>13727</v>
      </c>
      <c r="X716" t="s">
        <v>13728</v>
      </c>
      <c r="Y716" t="s">
        <v>13729</v>
      </c>
      <c r="Z716" t="s">
        <v>13730</v>
      </c>
      <c r="AA716" t="s">
        <v>13731</v>
      </c>
      <c r="AB716" t="s">
        <v>13732</v>
      </c>
      <c r="AC716" t="s">
        <v>13733</v>
      </c>
      <c r="AD716" t="s">
        <v>13734</v>
      </c>
      <c r="AE716" t="s">
        <v>13735</v>
      </c>
      <c r="AF716" t="s">
        <v>74</v>
      </c>
      <c r="AG716">
        <v>47</v>
      </c>
      <c r="AH716">
        <v>0</v>
      </c>
      <c r="AI716">
        <v>0</v>
      </c>
      <c r="AJ716">
        <v>3</v>
      </c>
      <c r="AK716">
        <v>3</v>
      </c>
      <c r="AL716" t="s">
        <v>89</v>
      </c>
      <c r="AM716" t="s">
        <v>976</v>
      </c>
      <c r="AN716" t="s">
        <v>11027</v>
      </c>
      <c r="AO716" t="s">
        <v>7837</v>
      </c>
      <c r="AP716" t="s">
        <v>7838</v>
      </c>
      <c r="AQ716" t="s">
        <v>74</v>
      </c>
      <c r="AR716" t="s">
        <v>7839</v>
      </c>
      <c r="AS716" t="s">
        <v>7840</v>
      </c>
      <c r="AT716" t="s">
        <v>4525</v>
      </c>
      <c r="AU716">
        <v>2023</v>
      </c>
      <c r="AV716">
        <v>192</v>
      </c>
      <c r="AW716" t="s">
        <v>74</v>
      </c>
      <c r="AX716" t="s">
        <v>74</v>
      </c>
      <c r="AY716" t="s">
        <v>74</v>
      </c>
      <c r="AZ716" t="s">
        <v>74</v>
      </c>
      <c r="BA716" t="s">
        <v>74</v>
      </c>
      <c r="BB716" t="s">
        <v>74</v>
      </c>
      <c r="BC716" t="s">
        <v>74</v>
      </c>
      <c r="BD716">
        <v>106220</v>
      </c>
      <c r="BE716" t="s">
        <v>13736</v>
      </c>
      <c r="BF716" t="str">
        <f>HYPERLINK("http://dx.doi.org/10.1016/j.marenvres.2023.106220","http://dx.doi.org/10.1016/j.marenvres.2023.106220")</f>
        <v>http://dx.doi.org/10.1016/j.marenvres.2023.106220</v>
      </c>
      <c r="BG716" t="s">
        <v>74</v>
      </c>
      <c r="BH716" t="s">
        <v>11428</v>
      </c>
      <c r="BI716">
        <v>9</v>
      </c>
      <c r="BJ716" t="s">
        <v>7842</v>
      </c>
      <c r="BK716" t="s">
        <v>100</v>
      </c>
      <c r="BL716" t="s">
        <v>7843</v>
      </c>
      <c r="BM716" t="s">
        <v>13737</v>
      </c>
      <c r="BN716">
        <v>37832282</v>
      </c>
      <c r="BO716" t="s">
        <v>74</v>
      </c>
      <c r="BP716" t="s">
        <v>74</v>
      </c>
      <c r="BQ716" t="s">
        <v>74</v>
      </c>
      <c r="BR716" t="s">
        <v>104</v>
      </c>
      <c r="BS716" t="s">
        <v>13738</v>
      </c>
      <c r="BT716" t="str">
        <f>HYPERLINK("https%3A%2F%2Fwww.webofscience.com%2Fwos%2Fwoscc%2Ffull-record%2FWOS:001099750100001","View Full Record in Web of Science")</f>
        <v>View Full Record in Web of Science</v>
      </c>
    </row>
    <row r="717" spans="1:72" x14ac:dyDescent="0.15">
      <c r="A717" t="s">
        <v>72</v>
      </c>
      <c r="B717" t="s">
        <v>13739</v>
      </c>
      <c r="C717" t="s">
        <v>74</v>
      </c>
      <c r="D717" t="s">
        <v>74</v>
      </c>
      <c r="E717" t="s">
        <v>74</v>
      </c>
      <c r="F717" t="s">
        <v>13740</v>
      </c>
      <c r="G717" t="s">
        <v>74</v>
      </c>
      <c r="H717" t="s">
        <v>74</v>
      </c>
      <c r="I717" t="s">
        <v>13741</v>
      </c>
      <c r="J717" t="s">
        <v>3966</v>
      </c>
      <c r="K717" t="s">
        <v>74</v>
      </c>
      <c r="L717" t="s">
        <v>74</v>
      </c>
      <c r="M717" t="s">
        <v>78</v>
      </c>
      <c r="N717" t="s">
        <v>79</v>
      </c>
      <c r="O717" t="s">
        <v>74</v>
      </c>
      <c r="P717" t="s">
        <v>74</v>
      </c>
      <c r="Q717" t="s">
        <v>74</v>
      </c>
      <c r="R717" t="s">
        <v>74</v>
      </c>
      <c r="S717" t="s">
        <v>74</v>
      </c>
      <c r="T717" t="s">
        <v>13742</v>
      </c>
      <c r="U717" t="s">
        <v>13743</v>
      </c>
      <c r="V717" t="s">
        <v>13744</v>
      </c>
      <c r="W717" t="s">
        <v>13745</v>
      </c>
      <c r="X717" t="s">
        <v>13746</v>
      </c>
      <c r="Y717" t="s">
        <v>13747</v>
      </c>
      <c r="Z717" t="s">
        <v>13748</v>
      </c>
      <c r="AA717" t="s">
        <v>13749</v>
      </c>
      <c r="AB717" t="s">
        <v>13750</v>
      </c>
      <c r="AC717" t="s">
        <v>13751</v>
      </c>
      <c r="AD717" t="s">
        <v>511</v>
      </c>
      <c r="AE717" t="s">
        <v>13752</v>
      </c>
      <c r="AF717" t="s">
        <v>74</v>
      </c>
      <c r="AG717">
        <v>38</v>
      </c>
      <c r="AH717">
        <v>0</v>
      </c>
      <c r="AI717">
        <v>0</v>
      </c>
      <c r="AJ717">
        <v>24</v>
      </c>
      <c r="AK717">
        <v>24</v>
      </c>
      <c r="AL717" t="s">
        <v>947</v>
      </c>
      <c r="AM717" t="s">
        <v>948</v>
      </c>
      <c r="AN717" t="s">
        <v>949</v>
      </c>
      <c r="AO717" t="s">
        <v>3978</v>
      </c>
      <c r="AP717" t="s">
        <v>3979</v>
      </c>
      <c r="AQ717" t="s">
        <v>74</v>
      </c>
      <c r="AR717" t="s">
        <v>3980</v>
      </c>
      <c r="AS717" t="s">
        <v>3981</v>
      </c>
      <c r="AT717" t="s">
        <v>4525</v>
      </c>
      <c r="AU717">
        <v>2023</v>
      </c>
      <c r="AV717">
        <v>124</v>
      </c>
      <c r="AW717" t="s">
        <v>74</v>
      </c>
      <c r="AX717" t="s">
        <v>74</v>
      </c>
      <c r="AY717" t="s">
        <v>74</v>
      </c>
      <c r="AZ717" t="s">
        <v>74</v>
      </c>
      <c r="BA717" t="s">
        <v>74</v>
      </c>
      <c r="BB717" t="s">
        <v>74</v>
      </c>
      <c r="BC717" t="s">
        <v>74</v>
      </c>
      <c r="BD717">
        <v>103519</v>
      </c>
      <c r="BE717" t="s">
        <v>13753</v>
      </c>
      <c r="BF717" t="str">
        <f>HYPERLINK("http://dx.doi.org/10.1016/j.jag.2023.103519","http://dx.doi.org/10.1016/j.jag.2023.103519")</f>
        <v>http://dx.doi.org/10.1016/j.jag.2023.103519</v>
      </c>
      <c r="BG717" t="s">
        <v>74</v>
      </c>
      <c r="BH717" t="s">
        <v>11428</v>
      </c>
      <c r="BI717">
        <v>16</v>
      </c>
      <c r="BJ717" t="s">
        <v>3983</v>
      </c>
      <c r="BK717" t="s">
        <v>100</v>
      </c>
      <c r="BL717" t="s">
        <v>3983</v>
      </c>
      <c r="BM717" t="s">
        <v>13754</v>
      </c>
      <c r="BN717" t="s">
        <v>74</v>
      </c>
      <c r="BO717" t="s">
        <v>131</v>
      </c>
      <c r="BP717" t="s">
        <v>74</v>
      </c>
      <c r="BQ717" t="s">
        <v>74</v>
      </c>
      <c r="BR717" t="s">
        <v>104</v>
      </c>
      <c r="BS717" t="s">
        <v>13755</v>
      </c>
      <c r="BT717" t="str">
        <f>HYPERLINK("https%3A%2F%2Fwww.webofscience.com%2Fwos%2Fwoscc%2Ffull-record%2FWOS:001097617300001","View Full Record in Web of Science")</f>
        <v>View Full Record in Web of Science</v>
      </c>
    </row>
    <row r="718" spans="1:72" x14ac:dyDescent="0.15">
      <c r="A718" t="s">
        <v>72</v>
      </c>
      <c r="B718" t="s">
        <v>13756</v>
      </c>
      <c r="C718" t="s">
        <v>74</v>
      </c>
      <c r="D718" t="s">
        <v>74</v>
      </c>
      <c r="E718" t="s">
        <v>74</v>
      </c>
      <c r="F718" t="s">
        <v>13757</v>
      </c>
      <c r="G718" t="s">
        <v>74</v>
      </c>
      <c r="H718" t="s">
        <v>74</v>
      </c>
      <c r="I718" t="s">
        <v>13758</v>
      </c>
      <c r="J718" t="s">
        <v>4532</v>
      </c>
      <c r="K718" t="s">
        <v>74</v>
      </c>
      <c r="L718" t="s">
        <v>74</v>
      </c>
      <c r="M718" t="s">
        <v>78</v>
      </c>
      <c r="N718" t="s">
        <v>79</v>
      </c>
      <c r="O718" t="s">
        <v>74</v>
      </c>
      <c r="P718" t="s">
        <v>74</v>
      </c>
      <c r="Q718" t="s">
        <v>74</v>
      </c>
      <c r="R718" t="s">
        <v>74</v>
      </c>
      <c r="S718" t="s">
        <v>74</v>
      </c>
      <c r="T718" t="s">
        <v>13759</v>
      </c>
      <c r="U718" t="s">
        <v>13760</v>
      </c>
      <c r="V718" t="s">
        <v>13761</v>
      </c>
      <c r="W718" t="s">
        <v>13762</v>
      </c>
      <c r="X718" t="s">
        <v>13763</v>
      </c>
      <c r="Y718" t="s">
        <v>13764</v>
      </c>
      <c r="Z718" t="s">
        <v>13765</v>
      </c>
      <c r="AA718" t="s">
        <v>13766</v>
      </c>
      <c r="AB718" t="s">
        <v>13767</v>
      </c>
      <c r="AC718" t="s">
        <v>13768</v>
      </c>
      <c r="AD718" t="s">
        <v>13769</v>
      </c>
      <c r="AE718" t="s">
        <v>13770</v>
      </c>
      <c r="AF718" t="s">
        <v>74</v>
      </c>
      <c r="AG718">
        <v>87</v>
      </c>
      <c r="AH718">
        <v>1</v>
      </c>
      <c r="AI718">
        <v>1</v>
      </c>
      <c r="AJ718">
        <v>3</v>
      </c>
      <c r="AK718">
        <v>3</v>
      </c>
      <c r="AL718" t="s">
        <v>2554</v>
      </c>
      <c r="AM718" t="s">
        <v>2294</v>
      </c>
      <c r="AN718" t="s">
        <v>2555</v>
      </c>
      <c r="AO718" t="s">
        <v>4544</v>
      </c>
      <c r="AP718" t="s">
        <v>74</v>
      </c>
      <c r="AQ718" t="s">
        <v>74</v>
      </c>
      <c r="AR718" t="s">
        <v>4545</v>
      </c>
      <c r="AS718" t="s">
        <v>4546</v>
      </c>
      <c r="AT718" t="s">
        <v>13649</v>
      </c>
      <c r="AU718">
        <v>2023</v>
      </c>
      <c r="AV718">
        <v>10</v>
      </c>
      <c r="AW718">
        <v>10</v>
      </c>
      <c r="AX718" t="s">
        <v>74</v>
      </c>
      <c r="AY718" t="s">
        <v>74</v>
      </c>
      <c r="AZ718" t="s">
        <v>74</v>
      </c>
      <c r="BA718" t="s">
        <v>74</v>
      </c>
      <c r="BB718" t="s">
        <v>74</v>
      </c>
      <c r="BC718" t="s">
        <v>74</v>
      </c>
      <c r="BD718">
        <v>230667</v>
      </c>
      <c r="BE718" t="s">
        <v>13771</v>
      </c>
      <c r="BF718" t="str">
        <f>HYPERLINK("http://dx.doi.org/10.1098/rsos.230667","http://dx.doi.org/10.1098/rsos.230667")</f>
        <v>http://dx.doi.org/10.1098/rsos.230667</v>
      </c>
      <c r="BG718" t="s">
        <v>74</v>
      </c>
      <c r="BH718" t="s">
        <v>74</v>
      </c>
      <c r="BI718">
        <v>19</v>
      </c>
      <c r="BJ718" t="s">
        <v>1035</v>
      </c>
      <c r="BK718" t="s">
        <v>100</v>
      </c>
      <c r="BL718" t="s">
        <v>1036</v>
      </c>
      <c r="BM718" t="s">
        <v>13772</v>
      </c>
      <c r="BN718">
        <v>37830021</v>
      </c>
      <c r="BO718" t="s">
        <v>200</v>
      </c>
      <c r="BP718" t="s">
        <v>74</v>
      </c>
      <c r="BQ718" t="s">
        <v>74</v>
      </c>
      <c r="BR718" t="s">
        <v>104</v>
      </c>
      <c r="BS718" t="s">
        <v>13773</v>
      </c>
      <c r="BT718" t="str">
        <f>HYPERLINK("https%3A%2F%2Fwww.webofscience.com%2Fwos%2Fwoscc%2Ffull-record%2FWOS:001081950700017","View Full Record in Web of Science")</f>
        <v>View Full Record in Web of Science</v>
      </c>
    </row>
    <row r="719" spans="1:72" x14ac:dyDescent="0.15">
      <c r="A719" t="s">
        <v>72</v>
      </c>
      <c r="B719" t="s">
        <v>13774</v>
      </c>
      <c r="C719" t="s">
        <v>74</v>
      </c>
      <c r="D719" t="s">
        <v>74</v>
      </c>
      <c r="E719" t="s">
        <v>74</v>
      </c>
      <c r="F719" t="s">
        <v>13775</v>
      </c>
      <c r="G719" t="s">
        <v>74</v>
      </c>
      <c r="H719" t="s">
        <v>74</v>
      </c>
      <c r="I719" t="s">
        <v>13776</v>
      </c>
      <c r="J719" t="s">
        <v>4982</v>
      </c>
      <c r="K719" t="s">
        <v>74</v>
      </c>
      <c r="L719" t="s">
        <v>74</v>
      </c>
      <c r="M719" t="s">
        <v>78</v>
      </c>
      <c r="N719" t="s">
        <v>1547</v>
      </c>
      <c r="O719" t="s">
        <v>74</v>
      </c>
      <c r="P719" t="s">
        <v>74</v>
      </c>
      <c r="Q719" t="s">
        <v>74</v>
      </c>
      <c r="R719" t="s">
        <v>74</v>
      </c>
      <c r="S719" t="s">
        <v>74</v>
      </c>
      <c r="T719" t="s">
        <v>13777</v>
      </c>
      <c r="U719" t="s">
        <v>13778</v>
      </c>
      <c r="V719" t="s">
        <v>13779</v>
      </c>
      <c r="W719" t="s">
        <v>13780</v>
      </c>
      <c r="X719" t="s">
        <v>13781</v>
      </c>
      <c r="Y719" t="s">
        <v>13782</v>
      </c>
      <c r="Z719" t="s">
        <v>13783</v>
      </c>
      <c r="AA719" t="s">
        <v>13784</v>
      </c>
      <c r="AB719" t="s">
        <v>13785</v>
      </c>
      <c r="AC719" t="s">
        <v>13786</v>
      </c>
      <c r="AD719" t="s">
        <v>13787</v>
      </c>
      <c r="AE719" t="s">
        <v>13788</v>
      </c>
      <c r="AF719" t="s">
        <v>74</v>
      </c>
      <c r="AG719">
        <v>67</v>
      </c>
      <c r="AH719">
        <v>0</v>
      </c>
      <c r="AI719">
        <v>0</v>
      </c>
      <c r="AJ719">
        <v>3</v>
      </c>
      <c r="AK719">
        <v>3</v>
      </c>
      <c r="AL719" t="s">
        <v>4990</v>
      </c>
      <c r="AM719" t="s">
        <v>4991</v>
      </c>
      <c r="AN719" t="s">
        <v>4992</v>
      </c>
      <c r="AO719" t="s">
        <v>4993</v>
      </c>
      <c r="AP719" t="s">
        <v>4994</v>
      </c>
      <c r="AQ719" t="s">
        <v>74</v>
      </c>
      <c r="AR719" t="s">
        <v>4995</v>
      </c>
      <c r="AS719" t="s">
        <v>4996</v>
      </c>
      <c r="AT719" t="s">
        <v>13789</v>
      </c>
      <c r="AU719">
        <v>2023</v>
      </c>
      <c r="AV719" t="s">
        <v>74</v>
      </c>
      <c r="AW719" t="s">
        <v>74</v>
      </c>
      <c r="AX719" t="s">
        <v>74</v>
      </c>
      <c r="AY719" t="s">
        <v>74</v>
      </c>
      <c r="AZ719" t="s">
        <v>74</v>
      </c>
      <c r="BA719" t="s">
        <v>74</v>
      </c>
      <c r="BB719" t="s">
        <v>74</v>
      </c>
      <c r="BC719" t="s">
        <v>74</v>
      </c>
      <c r="BD719" t="s">
        <v>74</v>
      </c>
      <c r="BE719" t="s">
        <v>13790</v>
      </c>
      <c r="BF719" t="str">
        <f>HYPERLINK("http://dx.doi.org/10.1007/s11600-023-01190-6","http://dx.doi.org/10.1007/s11600-023-01190-6")</f>
        <v>http://dx.doi.org/10.1007/s11600-023-01190-6</v>
      </c>
      <c r="BG719" t="s">
        <v>74</v>
      </c>
      <c r="BH719" t="s">
        <v>11428</v>
      </c>
      <c r="BI719">
        <v>20</v>
      </c>
      <c r="BJ719" t="s">
        <v>4252</v>
      </c>
      <c r="BK719" t="s">
        <v>100</v>
      </c>
      <c r="BL719" t="s">
        <v>4252</v>
      </c>
      <c r="BM719" t="s">
        <v>13791</v>
      </c>
      <c r="BN719" t="s">
        <v>74</v>
      </c>
      <c r="BO719" t="s">
        <v>103</v>
      </c>
      <c r="BP719" t="s">
        <v>74</v>
      </c>
      <c r="BQ719" t="s">
        <v>74</v>
      </c>
      <c r="BR719" t="s">
        <v>104</v>
      </c>
      <c r="BS719" t="s">
        <v>13792</v>
      </c>
      <c r="BT719" t="str">
        <f>HYPERLINK("https%3A%2F%2Fwww.webofscience.com%2Fwos%2Fwoscc%2Ffull-record%2FWOS:001082754700002","View Full Record in Web of Science")</f>
        <v>View Full Record in Web of Science</v>
      </c>
    </row>
    <row r="720" spans="1:72" x14ac:dyDescent="0.15">
      <c r="A720" t="s">
        <v>72</v>
      </c>
      <c r="B720" t="s">
        <v>13793</v>
      </c>
      <c r="C720" t="s">
        <v>74</v>
      </c>
      <c r="D720" t="s">
        <v>74</v>
      </c>
      <c r="E720" t="s">
        <v>74</v>
      </c>
      <c r="F720" t="s">
        <v>13794</v>
      </c>
      <c r="G720" t="s">
        <v>74</v>
      </c>
      <c r="H720" t="s">
        <v>74</v>
      </c>
      <c r="I720" t="s">
        <v>13795</v>
      </c>
      <c r="J720" t="s">
        <v>13796</v>
      </c>
      <c r="K720" t="s">
        <v>74</v>
      </c>
      <c r="L720" t="s">
        <v>74</v>
      </c>
      <c r="M720" t="s">
        <v>78</v>
      </c>
      <c r="N720" t="s">
        <v>441</v>
      </c>
      <c r="O720" t="s">
        <v>74</v>
      </c>
      <c r="P720" t="s">
        <v>74</v>
      </c>
      <c r="Q720" t="s">
        <v>74</v>
      </c>
      <c r="R720" t="s">
        <v>74</v>
      </c>
      <c r="S720" t="s">
        <v>74</v>
      </c>
      <c r="T720" t="s">
        <v>13797</v>
      </c>
      <c r="U720" t="s">
        <v>13798</v>
      </c>
      <c r="V720" t="s">
        <v>13799</v>
      </c>
      <c r="W720" t="s">
        <v>13800</v>
      </c>
      <c r="X720" t="s">
        <v>13801</v>
      </c>
      <c r="Y720" t="s">
        <v>13802</v>
      </c>
      <c r="Z720" t="s">
        <v>13803</v>
      </c>
      <c r="AA720" t="s">
        <v>13804</v>
      </c>
      <c r="AB720" t="s">
        <v>13805</v>
      </c>
      <c r="AC720" t="s">
        <v>13806</v>
      </c>
      <c r="AD720" t="s">
        <v>13807</v>
      </c>
      <c r="AE720" t="s">
        <v>13808</v>
      </c>
      <c r="AF720" t="s">
        <v>74</v>
      </c>
      <c r="AG720">
        <v>289</v>
      </c>
      <c r="AH720">
        <v>4</v>
      </c>
      <c r="AI720">
        <v>4</v>
      </c>
      <c r="AJ720">
        <v>8</v>
      </c>
      <c r="AK720">
        <v>8</v>
      </c>
      <c r="AL720" t="s">
        <v>1101</v>
      </c>
      <c r="AM720" t="s">
        <v>1102</v>
      </c>
      <c r="AN720" t="s">
        <v>1103</v>
      </c>
      <c r="AO720" t="s">
        <v>13809</v>
      </c>
      <c r="AP720" t="s">
        <v>13810</v>
      </c>
      <c r="AQ720" t="s">
        <v>74</v>
      </c>
      <c r="AR720" t="s">
        <v>13796</v>
      </c>
      <c r="AS720" t="s">
        <v>13811</v>
      </c>
      <c r="AT720" t="s">
        <v>1108</v>
      </c>
      <c r="AU720">
        <v>2024</v>
      </c>
      <c r="AV720">
        <v>166</v>
      </c>
      <c r="AW720">
        <v>2</v>
      </c>
      <c r="AX720" t="s">
        <v>74</v>
      </c>
      <c r="AY720" t="s">
        <v>74</v>
      </c>
      <c r="AZ720" t="s">
        <v>74</v>
      </c>
      <c r="BA720" t="s">
        <v>74</v>
      </c>
      <c r="BB720">
        <v>357</v>
      </c>
      <c r="BC720">
        <v>385</v>
      </c>
      <c r="BD720" t="s">
        <v>74</v>
      </c>
      <c r="BE720" t="s">
        <v>13812</v>
      </c>
      <c r="BF720" t="str">
        <f>HYPERLINK("http://dx.doi.org/10.1111/ibi.13277","http://dx.doi.org/10.1111/ibi.13277")</f>
        <v>http://dx.doi.org/10.1111/ibi.13277</v>
      </c>
      <c r="BG720" t="s">
        <v>74</v>
      </c>
      <c r="BH720" t="s">
        <v>11428</v>
      </c>
      <c r="BI720">
        <v>29</v>
      </c>
      <c r="BJ720" t="s">
        <v>3084</v>
      </c>
      <c r="BK720" t="s">
        <v>100</v>
      </c>
      <c r="BL720" t="s">
        <v>1568</v>
      </c>
      <c r="BM720" t="s">
        <v>13813</v>
      </c>
      <c r="BN720" t="s">
        <v>74</v>
      </c>
      <c r="BO720" t="s">
        <v>103</v>
      </c>
      <c r="BP720" t="s">
        <v>74</v>
      </c>
      <c r="BQ720" t="s">
        <v>74</v>
      </c>
      <c r="BR720" t="s">
        <v>104</v>
      </c>
      <c r="BS720" t="s">
        <v>13814</v>
      </c>
      <c r="BT720" t="str">
        <f>HYPERLINK("https%3A%2F%2Fwww.webofscience.com%2Fwos%2Fwoscc%2Ffull-record%2FWOS:001081700900001","View Full Record in Web of Science")</f>
        <v>View Full Record in Web of Science</v>
      </c>
    </row>
    <row r="721" spans="1:72" x14ac:dyDescent="0.15">
      <c r="A721" t="s">
        <v>72</v>
      </c>
      <c r="B721" t="s">
        <v>13815</v>
      </c>
      <c r="C721" t="s">
        <v>74</v>
      </c>
      <c r="D721" t="s">
        <v>74</v>
      </c>
      <c r="E721" t="s">
        <v>74</v>
      </c>
      <c r="F721" t="s">
        <v>13816</v>
      </c>
      <c r="G721" t="s">
        <v>74</v>
      </c>
      <c r="H721" t="s">
        <v>74</v>
      </c>
      <c r="I721" t="s">
        <v>13817</v>
      </c>
      <c r="J721" t="s">
        <v>2939</v>
      </c>
      <c r="K721" t="s">
        <v>74</v>
      </c>
      <c r="L721" t="s">
        <v>74</v>
      </c>
      <c r="M721" t="s">
        <v>78</v>
      </c>
      <c r="N721" t="s">
        <v>79</v>
      </c>
      <c r="O721" t="s">
        <v>74</v>
      </c>
      <c r="P721" t="s">
        <v>74</v>
      </c>
      <c r="Q721" t="s">
        <v>74</v>
      </c>
      <c r="R721" t="s">
        <v>74</v>
      </c>
      <c r="S721" t="s">
        <v>74</v>
      </c>
      <c r="T721" t="s">
        <v>13818</v>
      </c>
      <c r="U721" t="s">
        <v>13819</v>
      </c>
      <c r="V721" t="s">
        <v>13820</v>
      </c>
      <c r="W721" t="s">
        <v>13821</v>
      </c>
      <c r="X721" t="s">
        <v>13822</v>
      </c>
      <c r="Y721" t="s">
        <v>13823</v>
      </c>
      <c r="Z721" t="s">
        <v>13824</v>
      </c>
      <c r="AA721" t="s">
        <v>13825</v>
      </c>
      <c r="AB721" t="s">
        <v>13826</v>
      </c>
      <c r="AC721" t="s">
        <v>13827</v>
      </c>
      <c r="AD721" t="s">
        <v>13828</v>
      </c>
      <c r="AE721" t="s">
        <v>13829</v>
      </c>
      <c r="AF721" t="s">
        <v>74</v>
      </c>
      <c r="AG721">
        <v>96</v>
      </c>
      <c r="AH721">
        <v>0</v>
      </c>
      <c r="AI721">
        <v>0</v>
      </c>
      <c r="AJ721">
        <v>21</v>
      </c>
      <c r="AK721">
        <v>21</v>
      </c>
      <c r="AL721" t="s">
        <v>1075</v>
      </c>
      <c r="AM721" t="s">
        <v>2949</v>
      </c>
      <c r="AN721" t="s">
        <v>2950</v>
      </c>
      <c r="AO721" t="s">
        <v>2951</v>
      </c>
      <c r="AP721" t="s">
        <v>2952</v>
      </c>
      <c r="AQ721" t="s">
        <v>74</v>
      </c>
      <c r="AR721" t="s">
        <v>2953</v>
      </c>
      <c r="AS721" t="s">
        <v>2954</v>
      </c>
      <c r="AT721" t="s">
        <v>1082</v>
      </c>
      <c r="AU721">
        <v>2024</v>
      </c>
      <c r="AV721">
        <v>34</v>
      </c>
      <c r="AW721">
        <v>1</v>
      </c>
      <c r="AX721" t="s">
        <v>74</v>
      </c>
      <c r="AY721" t="s">
        <v>74</v>
      </c>
      <c r="AZ721" t="s">
        <v>74</v>
      </c>
      <c r="BA721" t="s">
        <v>74</v>
      </c>
      <c r="BB721">
        <v>221</v>
      </c>
      <c r="BC721">
        <v>238</v>
      </c>
      <c r="BD721" t="s">
        <v>74</v>
      </c>
      <c r="BE721" t="s">
        <v>13830</v>
      </c>
      <c r="BF721" t="str">
        <f>HYPERLINK("http://dx.doi.org/10.1007/s11160-023-09805-3","http://dx.doi.org/10.1007/s11160-023-09805-3")</f>
        <v>http://dx.doi.org/10.1007/s11160-023-09805-3</v>
      </c>
      <c r="BG721" t="s">
        <v>74</v>
      </c>
      <c r="BH721" t="s">
        <v>11428</v>
      </c>
      <c r="BI721">
        <v>18</v>
      </c>
      <c r="BJ721" t="s">
        <v>2141</v>
      </c>
      <c r="BK721" t="s">
        <v>100</v>
      </c>
      <c r="BL721" t="s">
        <v>2141</v>
      </c>
      <c r="BM721" t="s">
        <v>13831</v>
      </c>
      <c r="BN721" t="s">
        <v>74</v>
      </c>
      <c r="BO721" t="s">
        <v>103</v>
      </c>
      <c r="BP721" t="s">
        <v>74</v>
      </c>
      <c r="BQ721" t="s">
        <v>74</v>
      </c>
      <c r="BR721" t="s">
        <v>104</v>
      </c>
      <c r="BS721" t="s">
        <v>13832</v>
      </c>
      <c r="BT721" t="str">
        <f>HYPERLINK("https%3A%2F%2Fwww.webofscience.com%2Fwos%2Fwoscc%2Ffull-record%2FWOS:001080349000001","View Full Record in Web of Science")</f>
        <v>View Full Record in Web of Science</v>
      </c>
    </row>
    <row r="722" spans="1:72" x14ac:dyDescent="0.15">
      <c r="A722" t="s">
        <v>72</v>
      </c>
      <c r="B722" t="s">
        <v>13833</v>
      </c>
      <c r="C722" t="s">
        <v>74</v>
      </c>
      <c r="D722" t="s">
        <v>74</v>
      </c>
      <c r="E722" t="s">
        <v>74</v>
      </c>
      <c r="F722" t="s">
        <v>13834</v>
      </c>
      <c r="G722" t="s">
        <v>74</v>
      </c>
      <c r="H722" t="s">
        <v>74</v>
      </c>
      <c r="I722" t="s">
        <v>13835</v>
      </c>
      <c r="J722" t="s">
        <v>1826</v>
      </c>
      <c r="K722" t="s">
        <v>74</v>
      </c>
      <c r="L722" t="s">
        <v>74</v>
      </c>
      <c r="M722" t="s">
        <v>78</v>
      </c>
      <c r="N722" t="s">
        <v>79</v>
      </c>
      <c r="O722" t="s">
        <v>74</v>
      </c>
      <c r="P722" t="s">
        <v>74</v>
      </c>
      <c r="Q722" t="s">
        <v>74</v>
      </c>
      <c r="R722" t="s">
        <v>74</v>
      </c>
      <c r="S722" t="s">
        <v>74</v>
      </c>
      <c r="T722" t="s">
        <v>74</v>
      </c>
      <c r="U722" t="s">
        <v>13836</v>
      </c>
      <c r="V722" t="s">
        <v>13837</v>
      </c>
      <c r="W722" t="s">
        <v>13838</v>
      </c>
      <c r="X722" t="s">
        <v>13839</v>
      </c>
      <c r="Y722" t="s">
        <v>13840</v>
      </c>
      <c r="Z722" t="s">
        <v>13841</v>
      </c>
      <c r="AA722" t="s">
        <v>13842</v>
      </c>
      <c r="AB722" t="s">
        <v>13843</v>
      </c>
      <c r="AC722" t="s">
        <v>13844</v>
      </c>
      <c r="AD722" t="s">
        <v>13845</v>
      </c>
      <c r="AE722" t="s">
        <v>13846</v>
      </c>
      <c r="AF722" t="s">
        <v>74</v>
      </c>
      <c r="AG722">
        <v>54</v>
      </c>
      <c r="AH722">
        <v>1</v>
      </c>
      <c r="AI722">
        <v>1</v>
      </c>
      <c r="AJ722">
        <v>0</v>
      </c>
      <c r="AK722">
        <v>0</v>
      </c>
      <c r="AL722" t="s">
        <v>1838</v>
      </c>
      <c r="AM722" t="s">
        <v>1839</v>
      </c>
      <c r="AN722" t="s">
        <v>1840</v>
      </c>
      <c r="AO722" t="s">
        <v>1841</v>
      </c>
      <c r="AP722" t="s">
        <v>1842</v>
      </c>
      <c r="AQ722" t="s">
        <v>74</v>
      </c>
      <c r="AR722" t="s">
        <v>1843</v>
      </c>
      <c r="AS722" t="s">
        <v>1844</v>
      </c>
      <c r="AT722" t="s">
        <v>13847</v>
      </c>
      <c r="AU722">
        <v>2023</v>
      </c>
      <c r="AV722">
        <v>16</v>
      </c>
      <c r="AW722">
        <v>19</v>
      </c>
      <c r="AX722" t="s">
        <v>74</v>
      </c>
      <c r="AY722" t="s">
        <v>74</v>
      </c>
      <c r="AZ722" t="s">
        <v>74</v>
      </c>
      <c r="BA722" t="s">
        <v>74</v>
      </c>
      <c r="BB722">
        <v>5627</v>
      </c>
      <c r="BC722">
        <v>5652</v>
      </c>
      <c r="BD722" t="s">
        <v>74</v>
      </c>
      <c r="BE722" t="s">
        <v>13848</v>
      </c>
      <c r="BF722" t="str">
        <f>HYPERLINK("http://dx.doi.org/10.5194/gmd-16-5627-2023","http://dx.doi.org/10.5194/gmd-16-5627-2023")</f>
        <v>http://dx.doi.org/10.5194/gmd-16-5627-2023</v>
      </c>
      <c r="BG722" t="s">
        <v>74</v>
      </c>
      <c r="BH722" t="s">
        <v>74</v>
      </c>
      <c r="BI722">
        <v>26</v>
      </c>
      <c r="BJ722" t="s">
        <v>535</v>
      </c>
      <c r="BK722" t="s">
        <v>100</v>
      </c>
      <c r="BL722" t="s">
        <v>536</v>
      </c>
      <c r="BM722" t="s">
        <v>13849</v>
      </c>
      <c r="BN722" t="s">
        <v>74</v>
      </c>
      <c r="BO722" t="s">
        <v>349</v>
      </c>
      <c r="BP722" t="s">
        <v>74</v>
      </c>
      <c r="BQ722" t="s">
        <v>74</v>
      </c>
      <c r="BR722" t="s">
        <v>104</v>
      </c>
      <c r="BS722" t="s">
        <v>13850</v>
      </c>
      <c r="BT722" t="str">
        <f>HYPERLINK("https%3A%2F%2Fwww.webofscience.com%2Fwos%2Fwoscc%2Ffull-record%2FWOS:001168998100001","View Full Record in Web of Science")</f>
        <v>View Full Record in Web of Science</v>
      </c>
    </row>
    <row r="723" spans="1:72" x14ac:dyDescent="0.15">
      <c r="A723" t="s">
        <v>72</v>
      </c>
      <c r="B723" t="s">
        <v>13851</v>
      </c>
      <c r="C723" t="s">
        <v>74</v>
      </c>
      <c r="D723" t="s">
        <v>74</v>
      </c>
      <c r="E723" t="s">
        <v>74</v>
      </c>
      <c r="F723" t="s">
        <v>13852</v>
      </c>
      <c r="G723" t="s">
        <v>74</v>
      </c>
      <c r="H723" t="s">
        <v>74</v>
      </c>
      <c r="I723" t="s">
        <v>13853</v>
      </c>
      <c r="J723" t="s">
        <v>2809</v>
      </c>
      <c r="K723" t="s">
        <v>74</v>
      </c>
      <c r="L723" t="s">
        <v>74</v>
      </c>
      <c r="M723" t="s">
        <v>78</v>
      </c>
      <c r="N723" t="s">
        <v>79</v>
      </c>
      <c r="O723" t="s">
        <v>74</v>
      </c>
      <c r="P723" t="s">
        <v>74</v>
      </c>
      <c r="Q723" t="s">
        <v>74</v>
      </c>
      <c r="R723" t="s">
        <v>74</v>
      </c>
      <c r="S723" t="s">
        <v>74</v>
      </c>
      <c r="T723" t="s">
        <v>74</v>
      </c>
      <c r="U723" t="s">
        <v>13854</v>
      </c>
      <c r="V723" t="s">
        <v>13855</v>
      </c>
      <c r="W723" t="s">
        <v>13856</v>
      </c>
      <c r="X723" t="s">
        <v>13857</v>
      </c>
      <c r="Y723" t="s">
        <v>13858</v>
      </c>
      <c r="Z723" t="s">
        <v>13859</v>
      </c>
      <c r="AA723" t="s">
        <v>74</v>
      </c>
      <c r="AB723" t="s">
        <v>13860</v>
      </c>
      <c r="AC723" t="s">
        <v>13861</v>
      </c>
      <c r="AD723" t="s">
        <v>13862</v>
      </c>
      <c r="AE723" t="s">
        <v>13863</v>
      </c>
      <c r="AF723" t="s">
        <v>74</v>
      </c>
      <c r="AG723">
        <v>58</v>
      </c>
      <c r="AH723">
        <v>1</v>
      </c>
      <c r="AI723">
        <v>1</v>
      </c>
      <c r="AJ723">
        <v>2</v>
      </c>
      <c r="AK723">
        <v>2</v>
      </c>
      <c r="AL723" t="s">
        <v>1838</v>
      </c>
      <c r="AM723" t="s">
        <v>1839</v>
      </c>
      <c r="AN723" t="s">
        <v>1840</v>
      </c>
      <c r="AO723" t="s">
        <v>2818</v>
      </c>
      <c r="AP723" t="s">
        <v>2819</v>
      </c>
      <c r="AQ723" t="s">
        <v>74</v>
      </c>
      <c r="AR723" t="s">
        <v>2809</v>
      </c>
      <c r="AS723" t="s">
        <v>2820</v>
      </c>
      <c r="AT723" t="s">
        <v>13847</v>
      </c>
      <c r="AU723">
        <v>2023</v>
      </c>
      <c r="AV723">
        <v>17</v>
      </c>
      <c r="AW723">
        <v>10</v>
      </c>
      <c r="AX723" t="s">
        <v>74</v>
      </c>
      <c r="AY723" t="s">
        <v>74</v>
      </c>
      <c r="AZ723" t="s">
        <v>74</v>
      </c>
      <c r="BA723" t="s">
        <v>74</v>
      </c>
      <c r="BB723">
        <v>4297</v>
      </c>
      <c r="BC723">
        <v>4314</v>
      </c>
      <c r="BD723" t="s">
        <v>74</v>
      </c>
      <c r="BE723" t="s">
        <v>13864</v>
      </c>
      <c r="BF723" t="str">
        <f>HYPERLINK("http://dx.doi.org/10.5194/tc-17-4297-2023","http://dx.doi.org/10.5194/tc-17-4297-2023")</f>
        <v>http://dx.doi.org/10.5194/tc-17-4297-2023</v>
      </c>
      <c r="BG723" t="s">
        <v>74</v>
      </c>
      <c r="BH723" t="s">
        <v>74</v>
      </c>
      <c r="BI723">
        <v>18</v>
      </c>
      <c r="BJ723" t="s">
        <v>984</v>
      </c>
      <c r="BK723" t="s">
        <v>100</v>
      </c>
      <c r="BL723" t="s">
        <v>985</v>
      </c>
      <c r="BM723" t="s">
        <v>13865</v>
      </c>
      <c r="BN723" t="s">
        <v>74</v>
      </c>
      <c r="BO723" t="s">
        <v>183</v>
      </c>
      <c r="BP723" t="s">
        <v>74</v>
      </c>
      <c r="BQ723" t="s">
        <v>74</v>
      </c>
      <c r="BR723" t="s">
        <v>104</v>
      </c>
      <c r="BS723" t="s">
        <v>13866</v>
      </c>
      <c r="BT723" t="str">
        <f>HYPERLINK("https%3A%2F%2Fwww.webofscience.com%2Fwos%2Fwoscc%2Ffull-record%2FWOS:001161777700001","View Full Record in Web of Science")</f>
        <v>View Full Record in Web of Science</v>
      </c>
    </row>
    <row r="724" spans="1:72" x14ac:dyDescent="0.15">
      <c r="A724" t="s">
        <v>72</v>
      </c>
      <c r="B724" t="s">
        <v>13867</v>
      </c>
      <c r="C724" t="s">
        <v>74</v>
      </c>
      <c r="D724" t="s">
        <v>74</v>
      </c>
      <c r="E724" t="s">
        <v>74</v>
      </c>
      <c r="F724" t="s">
        <v>13868</v>
      </c>
      <c r="G724" t="s">
        <v>74</v>
      </c>
      <c r="H724" t="s">
        <v>74</v>
      </c>
      <c r="I724" t="s">
        <v>13869</v>
      </c>
      <c r="J724" t="s">
        <v>3323</v>
      </c>
      <c r="K724" t="s">
        <v>74</v>
      </c>
      <c r="L724" t="s">
        <v>74</v>
      </c>
      <c r="M724" t="s">
        <v>78</v>
      </c>
      <c r="N724" t="s">
        <v>79</v>
      </c>
      <c r="O724" t="s">
        <v>74</v>
      </c>
      <c r="P724" t="s">
        <v>74</v>
      </c>
      <c r="Q724" t="s">
        <v>74</v>
      </c>
      <c r="R724" t="s">
        <v>74</v>
      </c>
      <c r="S724" t="s">
        <v>74</v>
      </c>
      <c r="T724" t="s">
        <v>74</v>
      </c>
      <c r="U724" t="s">
        <v>13870</v>
      </c>
      <c r="V724" t="s">
        <v>13871</v>
      </c>
      <c r="W724" t="s">
        <v>13872</v>
      </c>
      <c r="X724" t="s">
        <v>13873</v>
      </c>
      <c r="Y724" t="s">
        <v>13874</v>
      </c>
      <c r="Z724" t="s">
        <v>13875</v>
      </c>
      <c r="AA724" t="s">
        <v>74</v>
      </c>
      <c r="AB724" t="s">
        <v>13876</v>
      </c>
      <c r="AC724" t="s">
        <v>13877</v>
      </c>
      <c r="AD724" t="s">
        <v>13878</v>
      </c>
      <c r="AE724" t="s">
        <v>13879</v>
      </c>
      <c r="AF724" t="s">
        <v>74</v>
      </c>
      <c r="AG724">
        <v>48</v>
      </c>
      <c r="AH724">
        <v>0</v>
      </c>
      <c r="AI724">
        <v>0</v>
      </c>
      <c r="AJ724">
        <v>1</v>
      </c>
      <c r="AK724">
        <v>1</v>
      </c>
      <c r="AL724" t="s">
        <v>1838</v>
      </c>
      <c r="AM724" t="s">
        <v>1839</v>
      </c>
      <c r="AN724" t="s">
        <v>1840</v>
      </c>
      <c r="AO724" t="s">
        <v>3335</v>
      </c>
      <c r="AP724" t="s">
        <v>3336</v>
      </c>
      <c r="AQ724" t="s">
        <v>74</v>
      </c>
      <c r="AR724" t="s">
        <v>3337</v>
      </c>
      <c r="AS724" t="s">
        <v>3338</v>
      </c>
      <c r="AT724" t="s">
        <v>13847</v>
      </c>
      <c r="AU724">
        <v>2023</v>
      </c>
      <c r="AV724">
        <v>19</v>
      </c>
      <c r="AW724">
        <v>10</v>
      </c>
      <c r="AX724" t="s">
        <v>74</v>
      </c>
      <c r="AY724" t="s">
        <v>74</v>
      </c>
      <c r="AZ724" t="s">
        <v>74</v>
      </c>
      <c r="BA724" t="s">
        <v>74</v>
      </c>
      <c r="BB724">
        <v>1905</v>
      </c>
      <c r="BC724">
        <v>1917</v>
      </c>
      <c r="BD724" t="s">
        <v>74</v>
      </c>
      <c r="BE724" t="s">
        <v>13880</v>
      </c>
      <c r="BF724" t="str">
        <f>HYPERLINK("http://dx.doi.org/10.5194/cp-19-1905-2023","http://dx.doi.org/10.5194/cp-19-1905-2023")</f>
        <v>http://dx.doi.org/10.5194/cp-19-1905-2023</v>
      </c>
      <c r="BG724" t="s">
        <v>74</v>
      </c>
      <c r="BH724" t="s">
        <v>74</v>
      </c>
      <c r="BI724">
        <v>13</v>
      </c>
      <c r="BJ724" t="s">
        <v>2405</v>
      </c>
      <c r="BK724" t="s">
        <v>100</v>
      </c>
      <c r="BL724" t="s">
        <v>2406</v>
      </c>
      <c r="BM724" t="s">
        <v>13881</v>
      </c>
      <c r="BN724" t="s">
        <v>74</v>
      </c>
      <c r="BO724" t="s">
        <v>183</v>
      </c>
      <c r="BP724" t="s">
        <v>74</v>
      </c>
      <c r="BQ724" t="s">
        <v>74</v>
      </c>
      <c r="BR724" t="s">
        <v>104</v>
      </c>
      <c r="BS724" t="s">
        <v>13882</v>
      </c>
      <c r="BT724" t="str">
        <f>HYPERLINK("https%3A%2F%2Fwww.webofscience.com%2Fwos%2Fwoscc%2Ffull-record%2FWOS:001161239100001","View Full Record in Web of Science")</f>
        <v>View Full Record in Web of Science</v>
      </c>
    </row>
    <row r="725" spans="1:72" x14ac:dyDescent="0.15">
      <c r="A725" t="s">
        <v>72</v>
      </c>
      <c r="B725" t="s">
        <v>13883</v>
      </c>
      <c r="C725" t="s">
        <v>74</v>
      </c>
      <c r="D725" t="s">
        <v>74</v>
      </c>
      <c r="E725" t="s">
        <v>74</v>
      </c>
      <c r="F725" t="s">
        <v>13884</v>
      </c>
      <c r="G725" t="s">
        <v>74</v>
      </c>
      <c r="H725" t="s">
        <v>74</v>
      </c>
      <c r="I725" t="s">
        <v>13885</v>
      </c>
      <c r="J725" t="s">
        <v>8204</v>
      </c>
      <c r="K725" t="s">
        <v>74</v>
      </c>
      <c r="L725" t="s">
        <v>74</v>
      </c>
      <c r="M725" t="s">
        <v>78</v>
      </c>
      <c r="N725" t="s">
        <v>79</v>
      </c>
      <c r="O725" t="s">
        <v>74</v>
      </c>
      <c r="P725" t="s">
        <v>74</v>
      </c>
      <c r="Q725" t="s">
        <v>74</v>
      </c>
      <c r="R725" t="s">
        <v>74</v>
      </c>
      <c r="S725" t="s">
        <v>74</v>
      </c>
      <c r="T725" t="s">
        <v>13886</v>
      </c>
      <c r="U725" t="s">
        <v>13887</v>
      </c>
      <c r="V725" t="s">
        <v>13888</v>
      </c>
      <c r="W725" t="s">
        <v>13889</v>
      </c>
      <c r="X725" t="s">
        <v>13890</v>
      </c>
      <c r="Y725" t="s">
        <v>13891</v>
      </c>
      <c r="Z725" t="s">
        <v>13892</v>
      </c>
      <c r="AA725" t="s">
        <v>74</v>
      </c>
      <c r="AB725" t="s">
        <v>13893</v>
      </c>
      <c r="AC725" t="s">
        <v>13894</v>
      </c>
      <c r="AD725" t="s">
        <v>13895</v>
      </c>
      <c r="AE725" t="s">
        <v>13896</v>
      </c>
      <c r="AF725" t="s">
        <v>74</v>
      </c>
      <c r="AG725">
        <v>45</v>
      </c>
      <c r="AH725">
        <v>0</v>
      </c>
      <c r="AI725">
        <v>0</v>
      </c>
      <c r="AJ725">
        <v>3</v>
      </c>
      <c r="AK725">
        <v>3</v>
      </c>
      <c r="AL725" t="s">
        <v>8217</v>
      </c>
      <c r="AM725" t="s">
        <v>1209</v>
      </c>
      <c r="AN725" t="s">
        <v>8218</v>
      </c>
      <c r="AO725" t="s">
        <v>8219</v>
      </c>
      <c r="AP725" t="s">
        <v>8220</v>
      </c>
      <c r="AQ725" t="s">
        <v>74</v>
      </c>
      <c r="AR725" t="s">
        <v>8221</v>
      </c>
      <c r="AS725" t="s">
        <v>8222</v>
      </c>
      <c r="AT725" t="s">
        <v>13847</v>
      </c>
      <c r="AU725">
        <v>2023</v>
      </c>
      <c r="AV725">
        <v>120</v>
      </c>
      <c r="AW725">
        <v>41</v>
      </c>
      <c r="AX725" t="s">
        <v>74</v>
      </c>
      <c r="AY725" t="s">
        <v>74</v>
      </c>
      <c r="AZ725" t="s">
        <v>74</v>
      </c>
      <c r="BA725" t="s">
        <v>74</v>
      </c>
      <c r="BB725" t="s">
        <v>74</v>
      </c>
      <c r="BC725" t="s">
        <v>74</v>
      </c>
      <c r="BD725" t="s">
        <v>13897</v>
      </c>
      <c r="BE725" t="s">
        <v>13898</v>
      </c>
      <c r="BF725" t="str">
        <f>HYPERLINK("http://dx.doi.org/10.1073/pnas.2301207120","http://dx.doi.org/10.1073/pnas.2301207120")</f>
        <v>http://dx.doi.org/10.1073/pnas.2301207120</v>
      </c>
      <c r="BG725" t="s">
        <v>74</v>
      </c>
      <c r="BH725" t="s">
        <v>74</v>
      </c>
      <c r="BI725">
        <v>8</v>
      </c>
      <c r="BJ725" t="s">
        <v>1035</v>
      </c>
      <c r="BK725" t="s">
        <v>100</v>
      </c>
      <c r="BL725" t="s">
        <v>1036</v>
      </c>
      <c r="BM725" t="s">
        <v>13899</v>
      </c>
      <c r="BN725">
        <v>37782798</v>
      </c>
      <c r="BO725" t="s">
        <v>103</v>
      </c>
      <c r="BP725" t="s">
        <v>74</v>
      </c>
      <c r="BQ725" t="s">
        <v>74</v>
      </c>
      <c r="BR725" t="s">
        <v>104</v>
      </c>
      <c r="BS725" t="s">
        <v>13900</v>
      </c>
      <c r="BT725" t="str">
        <f>HYPERLINK("https%3A%2F%2Fwww.webofscience.com%2Fwos%2Fwoscc%2Ffull-record%2FWOS:001119366600005","View Full Record in Web of Science")</f>
        <v>View Full Record in Web of Science</v>
      </c>
    </row>
    <row r="726" spans="1:72" x14ac:dyDescent="0.15">
      <c r="A726" t="s">
        <v>72</v>
      </c>
      <c r="B726" t="s">
        <v>13901</v>
      </c>
      <c r="C726" t="s">
        <v>74</v>
      </c>
      <c r="D726" t="s">
        <v>74</v>
      </c>
      <c r="E726" t="s">
        <v>74</v>
      </c>
      <c r="F726" t="s">
        <v>13902</v>
      </c>
      <c r="G726" t="s">
        <v>74</v>
      </c>
      <c r="H726" t="s">
        <v>74</v>
      </c>
      <c r="I726" t="s">
        <v>13903</v>
      </c>
      <c r="J726" t="s">
        <v>5307</v>
      </c>
      <c r="K726" t="s">
        <v>74</v>
      </c>
      <c r="L726" t="s">
        <v>74</v>
      </c>
      <c r="M726" t="s">
        <v>78</v>
      </c>
      <c r="N726" t="s">
        <v>441</v>
      </c>
      <c r="O726" t="s">
        <v>74</v>
      </c>
      <c r="P726" t="s">
        <v>74</v>
      </c>
      <c r="Q726" t="s">
        <v>74</v>
      </c>
      <c r="R726" t="s">
        <v>74</v>
      </c>
      <c r="S726" t="s">
        <v>74</v>
      </c>
      <c r="T726" t="s">
        <v>13904</v>
      </c>
      <c r="U726" t="s">
        <v>13905</v>
      </c>
      <c r="V726" t="s">
        <v>13906</v>
      </c>
      <c r="W726" t="s">
        <v>13907</v>
      </c>
      <c r="X726" t="s">
        <v>13908</v>
      </c>
      <c r="Y726" t="s">
        <v>13909</v>
      </c>
      <c r="Z726" t="s">
        <v>13910</v>
      </c>
      <c r="AA726" t="s">
        <v>7745</v>
      </c>
      <c r="AB726" t="s">
        <v>13911</v>
      </c>
      <c r="AC726" t="s">
        <v>13912</v>
      </c>
      <c r="AD726" t="s">
        <v>13913</v>
      </c>
      <c r="AE726" t="s">
        <v>13914</v>
      </c>
      <c r="AF726" t="s">
        <v>74</v>
      </c>
      <c r="AG726">
        <v>210</v>
      </c>
      <c r="AH726">
        <v>3</v>
      </c>
      <c r="AI726">
        <v>3</v>
      </c>
      <c r="AJ726">
        <v>15</v>
      </c>
      <c r="AK726">
        <v>15</v>
      </c>
      <c r="AL726" t="s">
        <v>975</v>
      </c>
      <c r="AM726" t="s">
        <v>976</v>
      </c>
      <c r="AN726" t="s">
        <v>977</v>
      </c>
      <c r="AO726" t="s">
        <v>5318</v>
      </c>
      <c r="AP726" t="s">
        <v>5319</v>
      </c>
      <c r="AQ726" t="s">
        <v>74</v>
      </c>
      <c r="AR726" t="s">
        <v>5320</v>
      </c>
      <c r="AS726" t="s">
        <v>5321</v>
      </c>
      <c r="AT726" t="s">
        <v>1947</v>
      </c>
      <c r="AU726">
        <v>2023</v>
      </c>
      <c r="AV726">
        <v>219</v>
      </c>
      <c r="AW726" t="s">
        <v>74</v>
      </c>
      <c r="AX726" t="s">
        <v>74</v>
      </c>
      <c r="AY726" t="s">
        <v>74</v>
      </c>
      <c r="AZ726" t="s">
        <v>74</v>
      </c>
      <c r="BA726" t="s">
        <v>74</v>
      </c>
      <c r="BB726" t="s">
        <v>74</v>
      </c>
      <c r="BC726" t="s">
        <v>74</v>
      </c>
      <c r="BD726">
        <v>103130</v>
      </c>
      <c r="BE726" t="s">
        <v>13915</v>
      </c>
      <c r="BF726" t="str">
        <f>HYPERLINK("http://dx.doi.org/10.1016/j.pocean.2023.103130","http://dx.doi.org/10.1016/j.pocean.2023.103130")</f>
        <v>http://dx.doi.org/10.1016/j.pocean.2023.103130</v>
      </c>
      <c r="BG726" t="s">
        <v>74</v>
      </c>
      <c r="BH726" t="s">
        <v>11428</v>
      </c>
      <c r="BI726">
        <v>28</v>
      </c>
      <c r="BJ726" t="s">
        <v>5060</v>
      </c>
      <c r="BK726" t="s">
        <v>100</v>
      </c>
      <c r="BL726" t="s">
        <v>5060</v>
      </c>
      <c r="BM726" t="s">
        <v>13916</v>
      </c>
      <c r="BN726" t="s">
        <v>74</v>
      </c>
      <c r="BO726" t="s">
        <v>103</v>
      </c>
      <c r="BP726" t="s">
        <v>74</v>
      </c>
      <c r="BQ726" t="s">
        <v>74</v>
      </c>
      <c r="BR726" t="s">
        <v>104</v>
      </c>
      <c r="BS726" t="s">
        <v>13917</v>
      </c>
      <c r="BT726" t="str">
        <f>HYPERLINK("https%3A%2F%2Fwww.webofscience.com%2Fwos%2Fwoscc%2Ffull-record%2FWOS:001105816800001","View Full Record in Web of Science")</f>
        <v>View Full Record in Web of Science</v>
      </c>
    </row>
    <row r="727" spans="1:72" x14ac:dyDescent="0.15">
      <c r="A727" t="s">
        <v>72</v>
      </c>
      <c r="B727" t="s">
        <v>13918</v>
      </c>
      <c r="C727" t="s">
        <v>74</v>
      </c>
      <c r="D727" t="s">
        <v>74</v>
      </c>
      <c r="E727" t="s">
        <v>74</v>
      </c>
      <c r="F727" t="s">
        <v>13919</v>
      </c>
      <c r="G727" t="s">
        <v>74</v>
      </c>
      <c r="H727" t="s">
        <v>74</v>
      </c>
      <c r="I727" t="s">
        <v>13920</v>
      </c>
      <c r="J727" t="s">
        <v>13921</v>
      </c>
      <c r="K727" t="s">
        <v>74</v>
      </c>
      <c r="L727" t="s">
        <v>74</v>
      </c>
      <c r="M727" t="s">
        <v>78</v>
      </c>
      <c r="N727" t="s">
        <v>79</v>
      </c>
      <c r="O727" t="s">
        <v>74</v>
      </c>
      <c r="P727" t="s">
        <v>74</v>
      </c>
      <c r="Q727" t="s">
        <v>74</v>
      </c>
      <c r="R727" t="s">
        <v>74</v>
      </c>
      <c r="S727" t="s">
        <v>74</v>
      </c>
      <c r="T727" t="s">
        <v>13922</v>
      </c>
      <c r="U727" t="s">
        <v>13923</v>
      </c>
      <c r="V727" t="s">
        <v>13924</v>
      </c>
      <c r="W727" t="s">
        <v>13925</v>
      </c>
      <c r="X727" t="s">
        <v>13926</v>
      </c>
      <c r="Y727" t="s">
        <v>13927</v>
      </c>
      <c r="Z727" t="s">
        <v>13928</v>
      </c>
      <c r="AA727" t="s">
        <v>13929</v>
      </c>
      <c r="AB727" t="s">
        <v>13930</v>
      </c>
      <c r="AC727" t="s">
        <v>74</v>
      </c>
      <c r="AD727" t="s">
        <v>74</v>
      </c>
      <c r="AE727" t="s">
        <v>74</v>
      </c>
      <c r="AF727" t="s">
        <v>74</v>
      </c>
      <c r="AG727">
        <v>53</v>
      </c>
      <c r="AH727">
        <v>1</v>
      </c>
      <c r="AI727">
        <v>1</v>
      </c>
      <c r="AJ727">
        <v>0</v>
      </c>
      <c r="AK727">
        <v>0</v>
      </c>
      <c r="AL727" t="s">
        <v>1560</v>
      </c>
      <c r="AM727" t="s">
        <v>976</v>
      </c>
      <c r="AN727" t="s">
        <v>1561</v>
      </c>
      <c r="AO727" t="s">
        <v>13931</v>
      </c>
      <c r="AP727" t="s">
        <v>13932</v>
      </c>
      <c r="AQ727" t="s">
        <v>74</v>
      </c>
      <c r="AR727" t="s">
        <v>13933</v>
      </c>
      <c r="AS727" t="s">
        <v>13934</v>
      </c>
      <c r="AT727" t="s">
        <v>13847</v>
      </c>
      <c r="AU727">
        <v>2023</v>
      </c>
      <c r="AV727">
        <v>526</v>
      </c>
      <c r="AW727">
        <v>3</v>
      </c>
      <c r="AX727" t="s">
        <v>74</v>
      </c>
      <c r="AY727" t="s">
        <v>74</v>
      </c>
      <c r="AZ727" t="s">
        <v>74</v>
      </c>
      <c r="BA727" t="s">
        <v>74</v>
      </c>
      <c r="BB727">
        <v>3601</v>
      </c>
      <c r="BC727">
        <v>3609</v>
      </c>
      <c r="BD727" t="s">
        <v>74</v>
      </c>
      <c r="BE727" t="s">
        <v>13935</v>
      </c>
      <c r="BF727" t="str">
        <f>HYPERLINK("http://dx.doi.org/10.1093/mnras/stad2943","http://dx.doi.org/10.1093/mnras/stad2943")</f>
        <v>http://dx.doi.org/10.1093/mnras/stad2943</v>
      </c>
      <c r="BG727" t="s">
        <v>74</v>
      </c>
      <c r="BH727" t="s">
        <v>74</v>
      </c>
      <c r="BI727">
        <v>9</v>
      </c>
      <c r="BJ727" t="s">
        <v>4706</v>
      </c>
      <c r="BK727" t="s">
        <v>100</v>
      </c>
      <c r="BL727" t="s">
        <v>4706</v>
      </c>
      <c r="BM727" t="s">
        <v>13936</v>
      </c>
      <c r="BN727" t="s">
        <v>74</v>
      </c>
      <c r="BO727" t="s">
        <v>322</v>
      </c>
      <c r="BP727" t="s">
        <v>74</v>
      </c>
      <c r="BQ727" t="s">
        <v>74</v>
      </c>
      <c r="BR727" t="s">
        <v>104</v>
      </c>
      <c r="BS727" t="s">
        <v>13937</v>
      </c>
      <c r="BT727" t="str">
        <f>HYPERLINK("https%3A%2F%2Fwww.webofscience.com%2Fwos%2Fwoscc%2Ffull-record%2FWOS:001087206800004","View Full Record in Web of Science")</f>
        <v>View Full Record in Web of Science</v>
      </c>
    </row>
    <row r="728" spans="1:72" x14ac:dyDescent="0.15">
      <c r="A728" t="s">
        <v>72</v>
      </c>
      <c r="B728" t="s">
        <v>13938</v>
      </c>
      <c r="C728" t="s">
        <v>74</v>
      </c>
      <c r="D728" t="s">
        <v>74</v>
      </c>
      <c r="E728" t="s">
        <v>74</v>
      </c>
      <c r="F728" t="s">
        <v>13939</v>
      </c>
      <c r="G728" t="s">
        <v>74</v>
      </c>
      <c r="H728" t="s">
        <v>74</v>
      </c>
      <c r="I728" t="s">
        <v>13940</v>
      </c>
      <c r="J728" t="s">
        <v>1116</v>
      </c>
      <c r="K728" t="s">
        <v>74</v>
      </c>
      <c r="L728" t="s">
        <v>74</v>
      </c>
      <c r="M728" t="s">
        <v>78</v>
      </c>
      <c r="N728" t="s">
        <v>79</v>
      </c>
      <c r="O728" t="s">
        <v>74</v>
      </c>
      <c r="P728" t="s">
        <v>74</v>
      </c>
      <c r="Q728" t="s">
        <v>74</v>
      </c>
      <c r="R728" t="s">
        <v>74</v>
      </c>
      <c r="S728" t="s">
        <v>74</v>
      </c>
      <c r="T728" t="s">
        <v>13941</v>
      </c>
      <c r="U728" t="s">
        <v>13942</v>
      </c>
      <c r="V728" t="s">
        <v>13943</v>
      </c>
      <c r="W728" t="s">
        <v>13944</v>
      </c>
      <c r="X728" t="s">
        <v>13945</v>
      </c>
      <c r="Y728" t="s">
        <v>13946</v>
      </c>
      <c r="Z728" t="s">
        <v>13947</v>
      </c>
      <c r="AA728" t="s">
        <v>74</v>
      </c>
      <c r="AB728" t="s">
        <v>74</v>
      </c>
      <c r="AC728" t="s">
        <v>13948</v>
      </c>
      <c r="AD728" t="s">
        <v>13949</v>
      </c>
      <c r="AE728" t="s">
        <v>13950</v>
      </c>
      <c r="AF728" t="s">
        <v>74</v>
      </c>
      <c r="AG728">
        <v>92</v>
      </c>
      <c r="AH728">
        <v>0</v>
      </c>
      <c r="AI728">
        <v>0</v>
      </c>
      <c r="AJ728">
        <v>3</v>
      </c>
      <c r="AK728">
        <v>3</v>
      </c>
      <c r="AL728" t="s">
        <v>975</v>
      </c>
      <c r="AM728" t="s">
        <v>976</v>
      </c>
      <c r="AN728" t="s">
        <v>977</v>
      </c>
      <c r="AO728" t="s">
        <v>1129</v>
      </c>
      <c r="AP728" t="s">
        <v>1130</v>
      </c>
      <c r="AQ728" t="s">
        <v>74</v>
      </c>
      <c r="AR728" t="s">
        <v>1131</v>
      </c>
      <c r="AS728" t="s">
        <v>1132</v>
      </c>
      <c r="AT728" t="s">
        <v>4525</v>
      </c>
      <c r="AU728">
        <v>2023</v>
      </c>
      <c r="AV728">
        <v>196</v>
      </c>
      <c r="AW728" t="s">
        <v>74</v>
      </c>
      <c r="AX728" t="s">
        <v>74</v>
      </c>
      <c r="AY728" t="s">
        <v>74</v>
      </c>
      <c r="AZ728" t="s">
        <v>74</v>
      </c>
      <c r="BA728" t="s">
        <v>74</v>
      </c>
      <c r="BB728" t="s">
        <v>74</v>
      </c>
      <c r="BC728" t="s">
        <v>74</v>
      </c>
      <c r="BD728">
        <v>115632</v>
      </c>
      <c r="BE728" t="s">
        <v>13951</v>
      </c>
      <c r="BF728" t="str">
        <f>HYPERLINK("http://dx.doi.org/10.1016/j.marpolbul.2023.115632","http://dx.doi.org/10.1016/j.marpolbul.2023.115632")</f>
        <v>http://dx.doi.org/10.1016/j.marpolbul.2023.115632</v>
      </c>
      <c r="BG728" t="s">
        <v>74</v>
      </c>
      <c r="BH728" t="s">
        <v>11428</v>
      </c>
      <c r="BI728">
        <v>11</v>
      </c>
      <c r="BJ728" t="s">
        <v>1135</v>
      </c>
      <c r="BK728" t="s">
        <v>100</v>
      </c>
      <c r="BL728" t="s">
        <v>1136</v>
      </c>
      <c r="BM728" t="s">
        <v>13952</v>
      </c>
      <c r="BN728">
        <v>37826908</v>
      </c>
      <c r="BO728" t="s">
        <v>74</v>
      </c>
      <c r="BP728" t="s">
        <v>74</v>
      </c>
      <c r="BQ728" t="s">
        <v>74</v>
      </c>
      <c r="BR728" t="s">
        <v>104</v>
      </c>
      <c r="BS728" t="s">
        <v>13953</v>
      </c>
      <c r="BT728" t="str">
        <f>HYPERLINK("https%3A%2F%2Fwww.webofscience.com%2Fwos%2Fwoscc%2Ffull-record%2FWOS:001099092200001","View Full Record in Web of Science")</f>
        <v>View Full Record in Web of Science</v>
      </c>
    </row>
    <row r="729" spans="1:72" x14ac:dyDescent="0.15">
      <c r="A729" t="s">
        <v>72</v>
      </c>
      <c r="B729" t="s">
        <v>9874</v>
      </c>
      <c r="C729" t="s">
        <v>74</v>
      </c>
      <c r="D729" t="s">
        <v>74</v>
      </c>
      <c r="E729" t="s">
        <v>74</v>
      </c>
      <c r="F729" t="s">
        <v>9875</v>
      </c>
      <c r="G729" t="s">
        <v>74</v>
      </c>
      <c r="H729" t="s">
        <v>74</v>
      </c>
      <c r="I729" t="s">
        <v>13954</v>
      </c>
      <c r="J729" t="s">
        <v>9877</v>
      </c>
      <c r="K729" t="s">
        <v>74</v>
      </c>
      <c r="L729" t="s">
        <v>74</v>
      </c>
      <c r="M729" t="s">
        <v>78</v>
      </c>
      <c r="N729" t="s">
        <v>920</v>
      </c>
      <c r="O729" t="s">
        <v>74</v>
      </c>
      <c r="P729" t="s">
        <v>74</v>
      </c>
      <c r="Q729" t="s">
        <v>74</v>
      </c>
      <c r="R729" t="s">
        <v>74</v>
      </c>
      <c r="S729" t="s">
        <v>74</v>
      </c>
      <c r="T729" t="s">
        <v>9878</v>
      </c>
      <c r="U729" t="s">
        <v>13955</v>
      </c>
      <c r="V729" t="s">
        <v>74</v>
      </c>
      <c r="W729" t="s">
        <v>13956</v>
      </c>
      <c r="X729" t="s">
        <v>922</v>
      </c>
      <c r="Y729" t="s">
        <v>9880</v>
      </c>
      <c r="Z729" t="s">
        <v>9881</v>
      </c>
      <c r="AA729" t="s">
        <v>74</v>
      </c>
      <c r="AB729" t="s">
        <v>74</v>
      </c>
      <c r="AC729" t="s">
        <v>13957</v>
      </c>
      <c r="AD729" t="s">
        <v>13958</v>
      </c>
      <c r="AE729" t="s">
        <v>13959</v>
      </c>
      <c r="AF729" t="s">
        <v>74</v>
      </c>
      <c r="AG729">
        <v>15</v>
      </c>
      <c r="AH729">
        <v>0</v>
      </c>
      <c r="AI729">
        <v>0</v>
      </c>
      <c r="AJ729">
        <v>2</v>
      </c>
      <c r="AK729">
        <v>2</v>
      </c>
      <c r="AL729" t="s">
        <v>1758</v>
      </c>
      <c r="AM729" t="s">
        <v>1759</v>
      </c>
      <c r="AN729" t="s">
        <v>1760</v>
      </c>
      <c r="AO729" t="s">
        <v>9882</v>
      </c>
      <c r="AP729" t="s">
        <v>74</v>
      </c>
      <c r="AQ729" t="s">
        <v>74</v>
      </c>
      <c r="AR729" t="s">
        <v>9883</v>
      </c>
      <c r="AS729" t="s">
        <v>9884</v>
      </c>
      <c r="AT729" t="s">
        <v>13847</v>
      </c>
      <c r="AU729">
        <v>2023</v>
      </c>
      <c r="AV729">
        <v>10</v>
      </c>
      <c r="AW729" t="s">
        <v>74</v>
      </c>
      <c r="AX729" t="s">
        <v>74</v>
      </c>
      <c r="AY729" t="s">
        <v>74</v>
      </c>
      <c r="AZ729" t="s">
        <v>74</v>
      </c>
      <c r="BA729" t="s">
        <v>74</v>
      </c>
      <c r="BB729" t="s">
        <v>74</v>
      </c>
      <c r="BC729" t="s">
        <v>74</v>
      </c>
      <c r="BD729">
        <v>1200959</v>
      </c>
      <c r="BE729" t="s">
        <v>13960</v>
      </c>
      <c r="BF729" t="str">
        <f>HYPERLINK("http://dx.doi.org/10.3389/fspas.2023.1200959","http://dx.doi.org/10.3389/fspas.2023.1200959")</f>
        <v>http://dx.doi.org/10.3389/fspas.2023.1200959</v>
      </c>
      <c r="BG729" t="s">
        <v>74</v>
      </c>
      <c r="BH729" t="s">
        <v>74</v>
      </c>
      <c r="BI729">
        <v>3</v>
      </c>
      <c r="BJ729" t="s">
        <v>4706</v>
      </c>
      <c r="BK729" t="s">
        <v>100</v>
      </c>
      <c r="BL729" t="s">
        <v>4706</v>
      </c>
      <c r="BM729" t="s">
        <v>13961</v>
      </c>
      <c r="BN729" t="s">
        <v>74</v>
      </c>
      <c r="BO729" t="s">
        <v>131</v>
      </c>
      <c r="BP729" t="s">
        <v>74</v>
      </c>
      <c r="BQ729" t="s">
        <v>74</v>
      </c>
      <c r="BR729" t="s">
        <v>104</v>
      </c>
      <c r="BS729" t="s">
        <v>13962</v>
      </c>
      <c r="BT729" t="str">
        <f>HYPERLINK("https%3A%2F%2Fwww.webofscience.com%2Fwos%2Fwoscc%2Ffull-record%2FWOS:001090435200001","View Full Record in Web of Science")</f>
        <v>View Full Record in Web of Science</v>
      </c>
    </row>
    <row r="730" spans="1:72" x14ac:dyDescent="0.15">
      <c r="A730" t="s">
        <v>72</v>
      </c>
      <c r="B730" t="s">
        <v>13963</v>
      </c>
      <c r="C730" t="s">
        <v>74</v>
      </c>
      <c r="D730" t="s">
        <v>74</v>
      </c>
      <c r="E730" t="s">
        <v>74</v>
      </c>
      <c r="F730" t="s">
        <v>13964</v>
      </c>
      <c r="G730" t="s">
        <v>74</v>
      </c>
      <c r="H730" t="s">
        <v>74</v>
      </c>
      <c r="I730" t="s">
        <v>13965</v>
      </c>
      <c r="J730" t="s">
        <v>13966</v>
      </c>
      <c r="K730" t="s">
        <v>74</v>
      </c>
      <c r="L730" t="s">
        <v>74</v>
      </c>
      <c r="M730" t="s">
        <v>78</v>
      </c>
      <c r="N730" t="s">
        <v>79</v>
      </c>
      <c r="O730" t="s">
        <v>74</v>
      </c>
      <c r="P730" t="s">
        <v>74</v>
      </c>
      <c r="Q730" t="s">
        <v>74</v>
      </c>
      <c r="R730" t="s">
        <v>74</v>
      </c>
      <c r="S730" t="s">
        <v>74</v>
      </c>
      <c r="T730" t="s">
        <v>13967</v>
      </c>
      <c r="U730" t="s">
        <v>13968</v>
      </c>
      <c r="V730" t="s">
        <v>13969</v>
      </c>
      <c r="W730" t="s">
        <v>13970</v>
      </c>
      <c r="X730" t="s">
        <v>13971</v>
      </c>
      <c r="Y730" t="s">
        <v>13972</v>
      </c>
      <c r="Z730" t="s">
        <v>13973</v>
      </c>
      <c r="AA730" t="s">
        <v>13974</v>
      </c>
      <c r="AB730" t="s">
        <v>13975</v>
      </c>
      <c r="AC730" t="s">
        <v>13976</v>
      </c>
      <c r="AD730" t="s">
        <v>13977</v>
      </c>
      <c r="AE730" t="s">
        <v>13978</v>
      </c>
      <c r="AF730" t="s">
        <v>74</v>
      </c>
      <c r="AG730">
        <v>100</v>
      </c>
      <c r="AH730">
        <v>0</v>
      </c>
      <c r="AI730">
        <v>0</v>
      </c>
      <c r="AJ730">
        <v>6</v>
      </c>
      <c r="AK730">
        <v>6</v>
      </c>
      <c r="AL730" t="s">
        <v>1101</v>
      </c>
      <c r="AM730" t="s">
        <v>1102</v>
      </c>
      <c r="AN730" t="s">
        <v>1103</v>
      </c>
      <c r="AO730" t="s">
        <v>13979</v>
      </c>
      <c r="AP730" t="s">
        <v>13980</v>
      </c>
      <c r="AQ730" t="s">
        <v>74</v>
      </c>
      <c r="AR730" t="s">
        <v>13966</v>
      </c>
      <c r="AS730" t="s">
        <v>13981</v>
      </c>
      <c r="AT730" t="s">
        <v>1133</v>
      </c>
      <c r="AU730">
        <v>2024</v>
      </c>
      <c r="AV730">
        <v>2024</v>
      </c>
      <c r="AW730">
        <v>2</v>
      </c>
      <c r="AX730" t="s">
        <v>74</v>
      </c>
      <c r="AY730" t="s">
        <v>74</v>
      </c>
      <c r="AZ730" t="s">
        <v>74</v>
      </c>
      <c r="BA730" t="s">
        <v>74</v>
      </c>
      <c r="BB730" t="s">
        <v>74</v>
      </c>
      <c r="BC730" t="s">
        <v>74</v>
      </c>
      <c r="BD730" t="s">
        <v>74</v>
      </c>
      <c r="BE730" t="s">
        <v>13982</v>
      </c>
      <c r="BF730" t="str">
        <f>HYPERLINK("http://dx.doi.org/10.1111/ecog.06496","http://dx.doi.org/10.1111/ecog.06496")</f>
        <v>http://dx.doi.org/10.1111/ecog.06496</v>
      </c>
      <c r="BG730" t="s">
        <v>74</v>
      </c>
      <c r="BH730" t="s">
        <v>11428</v>
      </c>
      <c r="BI730">
        <v>15</v>
      </c>
      <c r="BJ730" t="s">
        <v>1261</v>
      </c>
      <c r="BK730" t="s">
        <v>100</v>
      </c>
      <c r="BL730" t="s">
        <v>913</v>
      </c>
      <c r="BM730" t="s">
        <v>13983</v>
      </c>
      <c r="BN730" t="s">
        <v>74</v>
      </c>
      <c r="BO730" t="s">
        <v>4144</v>
      </c>
      <c r="BP730" t="s">
        <v>74</v>
      </c>
      <c r="BQ730" t="s">
        <v>74</v>
      </c>
      <c r="BR730" t="s">
        <v>104</v>
      </c>
      <c r="BS730" t="s">
        <v>13984</v>
      </c>
      <c r="BT730" t="str">
        <f>HYPERLINK("https%3A%2F%2Fwww.webofscience.com%2Fwos%2Fwoscc%2Ffull-record%2FWOS:001083393100001","View Full Record in Web of Science")</f>
        <v>View Full Record in Web of Science</v>
      </c>
    </row>
    <row r="731" spans="1:72" x14ac:dyDescent="0.15">
      <c r="A731" t="s">
        <v>72</v>
      </c>
      <c r="B731" t="s">
        <v>13985</v>
      </c>
      <c r="C731" t="s">
        <v>74</v>
      </c>
      <c r="D731" t="s">
        <v>74</v>
      </c>
      <c r="E731" t="s">
        <v>74</v>
      </c>
      <c r="F731" t="s">
        <v>13986</v>
      </c>
      <c r="G731" t="s">
        <v>74</v>
      </c>
      <c r="H731" t="s">
        <v>74</v>
      </c>
      <c r="I731" t="s">
        <v>13987</v>
      </c>
      <c r="J731" t="s">
        <v>13988</v>
      </c>
      <c r="K731" t="s">
        <v>74</v>
      </c>
      <c r="L731" t="s">
        <v>74</v>
      </c>
      <c r="M731" t="s">
        <v>78</v>
      </c>
      <c r="N731" t="s">
        <v>79</v>
      </c>
      <c r="O731" t="s">
        <v>74</v>
      </c>
      <c r="P731" t="s">
        <v>74</v>
      </c>
      <c r="Q731" t="s">
        <v>74</v>
      </c>
      <c r="R731" t="s">
        <v>74</v>
      </c>
      <c r="S731" t="s">
        <v>74</v>
      </c>
      <c r="T731" t="s">
        <v>13989</v>
      </c>
      <c r="U731" t="s">
        <v>13990</v>
      </c>
      <c r="V731" t="s">
        <v>13991</v>
      </c>
      <c r="W731" t="s">
        <v>13992</v>
      </c>
      <c r="X731" t="s">
        <v>13993</v>
      </c>
      <c r="Y731" t="s">
        <v>13994</v>
      </c>
      <c r="Z731" t="s">
        <v>13995</v>
      </c>
      <c r="AA731" t="s">
        <v>13996</v>
      </c>
      <c r="AB731" t="s">
        <v>13997</v>
      </c>
      <c r="AC731" t="s">
        <v>13998</v>
      </c>
      <c r="AD731" t="s">
        <v>13998</v>
      </c>
      <c r="AE731" t="s">
        <v>13999</v>
      </c>
      <c r="AF731" t="s">
        <v>74</v>
      </c>
      <c r="AG731">
        <v>54</v>
      </c>
      <c r="AH731">
        <v>0</v>
      </c>
      <c r="AI731">
        <v>0</v>
      </c>
      <c r="AJ731">
        <v>5</v>
      </c>
      <c r="AK731">
        <v>5</v>
      </c>
      <c r="AL731" t="s">
        <v>1560</v>
      </c>
      <c r="AM731" t="s">
        <v>976</v>
      </c>
      <c r="AN731" t="s">
        <v>1561</v>
      </c>
      <c r="AO731" t="s">
        <v>14000</v>
      </c>
      <c r="AP731" t="s">
        <v>14001</v>
      </c>
      <c r="AQ731" t="s">
        <v>74</v>
      </c>
      <c r="AR731" t="s">
        <v>14002</v>
      </c>
      <c r="AS731" t="s">
        <v>14003</v>
      </c>
      <c r="AT731" t="s">
        <v>982</v>
      </c>
      <c r="AU731">
        <v>2024</v>
      </c>
      <c r="AV731">
        <v>141</v>
      </c>
      <c r="AW731">
        <v>2</v>
      </c>
      <c r="AX731" t="s">
        <v>74</v>
      </c>
      <c r="AY731" t="s">
        <v>74</v>
      </c>
      <c r="AZ731" t="s">
        <v>74</v>
      </c>
      <c r="BA731" t="s">
        <v>74</v>
      </c>
      <c r="BB731">
        <v>289</v>
      </c>
      <c r="BC731">
        <v>305</v>
      </c>
      <c r="BD731" t="s">
        <v>74</v>
      </c>
      <c r="BE731" t="s">
        <v>14004</v>
      </c>
      <c r="BF731" t="str">
        <f>HYPERLINK("http://dx.doi.org/10.1093/biolinnean/blad091","http://dx.doi.org/10.1093/biolinnean/blad091")</f>
        <v>http://dx.doi.org/10.1093/biolinnean/blad091</v>
      </c>
      <c r="BG731" t="s">
        <v>74</v>
      </c>
      <c r="BH731" t="s">
        <v>11428</v>
      </c>
      <c r="BI731">
        <v>17</v>
      </c>
      <c r="BJ731" t="s">
        <v>14005</v>
      </c>
      <c r="BK731" t="s">
        <v>100</v>
      </c>
      <c r="BL731" t="s">
        <v>14005</v>
      </c>
      <c r="BM731" t="s">
        <v>14006</v>
      </c>
      <c r="BN731" t="s">
        <v>74</v>
      </c>
      <c r="BO731" t="s">
        <v>74</v>
      </c>
      <c r="BP731" t="s">
        <v>74</v>
      </c>
      <c r="BQ731" t="s">
        <v>74</v>
      </c>
      <c r="BR731" t="s">
        <v>104</v>
      </c>
      <c r="BS731" t="s">
        <v>14007</v>
      </c>
      <c r="BT731" t="str">
        <f>HYPERLINK("https%3A%2F%2Fwww.webofscience.com%2Fwos%2Fwoscc%2Ffull-record%2FWOS:001080775600001","View Full Record in Web of Science")</f>
        <v>View Full Record in Web of Science</v>
      </c>
    </row>
    <row r="732" spans="1:72" x14ac:dyDescent="0.15">
      <c r="A732" t="s">
        <v>72</v>
      </c>
      <c r="B732" t="s">
        <v>14008</v>
      </c>
      <c r="C732" t="s">
        <v>74</v>
      </c>
      <c r="D732" t="s">
        <v>74</v>
      </c>
      <c r="E732" t="s">
        <v>74</v>
      </c>
      <c r="F732" t="s">
        <v>14009</v>
      </c>
      <c r="G732" t="s">
        <v>74</v>
      </c>
      <c r="H732" t="s">
        <v>74</v>
      </c>
      <c r="I732" t="s">
        <v>14010</v>
      </c>
      <c r="J732" t="s">
        <v>10295</v>
      </c>
      <c r="K732" t="s">
        <v>74</v>
      </c>
      <c r="L732" t="s">
        <v>74</v>
      </c>
      <c r="M732" t="s">
        <v>78</v>
      </c>
      <c r="N732" t="s">
        <v>2940</v>
      </c>
      <c r="O732" t="s">
        <v>74</v>
      </c>
      <c r="P732" t="s">
        <v>74</v>
      </c>
      <c r="Q732" t="s">
        <v>74</v>
      </c>
      <c r="R732" t="s">
        <v>74</v>
      </c>
      <c r="S732" t="s">
        <v>74</v>
      </c>
      <c r="T732" t="s">
        <v>14011</v>
      </c>
      <c r="U732" t="s">
        <v>14012</v>
      </c>
      <c r="V732" t="s">
        <v>14013</v>
      </c>
      <c r="W732" t="s">
        <v>14014</v>
      </c>
      <c r="X732" t="s">
        <v>14015</v>
      </c>
      <c r="Y732" t="s">
        <v>14016</v>
      </c>
      <c r="Z732" t="s">
        <v>14017</v>
      </c>
      <c r="AA732" t="s">
        <v>14018</v>
      </c>
      <c r="AB732" t="s">
        <v>14019</v>
      </c>
      <c r="AC732" t="s">
        <v>14020</v>
      </c>
      <c r="AD732" t="s">
        <v>14020</v>
      </c>
      <c r="AE732" t="s">
        <v>14021</v>
      </c>
      <c r="AF732" t="s">
        <v>74</v>
      </c>
      <c r="AG732">
        <v>92</v>
      </c>
      <c r="AH732">
        <v>1</v>
      </c>
      <c r="AI732">
        <v>1</v>
      </c>
      <c r="AJ732">
        <v>12</v>
      </c>
      <c r="AK732">
        <v>12</v>
      </c>
      <c r="AL732" t="s">
        <v>1075</v>
      </c>
      <c r="AM732" t="s">
        <v>2949</v>
      </c>
      <c r="AN732" t="s">
        <v>2950</v>
      </c>
      <c r="AO732" t="s">
        <v>10307</v>
      </c>
      <c r="AP732" t="s">
        <v>10308</v>
      </c>
      <c r="AQ732" t="s">
        <v>74</v>
      </c>
      <c r="AR732" t="s">
        <v>10309</v>
      </c>
      <c r="AS732" t="s">
        <v>10310</v>
      </c>
      <c r="AT732" t="s">
        <v>14022</v>
      </c>
      <c r="AU732">
        <v>2023</v>
      </c>
      <c r="AV732" t="s">
        <v>74</v>
      </c>
      <c r="AW732" t="s">
        <v>74</v>
      </c>
      <c r="AX732" t="s">
        <v>74</v>
      </c>
      <c r="AY732" t="s">
        <v>74</v>
      </c>
      <c r="AZ732" t="s">
        <v>74</v>
      </c>
      <c r="BA732" t="s">
        <v>74</v>
      </c>
      <c r="BB732" t="s">
        <v>74</v>
      </c>
      <c r="BC732" t="s">
        <v>74</v>
      </c>
      <c r="BD732" t="s">
        <v>74</v>
      </c>
      <c r="BE732" t="s">
        <v>14023</v>
      </c>
      <c r="BF732" t="str">
        <f>HYPERLINK("http://dx.doi.org/10.1007/s10811-023-03103-y","http://dx.doi.org/10.1007/s10811-023-03103-y")</f>
        <v>http://dx.doi.org/10.1007/s10811-023-03103-y</v>
      </c>
      <c r="BG732" t="s">
        <v>74</v>
      </c>
      <c r="BH732" t="s">
        <v>11428</v>
      </c>
      <c r="BI732">
        <v>14</v>
      </c>
      <c r="BJ732" t="s">
        <v>10313</v>
      </c>
      <c r="BK732" t="s">
        <v>100</v>
      </c>
      <c r="BL732" t="s">
        <v>10313</v>
      </c>
      <c r="BM732" t="s">
        <v>14024</v>
      </c>
      <c r="BN732" t="s">
        <v>74</v>
      </c>
      <c r="BO732" t="s">
        <v>103</v>
      </c>
      <c r="BP732" t="s">
        <v>74</v>
      </c>
      <c r="BQ732" t="s">
        <v>74</v>
      </c>
      <c r="BR732" t="s">
        <v>104</v>
      </c>
      <c r="BS732" t="s">
        <v>14025</v>
      </c>
      <c r="BT732" t="str">
        <f>HYPERLINK("https%3A%2F%2Fwww.webofscience.com%2Fwos%2Fwoscc%2Ffull-record%2FWOS:001096266800002","View Full Record in Web of Science")</f>
        <v>View Full Record in Web of Science</v>
      </c>
    </row>
    <row r="733" spans="1:72" x14ac:dyDescent="0.15">
      <c r="A733" t="s">
        <v>72</v>
      </c>
      <c r="B733" t="s">
        <v>14026</v>
      </c>
      <c r="C733" t="s">
        <v>74</v>
      </c>
      <c r="D733" t="s">
        <v>74</v>
      </c>
      <c r="E733" t="s">
        <v>74</v>
      </c>
      <c r="F733" t="s">
        <v>14027</v>
      </c>
      <c r="G733" t="s">
        <v>74</v>
      </c>
      <c r="H733" t="s">
        <v>74</v>
      </c>
      <c r="I733" t="s">
        <v>14028</v>
      </c>
      <c r="J733" t="s">
        <v>14029</v>
      </c>
      <c r="K733" t="s">
        <v>74</v>
      </c>
      <c r="L733" t="s">
        <v>74</v>
      </c>
      <c r="M733" t="s">
        <v>78</v>
      </c>
      <c r="N733" t="s">
        <v>79</v>
      </c>
      <c r="O733" t="s">
        <v>74</v>
      </c>
      <c r="P733" t="s">
        <v>74</v>
      </c>
      <c r="Q733" t="s">
        <v>74</v>
      </c>
      <c r="R733" t="s">
        <v>74</v>
      </c>
      <c r="S733" t="s">
        <v>74</v>
      </c>
      <c r="T733" t="s">
        <v>14030</v>
      </c>
      <c r="U733" t="s">
        <v>14031</v>
      </c>
      <c r="V733" t="s">
        <v>14032</v>
      </c>
      <c r="W733" t="s">
        <v>14033</v>
      </c>
      <c r="X733" t="s">
        <v>14034</v>
      </c>
      <c r="Y733" t="s">
        <v>14035</v>
      </c>
      <c r="Z733" t="s">
        <v>14036</v>
      </c>
      <c r="AA733" t="s">
        <v>74</v>
      </c>
      <c r="AB733" t="s">
        <v>74</v>
      </c>
      <c r="AC733" t="s">
        <v>14037</v>
      </c>
      <c r="AD733" t="s">
        <v>14038</v>
      </c>
      <c r="AE733" t="s">
        <v>14039</v>
      </c>
      <c r="AF733" t="s">
        <v>74</v>
      </c>
      <c r="AG733">
        <v>95</v>
      </c>
      <c r="AH733">
        <v>0</v>
      </c>
      <c r="AI733">
        <v>0</v>
      </c>
      <c r="AJ733">
        <v>10</v>
      </c>
      <c r="AK733">
        <v>10</v>
      </c>
      <c r="AL733" t="s">
        <v>975</v>
      </c>
      <c r="AM733" t="s">
        <v>976</v>
      </c>
      <c r="AN733" t="s">
        <v>977</v>
      </c>
      <c r="AO733" t="s">
        <v>14040</v>
      </c>
      <c r="AP733" t="s">
        <v>14041</v>
      </c>
      <c r="AQ733" t="s">
        <v>74</v>
      </c>
      <c r="AR733" t="s">
        <v>14042</v>
      </c>
      <c r="AS733" t="s">
        <v>14043</v>
      </c>
      <c r="AT733" t="s">
        <v>13847</v>
      </c>
      <c r="AU733">
        <v>2023</v>
      </c>
      <c r="AV733">
        <v>670</v>
      </c>
      <c r="AW733" t="s">
        <v>74</v>
      </c>
      <c r="AX733" t="s">
        <v>74</v>
      </c>
      <c r="AY733" t="s">
        <v>74</v>
      </c>
      <c r="AZ733" t="s">
        <v>74</v>
      </c>
      <c r="BA733" t="s">
        <v>74</v>
      </c>
      <c r="BB733">
        <v>32</v>
      </c>
      <c r="BC733">
        <v>44</v>
      </c>
      <c r="BD733" t="s">
        <v>74</v>
      </c>
      <c r="BE733" t="s">
        <v>14044</v>
      </c>
      <c r="BF733" t="str">
        <f>HYPERLINK("http://dx.doi.org/10.1016/j.quaint.2023.08.005","http://dx.doi.org/10.1016/j.quaint.2023.08.005")</f>
        <v>http://dx.doi.org/10.1016/j.quaint.2023.08.005</v>
      </c>
      <c r="BG733" t="s">
        <v>74</v>
      </c>
      <c r="BH733" t="s">
        <v>11428</v>
      </c>
      <c r="BI733">
        <v>13</v>
      </c>
      <c r="BJ733" t="s">
        <v>984</v>
      </c>
      <c r="BK733" t="s">
        <v>100</v>
      </c>
      <c r="BL733" t="s">
        <v>985</v>
      </c>
      <c r="BM733" t="s">
        <v>14045</v>
      </c>
      <c r="BN733" t="s">
        <v>74</v>
      </c>
      <c r="BO733" t="s">
        <v>74</v>
      </c>
      <c r="BP733" t="s">
        <v>74</v>
      </c>
      <c r="BQ733" t="s">
        <v>74</v>
      </c>
      <c r="BR733" t="s">
        <v>104</v>
      </c>
      <c r="BS733" t="s">
        <v>14046</v>
      </c>
      <c r="BT733" t="str">
        <f>HYPERLINK("https%3A%2F%2Fwww.webofscience.com%2Fwos%2Fwoscc%2Ffull-record%2FWOS:001098986100001","View Full Record in Web of Science")</f>
        <v>View Full Record in Web of Science</v>
      </c>
    </row>
    <row r="734" spans="1:72" x14ac:dyDescent="0.15">
      <c r="A734" t="s">
        <v>72</v>
      </c>
      <c r="B734" t="s">
        <v>14047</v>
      </c>
      <c r="C734" t="s">
        <v>74</v>
      </c>
      <c r="D734" t="s">
        <v>74</v>
      </c>
      <c r="E734" t="s">
        <v>74</v>
      </c>
      <c r="F734" t="s">
        <v>14048</v>
      </c>
      <c r="G734" t="s">
        <v>74</v>
      </c>
      <c r="H734" t="s">
        <v>74</v>
      </c>
      <c r="I734" t="s">
        <v>14049</v>
      </c>
      <c r="J734" t="s">
        <v>2668</v>
      </c>
      <c r="K734" t="s">
        <v>74</v>
      </c>
      <c r="L734" t="s">
        <v>74</v>
      </c>
      <c r="M734" t="s">
        <v>78</v>
      </c>
      <c r="N734" t="s">
        <v>79</v>
      </c>
      <c r="O734" t="s">
        <v>74</v>
      </c>
      <c r="P734" t="s">
        <v>74</v>
      </c>
      <c r="Q734" t="s">
        <v>74</v>
      </c>
      <c r="R734" t="s">
        <v>74</v>
      </c>
      <c r="S734" t="s">
        <v>74</v>
      </c>
      <c r="T734" t="s">
        <v>14050</v>
      </c>
      <c r="U734" t="s">
        <v>14051</v>
      </c>
      <c r="V734" t="s">
        <v>14052</v>
      </c>
      <c r="W734" t="s">
        <v>14053</v>
      </c>
      <c r="X734" t="s">
        <v>14054</v>
      </c>
      <c r="Y734" t="s">
        <v>14055</v>
      </c>
      <c r="Z734" t="s">
        <v>14056</v>
      </c>
      <c r="AA734" t="s">
        <v>14057</v>
      </c>
      <c r="AB734" t="s">
        <v>14058</v>
      </c>
      <c r="AC734" t="s">
        <v>14059</v>
      </c>
      <c r="AD734" t="s">
        <v>14060</v>
      </c>
      <c r="AE734" t="s">
        <v>14061</v>
      </c>
      <c r="AF734" t="s">
        <v>74</v>
      </c>
      <c r="AG734">
        <v>85</v>
      </c>
      <c r="AH734">
        <v>0</v>
      </c>
      <c r="AI734">
        <v>0</v>
      </c>
      <c r="AJ734">
        <v>9</v>
      </c>
      <c r="AK734">
        <v>9</v>
      </c>
      <c r="AL734" t="s">
        <v>947</v>
      </c>
      <c r="AM734" t="s">
        <v>948</v>
      </c>
      <c r="AN734" t="s">
        <v>949</v>
      </c>
      <c r="AO734" t="s">
        <v>2679</v>
      </c>
      <c r="AP734" t="s">
        <v>2680</v>
      </c>
      <c r="AQ734" t="s">
        <v>74</v>
      </c>
      <c r="AR734" t="s">
        <v>2681</v>
      </c>
      <c r="AS734" t="s">
        <v>2682</v>
      </c>
      <c r="AT734" t="s">
        <v>5341</v>
      </c>
      <c r="AU734">
        <v>2023</v>
      </c>
      <c r="AV734">
        <v>631</v>
      </c>
      <c r="AW734" t="s">
        <v>74</v>
      </c>
      <c r="AX734" t="s">
        <v>74</v>
      </c>
      <c r="AY734" t="s">
        <v>74</v>
      </c>
      <c r="AZ734" t="s">
        <v>74</v>
      </c>
      <c r="BA734" t="s">
        <v>74</v>
      </c>
      <c r="BB734" t="s">
        <v>74</v>
      </c>
      <c r="BC734" t="s">
        <v>74</v>
      </c>
      <c r="BD734">
        <v>111835</v>
      </c>
      <c r="BE734" t="s">
        <v>14062</v>
      </c>
      <c r="BF734" t="str">
        <f>HYPERLINK("http://dx.doi.org/10.1016/j.palaeo.2023.111835","http://dx.doi.org/10.1016/j.palaeo.2023.111835")</f>
        <v>http://dx.doi.org/10.1016/j.palaeo.2023.111835</v>
      </c>
      <c r="BG734" t="s">
        <v>74</v>
      </c>
      <c r="BH734" t="s">
        <v>11428</v>
      </c>
      <c r="BI734">
        <v>11</v>
      </c>
      <c r="BJ734" t="s">
        <v>2684</v>
      </c>
      <c r="BK734" t="s">
        <v>100</v>
      </c>
      <c r="BL734" t="s">
        <v>2685</v>
      </c>
      <c r="BM734" t="s">
        <v>14063</v>
      </c>
      <c r="BN734" t="s">
        <v>74</v>
      </c>
      <c r="BO734" t="s">
        <v>74</v>
      </c>
      <c r="BP734" t="s">
        <v>74</v>
      </c>
      <c r="BQ734" t="s">
        <v>74</v>
      </c>
      <c r="BR734" t="s">
        <v>104</v>
      </c>
      <c r="BS734" t="s">
        <v>14064</v>
      </c>
      <c r="BT734" t="str">
        <f>HYPERLINK("https%3A%2F%2Fwww.webofscience.com%2Fwos%2Fwoscc%2Ffull-record%2FWOS:001099187200001","View Full Record in Web of Science")</f>
        <v>View Full Record in Web of Science</v>
      </c>
    </row>
    <row r="735" spans="1:72" x14ac:dyDescent="0.15">
      <c r="A735" t="s">
        <v>72</v>
      </c>
      <c r="B735" t="s">
        <v>14065</v>
      </c>
      <c r="C735" t="s">
        <v>74</v>
      </c>
      <c r="D735" t="s">
        <v>74</v>
      </c>
      <c r="E735" t="s">
        <v>74</v>
      </c>
      <c r="F735" t="s">
        <v>14066</v>
      </c>
      <c r="G735" t="s">
        <v>74</v>
      </c>
      <c r="H735" t="s">
        <v>74</v>
      </c>
      <c r="I735" t="s">
        <v>14067</v>
      </c>
      <c r="J735" t="s">
        <v>3045</v>
      </c>
      <c r="K735" t="s">
        <v>74</v>
      </c>
      <c r="L735" t="s">
        <v>74</v>
      </c>
      <c r="M735" t="s">
        <v>78</v>
      </c>
      <c r="N735" t="s">
        <v>79</v>
      </c>
      <c r="O735" t="s">
        <v>74</v>
      </c>
      <c r="P735" t="s">
        <v>74</v>
      </c>
      <c r="Q735" t="s">
        <v>74</v>
      </c>
      <c r="R735" t="s">
        <v>74</v>
      </c>
      <c r="S735" t="s">
        <v>74</v>
      </c>
      <c r="T735" t="s">
        <v>74</v>
      </c>
      <c r="U735" t="s">
        <v>14068</v>
      </c>
      <c r="V735" t="s">
        <v>14069</v>
      </c>
      <c r="W735" t="s">
        <v>14070</v>
      </c>
      <c r="X735" t="s">
        <v>14071</v>
      </c>
      <c r="Y735" t="s">
        <v>14072</v>
      </c>
      <c r="Z735" t="s">
        <v>14073</v>
      </c>
      <c r="AA735" t="s">
        <v>14074</v>
      </c>
      <c r="AB735" t="s">
        <v>14075</v>
      </c>
      <c r="AC735" t="s">
        <v>14076</v>
      </c>
      <c r="AD735" t="s">
        <v>14077</v>
      </c>
      <c r="AE735" t="s">
        <v>14078</v>
      </c>
      <c r="AF735" t="s">
        <v>74</v>
      </c>
      <c r="AG735">
        <v>71</v>
      </c>
      <c r="AH735">
        <v>1</v>
      </c>
      <c r="AI735">
        <v>1</v>
      </c>
      <c r="AJ735">
        <v>3</v>
      </c>
      <c r="AK735">
        <v>3</v>
      </c>
      <c r="AL735" t="s">
        <v>3057</v>
      </c>
      <c r="AM735" t="s">
        <v>3058</v>
      </c>
      <c r="AN735" t="s">
        <v>3059</v>
      </c>
      <c r="AO735" t="s">
        <v>3060</v>
      </c>
      <c r="AP735" t="s">
        <v>74</v>
      </c>
      <c r="AQ735" t="s">
        <v>74</v>
      </c>
      <c r="AR735" t="s">
        <v>3061</v>
      </c>
      <c r="AS735" t="s">
        <v>3062</v>
      </c>
      <c r="AT735" t="s">
        <v>14079</v>
      </c>
      <c r="AU735">
        <v>2023</v>
      </c>
      <c r="AV735">
        <v>13</v>
      </c>
      <c r="AW735">
        <v>1</v>
      </c>
      <c r="AX735" t="s">
        <v>74</v>
      </c>
      <c r="AY735" t="s">
        <v>74</v>
      </c>
      <c r="AZ735" t="s">
        <v>74</v>
      </c>
      <c r="BA735" t="s">
        <v>74</v>
      </c>
      <c r="BB735" t="s">
        <v>74</v>
      </c>
      <c r="BC735" t="s">
        <v>74</v>
      </c>
      <c r="BD735">
        <v>16720</v>
      </c>
      <c r="BE735" t="s">
        <v>14080</v>
      </c>
      <c r="BF735" t="str">
        <f>HYPERLINK("http://dx.doi.org/10.1038/s41598-023-42602-3","http://dx.doi.org/10.1038/s41598-023-42602-3")</f>
        <v>http://dx.doi.org/10.1038/s41598-023-42602-3</v>
      </c>
      <c r="BG735" t="s">
        <v>74</v>
      </c>
      <c r="BH735" t="s">
        <v>74</v>
      </c>
      <c r="BI735">
        <v>13</v>
      </c>
      <c r="BJ735" t="s">
        <v>1035</v>
      </c>
      <c r="BK735" t="s">
        <v>100</v>
      </c>
      <c r="BL735" t="s">
        <v>1036</v>
      </c>
      <c r="BM735" t="s">
        <v>14081</v>
      </c>
      <c r="BN735">
        <v>37813875</v>
      </c>
      <c r="BO735" t="s">
        <v>265</v>
      </c>
      <c r="BP735" t="s">
        <v>74</v>
      </c>
      <c r="BQ735" t="s">
        <v>74</v>
      </c>
      <c r="BR735" t="s">
        <v>104</v>
      </c>
      <c r="BS735" t="s">
        <v>14082</v>
      </c>
      <c r="BT735" t="str">
        <f>HYPERLINK("https%3A%2F%2Fwww.webofscience.com%2Fwos%2Fwoscc%2Ffull-record%2FWOS:001099954200004","View Full Record in Web of Science")</f>
        <v>View Full Record in Web of Science</v>
      </c>
    </row>
    <row r="736" spans="1:72" x14ac:dyDescent="0.15">
      <c r="A736" t="s">
        <v>72</v>
      </c>
      <c r="B736" t="s">
        <v>14083</v>
      </c>
      <c r="C736" t="s">
        <v>74</v>
      </c>
      <c r="D736" t="s">
        <v>74</v>
      </c>
      <c r="E736" t="s">
        <v>74</v>
      </c>
      <c r="F736" t="s">
        <v>14084</v>
      </c>
      <c r="G736" t="s">
        <v>74</v>
      </c>
      <c r="H736" t="s">
        <v>74</v>
      </c>
      <c r="I736" t="s">
        <v>14085</v>
      </c>
      <c r="J736" t="s">
        <v>3922</v>
      </c>
      <c r="K736" t="s">
        <v>74</v>
      </c>
      <c r="L736" t="s">
        <v>74</v>
      </c>
      <c r="M736" t="s">
        <v>78</v>
      </c>
      <c r="N736" t="s">
        <v>3749</v>
      </c>
      <c r="O736" t="s">
        <v>74</v>
      </c>
      <c r="P736" t="s">
        <v>74</v>
      </c>
      <c r="Q736" t="s">
        <v>74</v>
      </c>
      <c r="R736" t="s">
        <v>74</v>
      </c>
      <c r="S736" t="s">
        <v>74</v>
      </c>
      <c r="T736" t="s">
        <v>14086</v>
      </c>
      <c r="U736" t="s">
        <v>14087</v>
      </c>
      <c r="V736" t="s">
        <v>14088</v>
      </c>
      <c r="W736" t="s">
        <v>14089</v>
      </c>
      <c r="X736" t="s">
        <v>14090</v>
      </c>
      <c r="Y736" t="s">
        <v>14091</v>
      </c>
      <c r="Z736" t="s">
        <v>74</v>
      </c>
      <c r="AA736" t="s">
        <v>14092</v>
      </c>
      <c r="AB736" t="s">
        <v>14093</v>
      </c>
      <c r="AC736" t="s">
        <v>14094</v>
      </c>
      <c r="AD736" t="s">
        <v>14095</v>
      </c>
      <c r="AE736" t="s">
        <v>14096</v>
      </c>
      <c r="AF736" t="s">
        <v>74</v>
      </c>
      <c r="AG736">
        <v>38</v>
      </c>
      <c r="AH736">
        <v>1</v>
      </c>
      <c r="AI736">
        <v>1</v>
      </c>
      <c r="AJ736">
        <v>2</v>
      </c>
      <c r="AK736">
        <v>2</v>
      </c>
      <c r="AL736" t="s">
        <v>1880</v>
      </c>
      <c r="AM736" t="s">
        <v>1881</v>
      </c>
      <c r="AN736" t="s">
        <v>1882</v>
      </c>
      <c r="AO736" t="s">
        <v>3931</v>
      </c>
      <c r="AP736" t="s">
        <v>3932</v>
      </c>
      <c r="AQ736" t="s">
        <v>74</v>
      </c>
      <c r="AR736" t="s">
        <v>3933</v>
      </c>
      <c r="AS736" t="s">
        <v>3934</v>
      </c>
      <c r="AT736" t="s">
        <v>14079</v>
      </c>
      <c r="AU736">
        <v>2023</v>
      </c>
      <c r="AV736">
        <v>11</v>
      </c>
      <c r="AW736" t="s">
        <v>74</v>
      </c>
      <c r="AX736" t="s">
        <v>74</v>
      </c>
      <c r="AY736" t="s">
        <v>74</v>
      </c>
      <c r="AZ736" t="s">
        <v>74</v>
      </c>
      <c r="BA736" t="s">
        <v>74</v>
      </c>
      <c r="BB736" t="s">
        <v>74</v>
      </c>
      <c r="BC736" t="s">
        <v>74</v>
      </c>
      <c r="BD736" t="s">
        <v>14097</v>
      </c>
      <c r="BE736" t="s">
        <v>14098</v>
      </c>
      <c r="BF736" t="str">
        <f>HYPERLINK("http://dx.doi.org/10.3897/BDJ.11.e111982","http://dx.doi.org/10.3897/BDJ.11.e111982")</f>
        <v>http://dx.doi.org/10.3897/BDJ.11.e111982</v>
      </c>
      <c r="BG736" t="s">
        <v>74</v>
      </c>
      <c r="BH736" t="s">
        <v>74</v>
      </c>
      <c r="BI736">
        <v>18</v>
      </c>
      <c r="BJ736" t="s">
        <v>1615</v>
      </c>
      <c r="BK736" t="s">
        <v>100</v>
      </c>
      <c r="BL736" t="s">
        <v>1616</v>
      </c>
      <c r="BM736" t="s">
        <v>14099</v>
      </c>
      <c r="BN736">
        <v>38312333</v>
      </c>
      <c r="BO736" t="s">
        <v>265</v>
      </c>
      <c r="BP736" t="s">
        <v>74</v>
      </c>
      <c r="BQ736" t="s">
        <v>74</v>
      </c>
      <c r="BR736" t="s">
        <v>104</v>
      </c>
      <c r="BS736" t="s">
        <v>14100</v>
      </c>
      <c r="BT736" t="str">
        <f>HYPERLINK("https%3A%2F%2Fwww.webofscience.com%2Fwos%2Fwoscc%2Ffull-record%2FWOS:001097492700003","View Full Record in Web of Science")</f>
        <v>View Full Record in Web of Science</v>
      </c>
    </row>
    <row r="737" spans="1:72" x14ac:dyDescent="0.15">
      <c r="A737" t="s">
        <v>72</v>
      </c>
      <c r="B737" t="s">
        <v>14101</v>
      </c>
      <c r="C737" t="s">
        <v>74</v>
      </c>
      <c r="D737" t="s">
        <v>74</v>
      </c>
      <c r="E737" t="s">
        <v>74</v>
      </c>
      <c r="F737" t="s">
        <v>14102</v>
      </c>
      <c r="G737" t="s">
        <v>74</v>
      </c>
      <c r="H737" t="s">
        <v>74</v>
      </c>
      <c r="I737" t="s">
        <v>14103</v>
      </c>
      <c r="J737" t="s">
        <v>14104</v>
      </c>
      <c r="K737" t="s">
        <v>74</v>
      </c>
      <c r="L737" t="s">
        <v>74</v>
      </c>
      <c r="M737" t="s">
        <v>78</v>
      </c>
      <c r="N737" t="s">
        <v>79</v>
      </c>
      <c r="O737" t="s">
        <v>74</v>
      </c>
      <c r="P737" t="s">
        <v>74</v>
      </c>
      <c r="Q737" t="s">
        <v>74</v>
      </c>
      <c r="R737" t="s">
        <v>74</v>
      </c>
      <c r="S737" t="s">
        <v>74</v>
      </c>
      <c r="T737" t="s">
        <v>14105</v>
      </c>
      <c r="U737" t="s">
        <v>14106</v>
      </c>
      <c r="V737" t="s">
        <v>14107</v>
      </c>
      <c r="W737" t="s">
        <v>14108</v>
      </c>
      <c r="X737" t="s">
        <v>14109</v>
      </c>
      <c r="Y737" t="s">
        <v>14110</v>
      </c>
      <c r="Z737" t="s">
        <v>14111</v>
      </c>
      <c r="AA737" t="s">
        <v>74</v>
      </c>
      <c r="AB737" t="s">
        <v>74</v>
      </c>
      <c r="AC737" t="s">
        <v>14112</v>
      </c>
      <c r="AD737" t="s">
        <v>14112</v>
      </c>
      <c r="AE737" t="s">
        <v>14112</v>
      </c>
      <c r="AF737" t="s">
        <v>74</v>
      </c>
      <c r="AG737">
        <v>82</v>
      </c>
      <c r="AH737">
        <v>0</v>
      </c>
      <c r="AI737">
        <v>0</v>
      </c>
      <c r="AJ737">
        <v>9</v>
      </c>
      <c r="AK737">
        <v>9</v>
      </c>
      <c r="AL737" t="s">
        <v>1075</v>
      </c>
      <c r="AM737" t="s">
        <v>1076</v>
      </c>
      <c r="AN737" t="s">
        <v>1077</v>
      </c>
      <c r="AO737" t="s">
        <v>74</v>
      </c>
      <c r="AP737" t="s">
        <v>14113</v>
      </c>
      <c r="AQ737" t="s">
        <v>74</v>
      </c>
      <c r="AR737" t="s">
        <v>14114</v>
      </c>
      <c r="AS737" t="s">
        <v>14115</v>
      </c>
      <c r="AT737" t="s">
        <v>14079</v>
      </c>
      <c r="AU737">
        <v>2023</v>
      </c>
      <c r="AV737">
        <v>12</v>
      </c>
      <c r="AW737">
        <v>1</v>
      </c>
      <c r="AX737" t="s">
        <v>74</v>
      </c>
      <c r="AY737" t="s">
        <v>74</v>
      </c>
      <c r="AZ737" t="s">
        <v>74</v>
      </c>
      <c r="BA737" t="s">
        <v>74</v>
      </c>
      <c r="BB737" t="s">
        <v>74</v>
      </c>
      <c r="BC737" t="s">
        <v>74</v>
      </c>
      <c r="BD737">
        <v>50</v>
      </c>
      <c r="BE737" t="s">
        <v>14116</v>
      </c>
      <c r="BF737" t="str">
        <f>HYPERLINK("http://dx.doi.org/10.1186/s13717-023-00462-9","http://dx.doi.org/10.1186/s13717-023-00462-9")</f>
        <v>http://dx.doi.org/10.1186/s13717-023-00462-9</v>
      </c>
      <c r="BG737" t="s">
        <v>74</v>
      </c>
      <c r="BH737" t="s">
        <v>74</v>
      </c>
      <c r="BI737">
        <v>16</v>
      </c>
      <c r="BJ737" t="s">
        <v>4906</v>
      </c>
      <c r="BK737" t="s">
        <v>100</v>
      </c>
      <c r="BL737" t="s">
        <v>1011</v>
      </c>
      <c r="BM737" t="s">
        <v>14117</v>
      </c>
      <c r="BN737" t="s">
        <v>74</v>
      </c>
      <c r="BO737" t="s">
        <v>131</v>
      </c>
      <c r="BP737" t="s">
        <v>74</v>
      </c>
      <c r="BQ737" t="s">
        <v>74</v>
      </c>
      <c r="BR737" t="s">
        <v>104</v>
      </c>
      <c r="BS737" t="s">
        <v>14118</v>
      </c>
      <c r="BT737" t="str">
        <f>HYPERLINK("https%3A%2F%2Fwww.webofscience.com%2Fwos%2Fwoscc%2Ffull-record%2FWOS:001092233900001","View Full Record in Web of Science")</f>
        <v>View Full Record in Web of Science</v>
      </c>
    </row>
    <row r="738" spans="1:72" x14ac:dyDescent="0.15">
      <c r="A738" t="s">
        <v>72</v>
      </c>
      <c r="B738" t="s">
        <v>14119</v>
      </c>
      <c r="C738" t="s">
        <v>74</v>
      </c>
      <c r="D738" t="s">
        <v>74</v>
      </c>
      <c r="E738" t="s">
        <v>74</v>
      </c>
      <c r="F738" t="s">
        <v>14120</v>
      </c>
      <c r="G738" t="s">
        <v>74</v>
      </c>
      <c r="H738" t="s">
        <v>74</v>
      </c>
      <c r="I738" t="s">
        <v>14121</v>
      </c>
      <c r="J738" t="s">
        <v>1090</v>
      </c>
      <c r="K738" t="s">
        <v>74</v>
      </c>
      <c r="L738" t="s">
        <v>74</v>
      </c>
      <c r="M738" t="s">
        <v>78</v>
      </c>
      <c r="N738" t="s">
        <v>79</v>
      </c>
      <c r="O738" t="s">
        <v>74</v>
      </c>
      <c r="P738" t="s">
        <v>74</v>
      </c>
      <c r="Q738" t="s">
        <v>74</v>
      </c>
      <c r="R738" t="s">
        <v>74</v>
      </c>
      <c r="S738" t="s">
        <v>74</v>
      </c>
      <c r="T738" t="s">
        <v>14122</v>
      </c>
      <c r="U738" t="s">
        <v>14123</v>
      </c>
      <c r="V738" t="s">
        <v>14124</v>
      </c>
      <c r="W738" t="s">
        <v>14125</v>
      </c>
      <c r="X738" t="s">
        <v>14126</v>
      </c>
      <c r="Y738" t="s">
        <v>14127</v>
      </c>
      <c r="Z738" t="s">
        <v>14128</v>
      </c>
      <c r="AA738" t="s">
        <v>14129</v>
      </c>
      <c r="AB738" t="s">
        <v>14130</v>
      </c>
      <c r="AC738" t="s">
        <v>14131</v>
      </c>
      <c r="AD738" t="s">
        <v>14132</v>
      </c>
      <c r="AE738" t="s">
        <v>14133</v>
      </c>
      <c r="AF738" t="s">
        <v>74</v>
      </c>
      <c r="AG738">
        <v>84</v>
      </c>
      <c r="AH738">
        <v>0</v>
      </c>
      <c r="AI738">
        <v>0</v>
      </c>
      <c r="AJ738">
        <v>7</v>
      </c>
      <c r="AK738">
        <v>7</v>
      </c>
      <c r="AL738" t="s">
        <v>1101</v>
      </c>
      <c r="AM738" t="s">
        <v>1102</v>
      </c>
      <c r="AN738" t="s">
        <v>1103</v>
      </c>
      <c r="AO738" t="s">
        <v>1104</v>
      </c>
      <c r="AP738" t="s">
        <v>1105</v>
      </c>
      <c r="AQ738" t="s">
        <v>74</v>
      </c>
      <c r="AR738" t="s">
        <v>1106</v>
      </c>
      <c r="AS738" t="s">
        <v>1107</v>
      </c>
      <c r="AT738" t="s">
        <v>1108</v>
      </c>
      <c r="AU738">
        <v>2024</v>
      </c>
      <c r="AV738">
        <v>40</v>
      </c>
      <c r="AW738">
        <v>2</v>
      </c>
      <c r="AX738" t="s">
        <v>74</v>
      </c>
      <c r="AY738" t="s">
        <v>74</v>
      </c>
      <c r="AZ738" t="s">
        <v>74</v>
      </c>
      <c r="BA738" t="s">
        <v>74</v>
      </c>
      <c r="BB738" t="s">
        <v>74</v>
      </c>
      <c r="BC738" t="s">
        <v>74</v>
      </c>
      <c r="BD738" t="s">
        <v>74</v>
      </c>
      <c r="BE738" t="s">
        <v>14134</v>
      </c>
      <c r="BF738" t="str">
        <f>HYPERLINK("http://dx.doi.org/10.1111/mms.13078","http://dx.doi.org/10.1111/mms.13078")</f>
        <v>http://dx.doi.org/10.1111/mms.13078</v>
      </c>
      <c r="BG738" t="s">
        <v>74</v>
      </c>
      <c r="BH738" t="s">
        <v>11428</v>
      </c>
      <c r="BI738">
        <v>19</v>
      </c>
      <c r="BJ738" t="s">
        <v>1110</v>
      </c>
      <c r="BK738" t="s">
        <v>100</v>
      </c>
      <c r="BL738" t="s">
        <v>1110</v>
      </c>
      <c r="BM738" t="s">
        <v>1111</v>
      </c>
      <c r="BN738" t="s">
        <v>74</v>
      </c>
      <c r="BO738" t="s">
        <v>103</v>
      </c>
      <c r="BP738" t="s">
        <v>74</v>
      </c>
      <c r="BQ738" t="s">
        <v>74</v>
      </c>
      <c r="BR738" t="s">
        <v>104</v>
      </c>
      <c r="BS738" t="s">
        <v>14135</v>
      </c>
      <c r="BT738" t="str">
        <f>HYPERLINK("https%3A%2F%2Fwww.webofscience.com%2Fwos%2Fwoscc%2Ffull-record%2FWOS:001080973000001","View Full Record in Web of Science")</f>
        <v>View Full Record in Web of Science</v>
      </c>
    </row>
    <row r="739" spans="1:72" x14ac:dyDescent="0.15">
      <c r="A739" t="s">
        <v>72</v>
      </c>
      <c r="B739" t="s">
        <v>14136</v>
      </c>
      <c r="C739" t="s">
        <v>74</v>
      </c>
      <c r="D739" t="s">
        <v>74</v>
      </c>
      <c r="E739" t="s">
        <v>74</v>
      </c>
      <c r="F739" t="s">
        <v>14137</v>
      </c>
      <c r="G739" t="s">
        <v>74</v>
      </c>
      <c r="H739" t="s">
        <v>74</v>
      </c>
      <c r="I739" t="s">
        <v>14138</v>
      </c>
      <c r="J739" t="s">
        <v>1770</v>
      </c>
      <c r="K739" t="s">
        <v>74</v>
      </c>
      <c r="L739" t="s">
        <v>74</v>
      </c>
      <c r="M739" t="s">
        <v>78</v>
      </c>
      <c r="N739" t="s">
        <v>79</v>
      </c>
      <c r="O739" t="s">
        <v>74</v>
      </c>
      <c r="P739" t="s">
        <v>74</v>
      </c>
      <c r="Q739" t="s">
        <v>74</v>
      </c>
      <c r="R739" t="s">
        <v>74</v>
      </c>
      <c r="S739" t="s">
        <v>74</v>
      </c>
      <c r="T739" t="s">
        <v>14139</v>
      </c>
      <c r="U739" t="s">
        <v>14140</v>
      </c>
      <c r="V739" t="s">
        <v>14141</v>
      </c>
      <c r="W739" t="s">
        <v>14142</v>
      </c>
      <c r="X739" t="s">
        <v>14143</v>
      </c>
      <c r="Y739" t="s">
        <v>14144</v>
      </c>
      <c r="Z739" t="s">
        <v>14145</v>
      </c>
      <c r="AA739" t="s">
        <v>14146</v>
      </c>
      <c r="AB739" t="s">
        <v>14147</v>
      </c>
      <c r="AC739" t="s">
        <v>14148</v>
      </c>
      <c r="AD739" t="s">
        <v>14148</v>
      </c>
      <c r="AE739" t="s">
        <v>14148</v>
      </c>
      <c r="AF739" t="s">
        <v>74</v>
      </c>
      <c r="AG739">
        <v>106</v>
      </c>
      <c r="AH739">
        <v>0</v>
      </c>
      <c r="AI739">
        <v>0</v>
      </c>
      <c r="AJ739">
        <v>4</v>
      </c>
      <c r="AK739">
        <v>4</v>
      </c>
      <c r="AL739" t="s">
        <v>1782</v>
      </c>
      <c r="AM739" t="s">
        <v>1783</v>
      </c>
      <c r="AN739" t="s">
        <v>1784</v>
      </c>
      <c r="AO739" t="s">
        <v>1785</v>
      </c>
      <c r="AP739" t="s">
        <v>1786</v>
      </c>
      <c r="AQ739" t="s">
        <v>74</v>
      </c>
      <c r="AR739" t="s">
        <v>1787</v>
      </c>
      <c r="AS739" t="s">
        <v>1788</v>
      </c>
      <c r="AT739" t="s">
        <v>10415</v>
      </c>
      <c r="AU739">
        <v>2023</v>
      </c>
      <c r="AV739">
        <v>35</v>
      </c>
      <c r="AW739">
        <v>5</v>
      </c>
      <c r="AX739" t="s">
        <v>74</v>
      </c>
      <c r="AY739" t="s">
        <v>74</v>
      </c>
      <c r="AZ739" t="s">
        <v>74</v>
      </c>
      <c r="BA739" t="s">
        <v>74</v>
      </c>
      <c r="BB739">
        <v>390</v>
      </c>
      <c r="BC739">
        <v>402</v>
      </c>
      <c r="BD739" t="s">
        <v>74</v>
      </c>
      <c r="BE739" t="s">
        <v>14149</v>
      </c>
      <c r="BF739" t="str">
        <f>HYPERLINK("http://dx.doi.org/10.1017/S0954102023000214","http://dx.doi.org/10.1017/S0954102023000214")</f>
        <v>http://dx.doi.org/10.1017/S0954102023000214</v>
      </c>
      <c r="BG739" t="s">
        <v>74</v>
      </c>
      <c r="BH739" t="s">
        <v>11428</v>
      </c>
      <c r="BI739">
        <v>13</v>
      </c>
      <c r="BJ739" t="s">
        <v>1791</v>
      </c>
      <c r="BK739" t="s">
        <v>100</v>
      </c>
      <c r="BL739" t="s">
        <v>1792</v>
      </c>
      <c r="BM739" t="s">
        <v>14150</v>
      </c>
      <c r="BN739" t="s">
        <v>74</v>
      </c>
      <c r="BO739" t="s">
        <v>103</v>
      </c>
      <c r="BP739" t="s">
        <v>74</v>
      </c>
      <c r="BQ739" t="s">
        <v>74</v>
      </c>
      <c r="BR739" t="s">
        <v>104</v>
      </c>
      <c r="BS739" t="s">
        <v>14151</v>
      </c>
      <c r="BT739" t="str">
        <f>HYPERLINK("https%3A%2F%2Fwww.webofscience.com%2Fwos%2Fwoscc%2Ffull-record%2FWOS:001078008700001","View Full Record in Web of Science")</f>
        <v>View Full Record in Web of Science</v>
      </c>
    </row>
    <row r="740" spans="1:72" x14ac:dyDescent="0.15">
      <c r="A740" t="s">
        <v>72</v>
      </c>
      <c r="B740" t="s">
        <v>14152</v>
      </c>
      <c r="C740" t="s">
        <v>74</v>
      </c>
      <c r="D740" t="s">
        <v>74</v>
      </c>
      <c r="E740" t="s">
        <v>74</v>
      </c>
      <c r="F740" t="s">
        <v>14153</v>
      </c>
      <c r="G740" t="s">
        <v>74</v>
      </c>
      <c r="H740" t="s">
        <v>74</v>
      </c>
      <c r="I740" t="s">
        <v>14154</v>
      </c>
      <c r="J740" t="s">
        <v>2915</v>
      </c>
      <c r="K740" t="s">
        <v>74</v>
      </c>
      <c r="L740" t="s">
        <v>74</v>
      </c>
      <c r="M740" t="s">
        <v>78</v>
      </c>
      <c r="N740" t="s">
        <v>1547</v>
      </c>
      <c r="O740" t="s">
        <v>74</v>
      </c>
      <c r="P740" t="s">
        <v>74</v>
      </c>
      <c r="Q740" t="s">
        <v>74</v>
      </c>
      <c r="R740" t="s">
        <v>74</v>
      </c>
      <c r="S740" t="s">
        <v>74</v>
      </c>
      <c r="T740" t="s">
        <v>14155</v>
      </c>
      <c r="U740" t="s">
        <v>14156</v>
      </c>
      <c r="V740" t="s">
        <v>14157</v>
      </c>
      <c r="W740" t="s">
        <v>14158</v>
      </c>
      <c r="X740" t="s">
        <v>14159</v>
      </c>
      <c r="Y740" t="s">
        <v>14160</v>
      </c>
      <c r="Z740" t="s">
        <v>14161</v>
      </c>
      <c r="AA740" t="s">
        <v>4940</v>
      </c>
      <c r="AB740" t="s">
        <v>14162</v>
      </c>
      <c r="AC740" t="s">
        <v>14163</v>
      </c>
      <c r="AD740" t="s">
        <v>14164</v>
      </c>
      <c r="AE740" t="s">
        <v>14165</v>
      </c>
      <c r="AF740" t="s">
        <v>74</v>
      </c>
      <c r="AG740">
        <v>27</v>
      </c>
      <c r="AH740">
        <v>0</v>
      </c>
      <c r="AI740">
        <v>0</v>
      </c>
      <c r="AJ740">
        <v>3</v>
      </c>
      <c r="AK740">
        <v>3</v>
      </c>
      <c r="AL740" t="s">
        <v>1782</v>
      </c>
      <c r="AM740" t="s">
        <v>1783</v>
      </c>
      <c r="AN740" t="s">
        <v>1784</v>
      </c>
      <c r="AO740" t="s">
        <v>2928</v>
      </c>
      <c r="AP740" t="s">
        <v>2929</v>
      </c>
      <c r="AQ740" t="s">
        <v>74</v>
      </c>
      <c r="AR740" t="s">
        <v>2930</v>
      </c>
      <c r="AS740" t="s">
        <v>2931</v>
      </c>
      <c r="AT740" t="s">
        <v>14022</v>
      </c>
      <c r="AU740">
        <v>2023</v>
      </c>
      <c r="AV740" t="s">
        <v>74</v>
      </c>
      <c r="AW740" t="s">
        <v>74</v>
      </c>
      <c r="AX740" t="s">
        <v>74</v>
      </c>
      <c r="AY740" t="s">
        <v>74</v>
      </c>
      <c r="AZ740" t="s">
        <v>74</v>
      </c>
      <c r="BA740" t="s">
        <v>74</v>
      </c>
      <c r="BB740" t="s">
        <v>74</v>
      </c>
      <c r="BC740" t="s">
        <v>74</v>
      </c>
      <c r="BD740" t="s">
        <v>74</v>
      </c>
      <c r="BE740" t="s">
        <v>14166</v>
      </c>
      <c r="BF740" t="str">
        <f>HYPERLINK("http://dx.doi.org/10.1017/jog.2023.76","http://dx.doi.org/10.1017/jog.2023.76")</f>
        <v>http://dx.doi.org/10.1017/jog.2023.76</v>
      </c>
      <c r="BG740" t="s">
        <v>74</v>
      </c>
      <c r="BH740" t="s">
        <v>11428</v>
      </c>
      <c r="BI740">
        <v>9</v>
      </c>
      <c r="BJ740" t="s">
        <v>984</v>
      </c>
      <c r="BK740" t="s">
        <v>100</v>
      </c>
      <c r="BL740" t="s">
        <v>985</v>
      </c>
      <c r="BM740" t="s">
        <v>14167</v>
      </c>
      <c r="BN740" t="s">
        <v>74</v>
      </c>
      <c r="BO740" t="s">
        <v>131</v>
      </c>
      <c r="BP740" t="s">
        <v>74</v>
      </c>
      <c r="BQ740" t="s">
        <v>74</v>
      </c>
      <c r="BR740" t="s">
        <v>104</v>
      </c>
      <c r="BS740" t="s">
        <v>14168</v>
      </c>
      <c r="BT740" t="str">
        <f>HYPERLINK("https%3A%2F%2Fwww.webofscience.com%2Fwos%2Fwoscc%2Ffull-record%2FWOS:001078004400001","View Full Record in Web of Science")</f>
        <v>View Full Record in Web of Science</v>
      </c>
    </row>
    <row r="741" spans="1:72" x14ac:dyDescent="0.15">
      <c r="A741" t="s">
        <v>72</v>
      </c>
      <c r="B741" t="s">
        <v>14169</v>
      </c>
      <c r="C741" t="s">
        <v>74</v>
      </c>
      <c r="D741" t="s">
        <v>74</v>
      </c>
      <c r="E741" t="s">
        <v>74</v>
      </c>
      <c r="F741" t="s">
        <v>14170</v>
      </c>
      <c r="G741" t="s">
        <v>74</v>
      </c>
      <c r="H741" t="s">
        <v>74</v>
      </c>
      <c r="I741" t="s">
        <v>14171</v>
      </c>
      <c r="J741" t="s">
        <v>7102</v>
      </c>
      <c r="K741" t="s">
        <v>74</v>
      </c>
      <c r="L741" t="s">
        <v>74</v>
      </c>
      <c r="M741" t="s">
        <v>78</v>
      </c>
      <c r="N741" t="s">
        <v>79</v>
      </c>
      <c r="O741" t="s">
        <v>74</v>
      </c>
      <c r="P741" t="s">
        <v>74</v>
      </c>
      <c r="Q741" t="s">
        <v>74</v>
      </c>
      <c r="R741" t="s">
        <v>74</v>
      </c>
      <c r="S741" t="s">
        <v>74</v>
      </c>
      <c r="T741" t="s">
        <v>14172</v>
      </c>
      <c r="U741" t="s">
        <v>14173</v>
      </c>
      <c r="V741" t="s">
        <v>14174</v>
      </c>
      <c r="W741" t="s">
        <v>14175</v>
      </c>
      <c r="X741" t="s">
        <v>14176</v>
      </c>
      <c r="Y741" t="s">
        <v>14177</v>
      </c>
      <c r="Z741" t="s">
        <v>14178</v>
      </c>
      <c r="AA741" t="s">
        <v>14179</v>
      </c>
      <c r="AB741" t="s">
        <v>14180</v>
      </c>
      <c r="AC741" t="s">
        <v>14181</v>
      </c>
      <c r="AD741" t="s">
        <v>14181</v>
      </c>
      <c r="AE741" t="s">
        <v>14182</v>
      </c>
      <c r="AF741" t="s">
        <v>74</v>
      </c>
      <c r="AG741">
        <v>180</v>
      </c>
      <c r="AH741">
        <v>0</v>
      </c>
      <c r="AI741">
        <v>0</v>
      </c>
      <c r="AJ741">
        <v>23</v>
      </c>
      <c r="AK741">
        <v>23</v>
      </c>
      <c r="AL741" t="s">
        <v>1101</v>
      </c>
      <c r="AM741" t="s">
        <v>1102</v>
      </c>
      <c r="AN741" t="s">
        <v>1103</v>
      </c>
      <c r="AO741" t="s">
        <v>7113</v>
      </c>
      <c r="AP741" t="s">
        <v>7114</v>
      </c>
      <c r="AQ741" t="s">
        <v>74</v>
      </c>
      <c r="AR741" t="s">
        <v>7115</v>
      </c>
      <c r="AS741" t="s">
        <v>7116</v>
      </c>
      <c r="AT741" t="s">
        <v>1133</v>
      </c>
      <c r="AU741">
        <v>2024</v>
      </c>
      <c r="AV741">
        <v>30</v>
      </c>
      <c r="AW741">
        <v>2</v>
      </c>
      <c r="AX741" t="s">
        <v>74</v>
      </c>
      <c r="AY741" t="s">
        <v>74</v>
      </c>
      <c r="AZ741" t="s">
        <v>74</v>
      </c>
      <c r="BA741" t="s">
        <v>74</v>
      </c>
      <c r="BB741" t="s">
        <v>74</v>
      </c>
      <c r="BC741" t="s">
        <v>74</v>
      </c>
      <c r="BD741" t="s">
        <v>74</v>
      </c>
      <c r="BE741" t="s">
        <v>14183</v>
      </c>
      <c r="BF741" t="str">
        <f>HYPERLINK("http://dx.doi.org/10.1111/ddi.13779","http://dx.doi.org/10.1111/ddi.13779")</f>
        <v>http://dx.doi.org/10.1111/ddi.13779</v>
      </c>
      <c r="BG741" t="s">
        <v>74</v>
      </c>
      <c r="BH741" t="s">
        <v>11428</v>
      </c>
      <c r="BI741">
        <v>21</v>
      </c>
      <c r="BJ741" t="s">
        <v>1261</v>
      </c>
      <c r="BK741" t="s">
        <v>100</v>
      </c>
      <c r="BL741" t="s">
        <v>913</v>
      </c>
      <c r="BM741" t="s">
        <v>7118</v>
      </c>
      <c r="BN741" t="s">
        <v>74</v>
      </c>
      <c r="BO741" t="s">
        <v>200</v>
      </c>
      <c r="BP741" t="s">
        <v>74</v>
      </c>
      <c r="BQ741" t="s">
        <v>74</v>
      </c>
      <c r="BR741" t="s">
        <v>104</v>
      </c>
      <c r="BS741" t="s">
        <v>14184</v>
      </c>
      <c r="BT741" t="str">
        <f>HYPERLINK("https%3A%2F%2Fwww.webofscience.com%2Fwos%2Fwoscc%2Ffull-record%2FWOS:001082369700001","View Full Record in Web of Science")</f>
        <v>View Full Record in Web of Science</v>
      </c>
    </row>
    <row r="742" spans="1:72" x14ac:dyDescent="0.15">
      <c r="A742" t="s">
        <v>72</v>
      </c>
      <c r="B742" t="s">
        <v>14185</v>
      </c>
      <c r="C742" t="s">
        <v>74</v>
      </c>
      <c r="D742" t="s">
        <v>74</v>
      </c>
      <c r="E742" t="s">
        <v>74</v>
      </c>
      <c r="F742" t="s">
        <v>14186</v>
      </c>
      <c r="G742" t="s">
        <v>74</v>
      </c>
      <c r="H742" t="s">
        <v>74</v>
      </c>
      <c r="I742" t="s">
        <v>14187</v>
      </c>
      <c r="J742" t="s">
        <v>2809</v>
      </c>
      <c r="K742" t="s">
        <v>74</v>
      </c>
      <c r="L742" t="s">
        <v>74</v>
      </c>
      <c r="M742" t="s">
        <v>78</v>
      </c>
      <c r="N742" t="s">
        <v>79</v>
      </c>
      <c r="O742" t="s">
        <v>74</v>
      </c>
      <c r="P742" t="s">
        <v>74</v>
      </c>
      <c r="Q742" t="s">
        <v>74</v>
      </c>
      <c r="R742" t="s">
        <v>74</v>
      </c>
      <c r="S742" t="s">
        <v>74</v>
      </c>
      <c r="T742" t="s">
        <v>74</v>
      </c>
      <c r="U742" t="s">
        <v>14188</v>
      </c>
      <c r="V742" t="s">
        <v>14189</v>
      </c>
      <c r="W742" t="s">
        <v>14190</v>
      </c>
      <c r="X742" t="s">
        <v>14191</v>
      </c>
      <c r="Y742" t="s">
        <v>14192</v>
      </c>
      <c r="Z742" t="s">
        <v>14193</v>
      </c>
      <c r="AA742" t="s">
        <v>14194</v>
      </c>
      <c r="AB742" t="s">
        <v>14195</v>
      </c>
      <c r="AC742" t="s">
        <v>14196</v>
      </c>
      <c r="AD742" t="s">
        <v>14196</v>
      </c>
      <c r="AE742" t="s">
        <v>14197</v>
      </c>
      <c r="AF742" t="s">
        <v>74</v>
      </c>
      <c r="AG742">
        <v>75</v>
      </c>
      <c r="AH742">
        <v>2</v>
      </c>
      <c r="AI742">
        <v>2</v>
      </c>
      <c r="AJ742">
        <v>1</v>
      </c>
      <c r="AK742">
        <v>1</v>
      </c>
      <c r="AL742" t="s">
        <v>1838</v>
      </c>
      <c r="AM742" t="s">
        <v>1839</v>
      </c>
      <c r="AN742" t="s">
        <v>1840</v>
      </c>
      <c r="AO742" t="s">
        <v>2818</v>
      </c>
      <c r="AP742" t="s">
        <v>2819</v>
      </c>
      <c r="AQ742" t="s">
        <v>74</v>
      </c>
      <c r="AR742" t="s">
        <v>2809</v>
      </c>
      <c r="AS742" t="s">
        <v>2820</v>
      </c>
      <c r="AT742" t="s">
        <v>14198</v>
      </c>
      <c r="AU742">
        <v>2023</v>
      </c>
      <c r="AV742">
        <v>17</v>
      </c>
      <c r="AW742">
        <v>10</v>
      </c>
      <c r="AX742" t="s">
        <v>74</v>
      </c>
      <c r="AY742" t="s">
        <v>74</v>
      </c>
      <c r="AZ742" t="s">
        <v>74</v>
      </c>
      <c r="BA742" t="s">
        <v>74</v>
      </c>
      <c r="BB742">
        <v>4267</v>
      </c>
      <c r="BC742">
        <v>4288</v>
      </c>
      <c r="BD742" t="s">
        <v>74</v>
      </c>
      <c r="BE742" t="s">
        <v>14199</v>
      </c>
      <c r="BF742" t="str">
        <f>HYPERLINK("http://dx.doi.org/10.5194/tc-17-4267-2023","http://dx.doi.org/10.5194/tc-17-4267-2023")</f>
        <v>http://dx.doi.org/10.5194/tc-17-4267-2023</v>
      </c>
      <c r="BG742" t="s">
        <v>74</v>
      </c>
      <c r="BH742" t="s">
        <v>74</v>
      </c>
      <c r="BI742">
        <v>22</v>
      </c>
      <c r="BJ742" t="s">
        <v>984</v>
      </c>
      <c r="BK742" t="s">
        <v>100</v>
      </c>
      <c r="BL742" t="s">
        <v>985</v>
      </c>
      <c r="BM742" t="s">
        <v>14200</v>
      </c>
      <c r="BN742" t="s">
        <v>74</v>
      </c>
      <c r="BO742" t="s">
        <v>349</v>
      </c>
      <c r="BP742" t="s">
        <v>74</v>
      </c>
      <c r="BQ742" t="s">
        <v>74</v>
      </c>
      <c r="BR742" t="s">
        <v>104</v>
      </c>
      <c r="BS742" t="s">
        <v>14201</v>
      </c>
      <c r="BT742" t="str">
        <f>HYPERLINK("https%3A%2F%2Fwww.webofscience.com%2Fwos%2Fwoscc%2Ffull-record%2FWOS:001161796600001","View Full Record in Web of Science")</f>
        <v>View Full Record in Web of Science</v>
      </c>
    </row>
    <row r="743" spans="1:72" x14ac:dyDescent="0.15">
      <c r="A743" t="s">
        <v>72</v>
      </c>
      <c r="B743" t="s">
        <v>14202</v>
      </c>
      <c r="C743" t="s">
        <v>74</v>
      </c>
      <c r="D743" t="s">
        <v>74</v>
      </c>
      <c r="E743" t="s">
        <v>74</v>
      </c>
      <c r="F743" t="s">
        <v>14203</v>
      </c>
      <c r="G743" t="s">
        <v>74</v>
      </c>
      <c r="H743" t="s">
        <v>74</v>
      </c>
      <c r="I743" t="s">
        <v>14204</v>
      </c>
      <c r="J743" t="s">
        <v>2809</v>
      </c>
      <c r="K743" t="s">
        <v>74</v>
      </c>
      <c r="L743" t="s">
        <v>74</v>
      </c>
      <c r="M743" t="s">
        <v>78</v>
      </c>
      <c r="N743" t="s">
        <v>79</v>
      </c>
      <c r="O743" t="s">
        <v>74</v>
      </c>
      <c r="P743" t="s">
        <v>74</v>
      </c>
      <c r="Q743" t="s">
        <v>74</v>
      </c>
      <c r="R743" t="s">
        <v>74</v>
      </c>
      <c r="S743" t="s">
        <v>74</v>
      </c>
      <c r="T743" t="s">
        <v>74</v>
      </c>
      <c r="U743" t="s">
        <v>14205</v>
      </c>
      <c r="V743" t="s">
        <v>14206</v>
      </c>
      <c r="W743" t="s">
        <v>14207</v>
      </c>
      <c r="X743" t="s">
        <v>14208</v>
      </c>
      <c r="Y743" t="s">
        <v>14209</v>
      </c>
      <c r="Z743" t="s">
        <v>14210</v>
      </c>
      <c r="AA743" t="s">
        <v>14211</v>
      </c>
      <c r="AB743" t="s">
        <v>14212</v>
      </c>
      <c r="AC743" t="s">
        <v>14213</v>
      </c>
      <c r="AD743" t="s">
        <v>14214</v>
      </c>
      <c r="AE743" t="s">
        <v>14215</v>
      </c>
      <c r="AF743" t="s">
        <v>74</v>
      </c>
      <c r="AG743">
        <v>94</v>
      </c>
      <c r="AH743">
        <v>1</v>
      </c>
      <c r="AI743">
        <v>1</v>
      </c>
      <c r="AJ743">
        <v>0</v>
      </c>
      <c r="AK743">
        <v>0</v>
      </c>
      <c r="AL743" t="s">
        <v>1838</v>
      </c>
      <c r="AM743" t="s">
        <v>1839</v>
      </c>
      <c r="AN743" t="s">
        <v>1840</v>
      </c>
      <c r="AO743" t="s">
        <v>2818</v>
      </c>
      <c r="AP743" t="s">
        <v>2819</v>
      </c>
      <c r="AQ743" t="s">
        <v>74</v>
      </c>
      <c r="AR743" t="s">
        <v>2809</v>
      </c>
      <c r="AS743" t="s">
        <v>2820</v>
      </c>
      <c r="AT743" t="s">
        <v>14198</v>
      </c>
      <c r="AU743">
        <v>2023</v>
      </c>
      <c r="AV743">
        <v>17</v>
      </c>
      <c r="AW743">
        <v>10</v>
      </c>
      <c r="AX743" t="s">
        <v>74</v>
      </c>
      <c r="AY743" t="s">
        <v>74</v>
      </c>
      <c r="AZ743" t="s">
        <v>74</v>
      </c>
      <c r="BA743" t="s">
        <v>74</v>
      </c>
      <c r="BB743">
        <v>4241</v>
      </c>
      <c r="BC743">
        <v>4266</v>
      </c>
      <c r="BD743" t="s">
        <v>74</v>
      </c>
      <c r="BE743" t="s">
        <v>14216</v>
      </c>
      <c r="BF743" t="str">
        <f>HYPERLINK("http://dx.doi.org/10.5194/tc-17-4241-2023","http://dx.doi.org/10.5194/tc-17-4241-2023")</f>
        <v>http://dx.doi.org/10.5194/tc-17-4241-2023</v>
      </c>
      <c r="BG743" t="s">
        <v>74</v>
      </c>
      <c r="BH743" t="s">
        <v>74</v>
      </c>
      <c r="BI743">
        <v>26</v>
      </c>
      <c r="BJ743" t="s">
        <v>984</v>
      </c>
      <c r="BK743" t="s">
        <v>100</v>
      </c>
      <c r="BL743" t="s">
        <v>985</v>
      </c>
      <c r="BM743" t="s">
        <v>14217</v>
      </c>
      <c r="BN743" t="s">
        <v>74</v>
      </c>
      <c r="BO743" t="s">
        <v>183</v>
      </c>
      <c r="BP743" t="s">
        <v>74</v>
      </c>
      <c r="BQ743" t="s">
        <v>74</v>
      </c>
      <c r="BR743" t="s">
        <v>104</v>
      </c>
      <c r="BS743" t="s">
        <v>14218</v>
      </c>
      <c r="BT743" t="str">
        <f>HYPERLINK("https%3A%2F%2Fwww.webofscience.com%2Fwos%2Fwoscc%2Ffull-record%2FWOS:001161799400001","View Full Record in Web of Science")</f>
        <v>View Full Record in Web of Science</v>
      </c>
    </row>
    <row r="744" spans="1:72" x14ac:dyDescent="0.15">
      <c r="A744" t="s">
        <v>72</v>
      </c>
      <c r="B744" t="s">
        <v>14219</v>
      </c>
      <c r="C744" t="s">
        <v>74</v>
      </c>
      <c r="D744" t="s">
        <v>74</v>
      </c>
      <c r="E744" t="s">
        <v>74</v>
      </c>
      <c r="F744" t="s">
        <v>14220</v>
      </c>
      <c r="G744" t="s">
        <v>74</v>
      </c>
      <c r="H744" t="s">
        <v>74</v>
      </c>
      <c r="I744" t="s">
        <v>14221</v>
      </c>
      <c r="J744" t="s">
        <v>1826</v>
      </c>
      <c r="K744" t="s">
        <v>74</v>
      </c>
      <c r="L744" t="s">
        <v>74</v>
      </c>
      <c r="M744" t="s">
        <v>78</v>
      </c>
      <c r="N744" t="s">
        <v>79</v>
      </c>
      <c r="O744" t="s">
        <v>74</v>
      </c>
      <c r="P744" t="s">
        <v>74</v>
      </c>
      <c r="Q744" t="s">
        <v>74</v>
      </c>
      <c r="R744" t="s">
        <v>74</v>
      </c>
      <c r="S744" t="s">
        <v>74</v>
      </c>
      <c r="T744" t="s">
        <v>74</v>
      </c>
      <c r="U744" t="s">
        <v>14222</v>
      </c>
      <c r="V744" t="s">
        <v>14223</v>
      </c>
      <c r="W744" t="s">
        <v>14224</v>
      </c>
      <c r="X744" t="s">
        <v>14225</v>
      </c>
      <c r="Y744" t="s">
        <v>14226</v>
      </c>
      <c r="Z744" t="s">
        <v>14227</v>
      </c>
      <c r="AA744" t="s">
        <v>14228</v>
      </c>
      <c r="AB744" t="s">
        <v>14229</v>
      </c>
      <c r="AC744" t="s">
        <v>14230</v>
      </c>
      <c r="AD744" t="s">
        <v>14231</v>
      </c>
      <c r="AE744" t="s">
        <v>14232</v>
      </c>
      <c r="AF744" t="s">
        <v>74</v>
      </c>
      <c r="AG744">
        <v>86</v>
      </c>
      <c r="AH744">
        <v>1</v>
      </c>
      <c r="AI744">
        <v>1</v>
      </c>
      <c r="AJ744">
        <v>2</v>
      </c>
      <c r="AK744">
        <v>2</v>
      </c>
      <c r="AL744" t="s">
        <v>1838</v>
      </c>
      <c r="AM744" t="s">
        <v>1839</v>
      </c>
      <c r="AN744" t="s">
        <v>1840</v>
      </c>
      <c r="AO744" t="s">
        <v>1841</v>
      </c>
      <c r="AP744" t="s">
        <v>1842</v>
      </c>
      <c r="AQ744" t="s">
        <v>74</v>
      </c>
      <c r="AR744" t="s">
        <v>1843</v>
      </c>
      <c r="AS744" t="s">
        <v>1844</v>
      </c>
      <c r="AT744" t="s">
        <v>14198</v>
      </c>
      <c r="AU744">
        <v>2023</v>
      </c>
      <c r="AV744">
        <v>16</v>
      </c>
      <c r="AW744">
        <v>19</v>
      </c>
      <c r="AX744" t="s">
        <v>74</v>
      </c>
      <c r="AY744" t="s">
        <v>74</v>
      </c>
      <c r="AZ744" t="s">
        <v>74</v>
      </c>
      <c r="BA744" t="s">
        <v>74</v>
      </c>
      <c r="BB744">
        <v>5561</v>
      </c>
      <c r="BC744">
        <v>5583</v>
      </c>
      <c r="BD744" t="s">
        <v>74</v>
      </c>
      <c r="BE744" t="s">
        <v>14233</v>
      </c>
      <c r="BF744" t="str">
        <f>HYPERLINK("http://dx.doi.org/10.5194/gmd-16-5561-2023","http://dx.doi.org/10.5194/gmd-16-5561-2023")</f>
        <v>http://dx.doi.org/10.5194/gmd-16-5561-2023</v>
      </c>
      <c r="BG744" t="s">
        <v>74</v>
      </c>
      <c r="BH744" t="s">
        <v>74</v>
      </c>
      <c r="BI744">
        <v>23</v>
      </c>
      <c r="BJ744" t="s">
        <v>535</v>
      </c>
      <c r="BK744" t="s">
        <v>100</v>
      </c>
      <c r="BL744" t="s">
        <v>536</v>
      </c>
      <c r="BM744" t="s">
        <v>14234</v>
      </c>
      <c r="BN744" t="s">
        <v>74</v>
      </c>
      <c r="BO744" t="s">
        <v>2561</v>
      </c>
      <c r="BP744" t="s">
        <v>74</v>
      </c>
      <c r="BQ744" t="s">
        <v>74</v>
      </c>
      <c r="BR744" t="s">
        <v>104</v>
      </c>
      <c r="BS744" t="s">
        <v>14235</v>
      </c>
      <c r="BT744" t="str">
        <f>HYPERLINK("https%3A%2F%2Fwww.webofscience.com%2Fwos%2Fwoscc%2Ffull-record%2FWOS:001161827800001","View Full Record in Web of Science")</f>
        <v>View Full Record in Web of Science</v>
      </c>
    </row>
    <row r="745" spans="1:72" x14ac:dyDescent="0.15">
      <c r="A745" t="s">
        <v>72</v>
      </c>
      <c r="B745" t="s">
        <v>14236</v>
      </c>
      <c r="C745" t="s">
        <v>74</v>
      </c>
      <c r="D745" t="s">
        <v>74</v>
      </c>
      <c r="E745" t="s">
        <v>74</v>
      </c>
      <c r="F745" t="s">
        <v>14237</v>
      </c>
      <c r="G745" t="s">
        <v>74</v>
      </c>
      <c r="H745" t="s">
        <v>74</v>
      </c>
      <c r="I745" t="s">
        <v>14238</v>
      </c>
      <c r="J745" t="s">
        <v>13521</v>
      </c>
      <c r="K745" t="s">
        <v>74</v>
      </c>
      <c r="L745" t="s">
        <v>74</v>
      </c>
      <c r="M745" t="s">
        <v>78</v>
      </c>
      <c r="N745" t="s">
        <v>79</v>
      </c>
      <c r="O745" t="s">
        <v>74</v>
      </c>
      <c r="P745" t="s">
        <v>74</v>
      </c>
      <c r="Q745" t="s">
        <v>74</v>
      </c>
      <c r="R745" t="s">
        <v>74</v>
      </c>
      <c r="S745" t="s">
        <v>74</v>
      </c>
      <c r="T745" t="s">
        <v>14239</v>
      </c>
      <c r="U745" t="s">
        <v>14240</v>
      </c>
      <c r="V745" t="s">
        <v>14241</v>
      </c>
      <c r="W745" t="s">
        <v>14242</v>
      </c>
      <c r="X745" t="s">
        <v>14243</v>
      </c>
      <c r="Y745" t="s">
        <v>14244</v>
      </c>
      <c r="Z745" t="s">
        <v>14245</v>
      </c>
      <c r="AA745" t="s">
        <v>74</v>
      </c>
      <c r="AB745" t="s">
        <v>74</v>
      </c>
      <c r="AC745" t="s">
        <v>14246</v>
      </c>
      <c r="AD745" t="s">
        <v>14247</v>
      </c>
      <c r="AE745" t="s">
        <v>14248</v>
      </c>
      <c r="AF745" t="s">
        <v>74</v>
      </c>
      <c r="AG745">
        <v>45</v>
      </c>
      <c r="AH745">
        <v>0</v>
      </c>
      <c r="AI745">
        <v>0</v>
      </c>
      <c r="AJ745">
        <v>3</v>
      </c>
      <c r="AK745">
        <v>3</v>
      </c>
      <c r="AL745" t="s">
        <v>1758</v>
      </c>
      <c r="AM745" t="s">
        <v>1759</v>
      </c>
      <c r="AN745" t="s">
        <v>1760</v>
      </c>
      <c r="AO745" t="s">
        <v>74</v>
      </c>
      <c r="AP745" t="s">
        <v>13533</v>
      </c>
      <c r="AQ745" t="s">
        <v>74</v>
      </c>
      <c r="AR745" t="s">
        <v>13534</v>
      </c>
      <c r="AS745" t="s">
        <v>13535</v>
      </c>
      <c r="AT745" t="s">
        <v>14198</v>
      </c>
      <c r="AU745">
        <v>2023</v>
      </c>
      <c r="AV745">
        <v>11</v>
      </c>
      <c r="AW745" t="s">
        <v>74</v>
      </c>
      <c r="AX745" t="s">
        <v>74</v>
      </c>
      <c r="AY745" t="s">
        <v>74</v>
      </c>
      <c r="AZ745" t="s">
        <v>74</v>
      </c>
      <c r="BA745" t="s">
        <v>74</v>
      </c>
      <c r="BB745" t="s">
        <v>74</v>
      </c>
      <c r="BC745" t="s">
        <v>74</v>
      </c>
      <c r="BD745">
        <v>1199332</v>
      </c>
      <c r="BE745" t="s">
        <v>14249</v>
      </c>
      <c r="BF745" t="str">
        <f>HYPERLINK("http://dx.doi.org/10.3389/feart.2023.1199332","http://dx.doi.org/10.3389/feart.2023.1199332")</f>
        <v>http://dx.doi.org/10.3389/feart.2023.1199332</v>
      </c>
      <c r="BG745" t="s">
        <v>74</v>
      </c>
      <c r="BH745" t="s">
        <v>74</v>
      </c>
      <c r="BI745">
        <v>14</v>
      </c>
      <c r="BJ745" t="s">
        <v>535</v>
      </c>
      <c r="BK745" t="s">
        <v>100</v>
      </c>
      <c r="BL745" t="s">
        <v>536</v>
      </c>
      <c r="BM745" t="s">
        <v>14250</v>
      </c>
      <c r="BN745" t="s">
        <v>74</v>
      </c>
      <c r="BO745" t="s">
        <v>131</v>
      </c>
      <c r="BP745" t="s">
        <v>74</v>
      </c>
      <c r="BQ745" t="s">
        <v>74</v>
      </c>
      <c r="BR745" t="s">
        <v>104</v>
      </c>
      <c r="BS745" t="s">
        <v>14251</v>
      </c>
      <c r="BT745" t="str">
        <f>HYPERLINK("https%3A%2F%2Fwww.webofscience.com%2Fwos%2Fwoscc%2Ffull-record%2FWOS:001085968200001","View Full Record in Web of Science")</f>
        <v>View Full Record in Web of Science</v>
      </c>
    </row>
    <row r="746" spans="1:72" x14ac:dyDescent="0.15">
      <c r="A746" t="s">
        <v>72</v>
      </c>
      <c r="B746" t="s">
        <v>14252</v>
      </c>
      <c r="C746" t="s">
        <v>74</v>
      </c>
      <c r="D746" t="s">
        <v>74</v>
      </c>
      <c r="E746" t="s">
        <v>74</v>
      </c>
      <c r="F746" t="s">
        <v>14253</v>
      </c>
      <c r="G746" t="s">
        <v>74</v>
      </c>
      <c r="H746" t="s">
        <v>74</v>
      </c>
      <c r="I746" t="s">
        <v>14254</v>
      </c>
      <c r="J746" t="s">
        <v>14255</v>
      </c>
      <c r="K746" t="s">
        <v>74</v>
      </c>
      <c r="L746" t="s">
        <v>74</v>
      </c>
      <c r="M746" t="s">
        <v>78</v>
      </c>
      <c r="N746" t="s">
        <v>79</v>
      </c>
      <c r="O746" t="s">
        <v>74</v>
      </c>
      <c r="P746" t="s">
        <v>74</v>
      </c>
      <c r="Q746" t="s">
        <v>74</v>
      </c>
      <c r="R746" t="s">
        <v>74</v>
      </c>
      <c r="S746" t="s">
        <v>74</v>
      </c>
      <c r="T746" t="s">
        <v>14256</v>
      </c>
      <c r="U746" t="s">
        <v>14257</v>
      </c>
      <c r="V746" t="s">
        <v>14258</v>
      </c>
      <c r="W746" t="s">
        <v>14259</v>
      </c>
      <c r="X746" t="s">
        <v>14260</v>
      </c>
      <c r="Y746" t="s">
        <v>14261</v>
      </c>
      <c r="Z746" t="s">
        <v>14262</v>
      </c>
      <c r="AA746" t="s">
        <v>14263</v>
      </c>
      <c r="AB746" t="s">
        <v>14264</v>
      </c>
      <c r="AC746" t="s">
        <v>14265</v>
      </c>
      <c r="AD746" t="s">
        <v>14265</v>
      </c>
      <c r="AE746" t="s">
        <v>14266</v>
      </c>
      <c r="AF746" t="s">
        <v>74</v>
      </c>
      <c r="AG746">
        <v>53</v>
      </c>
      <c r="AH746">
        <v>0</v>
      </c>
      <c r="AI746">
        <v>0</v>
      </c>
      <c r="AJ746">
        <v>22</v>
      </c>
      <c r="AK746">
        <v>22</v>
      </c>
      <c r="AL746" t="s">
        <v>7066</v>
      </c>
      <c r="AM746" t="s">
        <v>3058</v>
      </c>
      <c r="AN746" t="s">
        <v>7067</v>
      </c>
      <c r="AO746" t="s">
        <v>14267</v>
      </c>
      <c r="AP746" t="s">
        <v>14268</v>
      </c>
      <c r="AQ746" t="s">
        <v>74</v>
      </c>
      <c r="AR746" t="s">
        <v>14269</v>
      </c>
      <c r="AS746" t="s">
        <v>14270</v>
      </c>
      <c r="AT746" t="s">
        <v>12500</v>
      </c>
      <c r="AU746">
        <v>2023</v>
      </c>
      <c r="AV746">
        <v>48</v>
      </c>
      <c r="AW746">
        <v>5</v>
      </c>
      <c r="AX746" t="s">
        <v>74</v>
      </c>
      <c r="AY746" t="s">
        <v>74</v>
      </c>
      <c r="AZ746" t="s">
        <v>74</v>
      </c>
      <c r="BA746" t="s">
        <v>74</v>
      </c>
      <c r="BB746">
        <v>592</v>
      </c>
      <c r="BC746">
        <v>602</v>
      </c>
      <c r="BD746" t="s">
        <v>74</v>
      </c>
      <c r="BE746" t="s">
        <v>14271</v>
      </c>
      <c r="BF746" t="str">
        <f>HYPERLINK("http://dx.doi.org/10.1515/tjb-2023-0103","http://dx.doi.org/10.1515/tjb-2023-0103")</f>
        <v>http://dx.doi.org/10.1515/tjb-2023-0103</v>
      </c>
      <c r="BG746" t="s">
        <v>74</v>
      </c>
      <c r="BH746" t="s">
        <v>11428</v>
      </c>
      <c r="BI746">
        <v>11</v>
      </c>
      <c r="BJ746" t="s">
        <v>930</v>
      </c>
      <c r="BK746" t="s">
        <v>100</v>
      </c>
      <c r="BL746" t="s">
        <v>930</v>
      </c>
      <c r="BM746" t="s">
        <v>14272</v>
      </c>
      <c r="BN746" t="s">
        <v>74</v>
      </c>
      <c r="BO746" t="s">
        <v>131</v>
      </c>
      <c r="BP746" t="s">
        <v>74</v>
      </c>
      <c r="BQ746" t="s">
        <v>74</v>
      </c>
      <c r="BR746" t="s">
        <v>104</v>
      </c>
      <c r="BS746" t="s">
        <v>14273</v>
      </c>
      <c r="BT746" t="str">
        <f>HYPERLINK("https%3A%2F%2Fwww.webofscience.com%2Fwos%2Fwoscc%2Ffull-record%2FWOS:001080957100001","View Full Record in Web of Science")</f>
        <v>View Full Record in Web of Science</v>
      </c>
    </row>
    <row r="747" spans="1:72" x14ac:dyDescent="0.15">
      <c r="A747" t="s">
        <v>72</v>
      </c>
      <c r="B747" t="s">
        <v>14274</v>
      </c>
      <c r="C747" t="s">
        <v>74</v>
      </c>
      <c r="D747" t="s">
        <v>74</v>
      </c>
      <c r="E747" t="s">
        <v>74</v>
      </c>
      <c r="F747" t="s">
        <v>14275</v>
      </c>
      <c r="G747" t="s">
        <v>74</v>
      </c>
      <c r="H747" t="s">
        <v>74</v>
      </c>
      <c r="I747" t="s">
        <v>14276</v>
      </c>
      <c r="J747" t="s">
        <v>14277</v>
      </c>
      <c r="K747" t="s">
        <v>74</v>
      </c>
      <c r="L747" t="s">
        <v>74</v>
      </c>
      <c r="M747" t="s">
        <v>78</v>
      </c>
      <c r="N747" t="s">
        <v>79</v>
      </c>
      <c r="O747" t="s">
        <v>74</v>
      </c>
      <c r="P747" t="s">
        <v>74</v>
      </c>
      <c r="Q747" t="s">
        <v>74</v>
      </c>
      <c r="R747" t="s">
        <v>74</v>
      </c>
      <c r="S747" t="s">
        <v>74</v>
      </c>
      <c r="T747" t="s">
        <v>14278</v>
      </c>
      <c r="U747" t="s">
        <v>14279</v>
      </c>
      <c r="V747" t="s">
        <v>14280</v>
      </c>
      <c r="W747" t="s">
        <v>14281</v>
      </c>
      <c r="X747" t="s">
        <v>2696</v>
      </c>
      <c r="Y747" t="s">
        <v>14282</v>
      </c>
      <c r="Z747" t="s">
        <v>14283</v>
      </c>
      <c r="AA747" t="s">
        <v>14284</v>
      </c>
      <c r="AB747" t="s">
        <v>14285</v>
      </c>
      <c r="AC747" t="s">
        <v>14286</v>
      </c>
      <c r="AD747" t="s">
        <v>14286</v>
      </c>
      <c r="AE747" t="s">
        <v>14287</v>
      </c>
      <c r="AF747" t="s">
        <v>74</v>
      </c>
      <c r="AG747">
        <v>46</v>
      </c>
      <c r="AH747">
        <v>0</v>
      </c>
      <c r="AI747">
        <v>0</v>
      </c>
      <c r="AJ747">
        <v>1</v>
      </c>
      <c r="AK747">
        <v>1</v>
      </c>
      <c r="AL747" t="s">
        <v>1101</v>
      </c>
      <c r="AM747" t="s">
        <v>1102</v>
      </c>
      <c r="AN747" t="s">
        <v>1103</v>
      </c>
      <c r="AO747" t="s">
        <v>14288</v>
      </c>
      <c r="AP747" t="s">
        <v>14289</v>
      </c>
      <c r="AQ747" t="s">
        <v>74</v>
      </c>
      <c r="AR747" t="s">
        <v>14290</v>
      </c>
      <c r="AS747" t="s">
        <v>14291</v>
      </c>
      <c r="AT747" t="s">
        <v>1947</v>
      </c>
      <c r="AU747">
        <v>2023</v>
      </c>
      <c r="AV747">
        <v>44</v>
      </c>
      <c r="AW747">
        <v>6</v>
      </c>
      <c r="AX747" t="s">
        <v>74</v>
      </c>
      <c r="AY747" t="s">
        <v>74</v>
      </c>
      <c r="AZ747" t="s">
        <v>74</v>
      </c>
      <c r="BA747" t="s">
        <v>74</v>
      </c>
      <c r="BB747" t="s">
        <v>74</v>
      </c>
      <c r="BC747" t="s">
        <v>74</v>
      </c>
      <c r="BD747" t="s">
        <v>14292</v>
      </c>
      <c r="BE747" t="s">
        <v>14293</v>
      </c>
      <c r="BF747" t="str">
        <f>HYPERLINK("http://dx.doi.org/10.1111/maec.12776","http://dx.doi.org/10.1111/maec.12776")</f>
        <v>http://dx.doi.org/10.1111/maec.12776</v>
      </c>
      <c r="BG747" t="s">
        <v>74</v>
      </c>
      <c r="BH747" t="s">
        <v>11428</v>
      </c>
      <c r="BI747">
        <v>12</v>
      </c>
      <c r="BJ747" t="s">
        <v>6874</v>
      </c>
      <c r="BK747" t="s">
        <v>100</v>
      </c>
      <c r="BL747" t="s">
        <v>6874</v>
      </c>
      <c r="BM747" t="s">
        <v>14294</v>
      </c>
      <c r="BN747" t="s">
        <v>74</v>
      </c>
      <c r="BO747" t="s">
        <v>103</v>
      </c>
      <c r="BP747" t="s">
        <v>74</v>
      </c>
      <c r="BQ747" t="s">
        <v>74</v>
      </c>
      <c r="BR747" t="s">
        <v>104</v>
      </c>
      <c r="BS747" t="s">
        <v>14295</v>
      </c>
      <c r="BT747" t="str">
        <f>HYPERLINK("https%3A%2F%2Fwww.webofscience.com%2Fwos%2Fwoscc%2Ffull-record%2FWOS:001076137000001","View Full Record in Web of Science")</f>
        <v>View Full Record in Web of Science</v>
      </c>
    </row>
    <row r="748" spans="1:72" x14ac:dyDescent="0.15">
      <c r="A748" t="s">
        <v>72</v>
      </c>
      <c r="B748" t="s">
        <v>14296</v>
      </c>
      <c r="C748" t="s">
        <v>74</v>
      </c>
      <c r="D748" t="s">
        <v>74</v>
      </c>
      <c r="E748" t="s">
        <v>74</v>
      </c>
      <c r="F748" t="s">
        <v>14297</v>
      </c>
      <c r="G748" t="s">
        <v>74</v>
      </c>
      <c r="H748" t="s">
        <v>74</v>
      </c>
      <c r="I748" t="s">
        <v>14298</v>
      </c>
      <c r="J748" t="s">
        <v>1017</v>
      </c>
      <c r="K748" t="s">
        <v>74</v>
      </c>
      <c r="L748" t="s">
        <v>74</v>
      </c>
      <c r="M748" t="s">
        <v>78</v>
      </c>
      <c r="N748" t="s">
        <v>79</v>
      </c>
      <c r="O748" t="s">
        <v>74</v>
      </c>
      <c r="P748" t="s">
        <v>74</v>
      </c>
      <c r="Q748" t="s">
        <v>74</v>
      </c>
      <c r="R748" t="s">
        <v>74</v>
      </c>
      <c r="S748" t="s">
        <v>74</v>
      </c>
      <c r="T748" t="s">
        <v>74</v>
      </c>
      <c r="U748" t="s">
        <v>14299</v>
      </c>
      <c r="V748" t="s">
        <v>14300</v>
      </c>
      <c r="W748" t="s">
        <v>14301</v>
      </c>
      <c r="X748" t="s">
        <v>14302</v>
      </c>
      <c r="Y748" t="s">
        <v>14303</v>
      </c>
      <c r="Z748" t="s">
        <v>14304</v>
      </c>
      <c r="AA748" t="s">
        <v>14305</v>
      </c>
      <c r="AB748" t="s">
        <v>14306</v>
      </c>
      <c r="AC748" t="s">
        <v>14307</v>
      </c>
      <c r="AD748" t="s">
        <v>14308</v>
      </c>
      <c r="AE748" t="s">
        <v>14309</v>
      </c>
      <c r="AF748" t="s">
        <v>74</v>
      </c>
      <c r="AG748">
        <v>73</v>
      </c>
      <c r="AH748">
        <v>1</v>
      </c>
      <c r="AI748">
        <v>1</v>
      </c>
      <c r="AJ748">
        <v>4</v>
      </c>
      <c r="AK748">
        <v>4</v>
      </c>
      <c r="AL748" t="s">
        <v>1027</v>
      </c>
      <c r="AM748" t="s">
        <v>1028</v>
      </c>
      <c r="AN748" t="s">
        <v>1029</v>
      </c>
      <c r="AO748" t="s">
        <v>1030</v>
      </c>
      <c r="AP748" t="s">
        <v>74</v>
      </c>
      <c r="AQ748" t="s">
        <v>74</v>
      </c>
      <c r="AR748" t="s">
        <v>1017</v>
      </c>
      <c r="AS748" t="s">
        <v>1031</v>
      </c>
      <c r="AT748" t="s">
        <v>14310</v>
      </c>
      <c r="AU748">
        <v>2023</v>
      </c>
      <c r="AV748">
        <v>18</v>
      </c>
      <c r="AW748">
        <v>10</v>
      </c>
      <c r="AX748" t="s">
        <v>74</v>
      </c>
      <c r="AY748" t="s">
        <v>74</v>
      </c>
      <c r="AZ748" t="s">
        <v>74</v>
      </c>
      <c r="BA748" t="s">
        <v>74</v>
      </c>
      <c r="BB748" t="s">
        <v>74</v>
      </c>
      <c r="BC748" t="s">
        <v>74</v>
      </c>
      <c r="BD748" t="s">
        <v>14311</v>
      </c>
      <c r="BE748" t="s">
        <v>14312</v>
      </c>
      <c r="BF748" t="str">
        <f>HYPERLINK("http://dx.doi.org/10.1371/journal.pone.0287376","http://dx.doi.org/10.1371/journal.pone.0287376")</f>
        <v>http://dx.doi.org/10.1371/journal.pone.0287376</v>
      </c>
      <c r="BG748" t="s">
        <v>74</v>
      </c>
      <c r="BH748" t="s">
        <v>74</v>
      </c>
      <c r="BI748">
        <v>21</v>
      </c>
      <c r="BJ748" t="s">
        <v>1035</v>
      </c>
      <c r="BK748" t="s">
        <v>100</v>
      </c>
      <c r="BL748" t="s">
        <v>1036</v>
      </c>
      <c r="BM748" t="s">
        <v>14313</v>
      </c>
      <c r="BN748">
        <v>37796854</v>
      </c>
      <c r="BO748" t="s">
        <v>265</v>
      </c>
      <c r="BP748" t="s">
        <v>74</v>
      </c>
      <c r="BQ748" t="s">
        <v>74</v>
      </c>
      <c r="BR748" t="s">
        <v>104</v>
      </c>
      <c r="BS748" t="s">
        <v>14314</v>
      </c>
      <c r="BT748" t="str">
        <f>HYPERLINK("https%3A%2F%2Fwww.webofscience.com%2Fwos%2Fwoscc%2Ffull-record%2FWOS:001116853300034","View Full Record in Web of Science")</f>
        <v>View Full Record in Web of Science</v>
      </c>
    </row>
    <row r="749" spans="1:72" x14ac:dyDescent="0.15">
      <c r="A749" t="s">
        <v>72</v>
      </c>
      <c r="B749" t="s">
        <v>14315</v>
      </c>
      <c r="C749" t="s">
        <v>74</v>
      </c>
      <c r="D749" t="s">
        <v>74</v>
      </c>
      <c r="E749" t="s">
        <v>74</v>
      </c>
      <c r="F749" t="s">
        <v>14316</v>
      </c>
      <c r="G749" t="s">
        <v>74</v>
      </c>
      <c r="H749" t="s">
        <v>74</v>
      </c>
      <c r="I749" t="s">
        <v>14317</v>
      </c>
      <c r="J749" t="s">
        <v>2809</v>
      </c>
      <c r="K749" t="s">
        <v>74</v>
      </c>
      <c r="L749" t="s">
        <v>74</v>
      </c>
      <c r="M749" t="s">
        <v>78</v>
      </c>
      <c r="N749" t="s">
        <v>79</v>
      </c>
      <c r="O749" t="s">
        <v>74</v>
      </c>
      <c r="P749" t="s">
        <v>74</v>
      </c>
      <c r="Q749" t="s">
        <v>74</v>
      </c>
      <c r="R749" t="s">
        <v>74</v>
      </c>
      <c r="S749" t="s">
        <v>74</v>
      </c>
      <c r="T749" t="s">
        <v>74</v>
      </c>
      <c r="U749" t="s">
        <v>14318</v>
      </c>
      <c r="V749" t="s">
        <v>14319</v>
      </c>
      <c r="W749" t="s">
        <v>14320</v>
      </c>
      <c r="X749" t="s">
        <v>14321</v>
      </c>
      <c r="Y749" t="s">
        <v>14322</v>
      </c>
      <c r="Z749" t="s">
        <v>14323</v>
      </c>
      <c r="AA749" t="s">
        <v>14324</v>
      </c>
      <c r="AB749" t="s">
        <v>14325</v>
      </c>
      <c r="AC749" t="s">
        <v>14326</v>
      </c>
      <c r="AD749" t="s">
        <v>14327</v>
      </c>
      <c r="AE749" t="s">
        <v>14328</v>
      </c>
      <c r="AF749" t="s">
        <v>74</v>
      </c>
      <c r="AG749">
        <v>75</v>
      </c>
      <c r="AH749">
        <v>1</v>
      </c>
      <c r="AI749">
        <v>1</v>
      </c>
      <c r="AJ749">
        <v>1</v>
      </c>
      <c r="AK749">
        <v>1</v>
      </c>
      <c r="AL749" t="s">
        <v>1838</v>
      </c>
      <c r="AM749" t="s">
        <v>1839</v>
      </c>
      <c r="AN749" t="s">
        <v>1840</v>
      </c>
      <c r="AO749" t="s">
        <v>2818</v>
      </c>
      <c r="AP749" t="s">
        <v>2819</v>
      </c>
      <c r="AQ749" t="s">
        <v>74</v>
      </c>
      <c r="AR749" t="s">
        <v>2809</v>
      </c>
      <c r="AS749" t="s">
        <v>2820</v>
      </c>
      <c r="AT749" t="s">
        <v>14310</v>
      </c>
      <c r="AU749">
        <v>2023</v>
      </c>
      <c r="AV749">
        <v>17</v>
      </c>
      <c r="AW749">
        <v>10</v>
      </c>
      <c r="AX749" t="s">
        <v>74</v>
      </c>
      <c r="AY749" t="s">
        <v>74</v>
      </c>
      <c r="AZ749" t="s">
        <v>74</v>
      </c>
      <c r="BA749" t="s">
        <v>74</v>
      </c>
      <c r="BB749">
        <v>4207</v>
      </c>
      <c r="BC749">
        <v>4221</v>
      </c>
      <c r="BD749" t="s">
        <v>74</v>
      </c>
      <c r="BE749" t="s">
        <v>14329</v>
      </c>
      <c r="BF749" t="str">
        <f>HYPERLINK("http://dx.doi.org/10.5194/tc-17-4207-2023","http://dx.doi.org/10.5194/tc-17-4207-2023")</f>
        <v>http://dx.doi.org/10.5194/tc-17-4207-2023</v>
      </c>
      <c r="BG749" t="s">
        <v>74</v>
      </c>
      <c r="BH749" t="s">
        <v>74</v>
      </c>
      <c r="BI749">
        <v>15</v>
      </c>
      <c r="BJ749" t="s">
        <v>984</v>
      </c>
      <c r="BK749" t="s">
        <v>100</v>
      </c>
      <c r="BL749" t="s">
        <v>985</v>
      </c>
      <c r="BM749" t="s">
        <v>14330</v>
      </c>
      <c r="BN749" t="s">
        <v>74</v>
      </c>
      <c r="BO749" t="s">
        <v>349</v>
      </c>
      <c r="BP749" t="s">
        <v>74</v>
      </c>
      <c r="BQ749" t="s">
        <v>74</v>
      </c>
      <c r="BR749" t="s">
        <v>104</v>
      </c>
      <c r="BS749" t="s">
        <v>14331</v>
      </c>
      <c r="BT749" t="str">
        <f>HYPERLINK("https%3A%2F%2Fwww.webofscience.com%2Fwos%2Fwoscc%2Ffull-record%2FWOS:001161813800001","View Full Record in Web of Science")</f>
        <v>View Full Record in Web of Science</v>
      </c>
    </row>
    <row r="750" spans="1:72" x14ac:dyDescent="0.15">
      <c r="A750" t="s">
        <v>72</v>
      </c>
      <c r="B750" t="s">
        <v>14332</v>
      </c>
      <c r="C750" t="s">
        <v>74</v>
      </c>
      <c r="D750" t="s">
        <v>74</v>
      </c>
      <c r="E750" t="s">
        <v>74</v>
      </c>
      <c r="F750" t="s">
        <v>14333</v>
      </c>
      <c r="G750" t="s">
        <v>74</v>
      </c>
      <c r="H750" t="s">
        <v>74</v>
      </c>
      <c r="I750" t="s">
        <v>14334</v>
      </c>
      <c r="J750" t="s">
        <v>3384</v>
      </c>
      <c r="K750" t="s">
        <v>74</v>
      </c>
      <c r="L750" t="s">
        <v>74</v>
      </c>
      <c r="M750" t="s">
        <v>78</v>
      </c>
      <c r="N750" t="s">
        <v>79</v>
      </c>
      <c r="O750" t="s">
        <v>74</v>
      </c>
      <c r="P750" t="s">
        <v>74</v>
      </c>
      <c r="Q750" t="s">
        <v>74</v>
      </c>
      <c r="R750" t="s">
        <v>74</v>
      </c>
      <c r="S750" t="s">
        <v>74</v>
      </c>
      <c r="T750" t="s">
        <v>74</v>
      </c>
      <c r="U750" t="s">
        <v>14335</v>
      </c>
      <c r="V750" t="s">
        <v>14336</v>
      </c>
      <c r="W750" t="s">
        <v>14337</v>
      </c>
      <c r="X750" t="s">
        <v>14338</v>
      </c>
      <c r="Y750" t="s">
        <v>14339</v>
      </c>
      <c r="Z750" t="s">
        <v>14340</v>
      </c>
      <c r="AA750" t="s">
        <v>74</v>
      </c>
      <c r="AB750" t="s">
        <v>14341</v>
      </c>
      <c r="AC750" t="s">
        <v>14342</v>
      </c>
      <c r="AD750" t="s">
        <v>14343</v>
      </c>
      <c r="AE750" t="s">
        <v>14344</v>
      </c>
      <c r="AF750" t="s">
        <v>74</v>
      </c>
      <c r="AG750">
        <v>52</v>
      </c>
      <c r="AH750">
        <v>2</v>
      </c>
      <c r="AI750">
        <v>2</v>
      </c>
      <c r="AJ750">
        <v>10</v>
      </c>
      <c r="AK750">
        <v>10</v>
      </c>
      <c r="AL750" t="s">
        <v>3057</v>
      </c>
      <c r="AM750" t="s">
        <v>3058</v>
      </c>
      <c r="AN750" t="s">
        <v>3059</v>
      </c>
      <c r="AO750" t="s">
        <v>74</v>
      </c>
      <c r="AP750" t="s">
        <v>3396</v>
      </c>
      <c r="AQ750" t="s">
        <v>74</v>
      </c>
      <c r="AR750" t="s">
        <v>3397</v>
      </c>
      <c r="AS750" t="s">
        <v>3398</v>
      </c>
      <c r="AT750" t="s">
        <v>14310</v>
      </c>
      <c r="AU750">
        <v>2023</v>
      </c>
      <c r="AV750">
        <v>14</v>
      </c>
      <c r="AW750">
        <v>1</v>
      </c>
      <c r="AX750" t="s">
        <v>74</v>
      </c>
      <c r="AY750" t="s">
        <v>74</v>
      </c>
      <c r="AZ750" t="s">
        <v>74</v>
      </c>
      <c r="BA750" t="s">
        <v>74</v>
      </c>
      <c r="BB750" t="s">
        <v>74</v>
      </c>
      <c r="BC750" t="s">
        <v>74</v>
      </c>
      <c r="BD750">
        <v>6219</v>
      </c>
      <c r="BE750" t="s">
        <v>14345</v>
      </c>
      <c r="BF750" t="str">
        <f>HYPERLINK("http://dx.doi.org/10.1038/s41467-023-41962-8","http://dx.doi.org/10.1038/s41467-023-41962-8")</f>
        <v>http://dx.doi.org/10.1038/s41467-023-41962-8</v>
      </c>
      <c r="BG750" t="s">
        <v>74</v>
      </c>
      <c r="BH750" t="s">
        <v>74</v>
      </c>
      <c r="BI750">
        <v>9</v>
      </c>
      <c r="BJ750" t="s">
        <v>1035</v>
      </c>
      <c r="BK750" t="s">
        <v>100</v>
      </c>
      <c r="BL750" t="s">
        <v>1036</v>
      </c>
      <c r="BM750" t="s">
        <v>14346</v>
      </c>
      <c r="BN750">
        <v>37798278</v>
      </c>
      <c r="BO750" t="s">
        <v>14347</v>
      </c>
      <c r="BP750" t="s">
        <v>74</v>
      </c>
      <c r="BQ750" t="s">
        <v>74</v>
      </c>
      <c r="BR750" t="s">
        <v>104</v>
      </c>
      <c r="BS750" t="s">
        <v>14348</v>
      </c>
      <c r="BT750" t="str">
        <f>HYPERLINK("https%3A%2F%2Fwww.webofscience.com%2Fwos%2Fwoscc%2Ffull-record%2FWOS:001084559200008","View Full Record in Web of Science")</f>
        <v>View Full Record in Web of Science</v>
      </c>
    </row>
    <row r="751" spans="1:72" x14ac:dyDescent="0.15">
      <c r="A751" t="s">
        <v>72</v>
      </c>
      <c r="B751" t="s">
        <v>14349</v>
      </c>
      <c r="C751" t="s">
        <v>74</v>
      </c>
      <c r="D751" t="s">
        <v>74</v>
      </c>
      <c r="E751" t="s">
        <v>74</v>
      </c>
      <c r="F751" t="s">
        <v>14350</v>
      </c>
      <c r="G751" t="s">
        <v>74</v>
      </c>
      <c r="H751" t="s">
        <v>74</v>
      </c>
      <c r="I751" t="s">
        <v>14351</v>
      </c>
      <c r="J751" t="s">
        <v>4258</v>
      </c>
      <c r="K751" t="s">
        <v>74</v>
      </c>
      <c r="L751" t="s">
        <v>74</v>
      </c>
      <c r="M751" t="s">
        <v>78</v>
      </c>
      <c r="N751" t="s">
        <v>79</v>
      </c>
      <c r="O751" t="s">
        <v>74</v>
      </c>
      <c r="P751" t="s">
        <v>74</v>
      </c>
      <c r="Q751" t="s">
        <v>74</v>
      </c>
      <c r="R751" t="s">
        <v>74</v>
      </c>
      <c r="S751" t="s">
        <v>74</v>
      </c>
      <c r="T751" t="s">
        <v>14352</v>
      </c>
      <c r="U751" t="s">
        <v>14353</v>
      </c>
      <c r="V751" t="s">
        <v>14354</v>
      </c>
      <c r="W751" t="s">
        <v>14355</v>
      </c>
      <c r="X751" t="s">
        <v>14356</v>
      </c>
      <c r="Y751" t="s">
        <v>14357</v>
      </c>
      <c r="Z751" t="s">
        <v>14358</v>
      </c>
      <c r="AA751" t="s">
        <v>14359</v>
      </c>
      <c r="AB751" t="s">
        <v>14360</v>
      </c>
      <c r="AC751" t="s">
        <v>14361</v>
      </c>
      <c r="AD751" t="s">
        <v>14362</v>
      </c>
      <c r="AE751" t="s">
        <v>14363</v>
      </c>
      <c r="AF751" t="s">
        <v>74</v>
      </c>
      <c r="AG751">
        <v>74</v>
      </c>
      <c r="AH751">
        <v>0</v>
      </c>
      <c r="AI751">
        <v>0</v>
      </c>
      <c r="AJ751">
        <v>3</v>
      </c>
      <c r="AK751">
        <v>3</v>
      </c>
      <c r="AL751" t="s">
        <v>4271</v>
      </c>
      <c r="AM751" t="s">
        <v>1076</v>
      </c>
      <c r="AN751" t="s">
        <v>4272</v>
      </c>
      <c r="AO751" t="s">
        <v>4273</v>
      </c>
      <c r="AP751" t="s">
        <v>4274</v>
      </c>
      <c r="AQ751" t="s">
        <v>74</v>
      </c>
      <c r="AR751" t="s">
        <v>4275</v>
      </c>
      <c r="AS751" t="s">
        <v>4276</v>
      </c>
      <c r="AT751" t="s">
        <v>5341</v>
      </c>
      <c r="AU751">
        <v>2023</v>
      </c>
      <c r="AV751">
        <v>298</v>
      </c>
      <c r="AW751" t="s">
        <v>74</v>
      </c>
      <c r="AX751" t="s">
        <v>74</v>
      </c>
      <c r="AY751" t="s">
        <v>74</v>
      </c>
      <c r="AZ751" t="s">
        <v>74</v>
      </c>
      <c r="BA751" t="s">
        <v>74</v>
      </c>
      <c r="BB751" t="s">
        <v>74</v>
      </c>
      <c r="BC751" t="s">
        <v>74</v>
      </c>
      <c r="BD751">
        <v>113813</v>
      </c>
      <c r="BE751" t="s">
        <v>14364</v>
      </c>
      <c r="BF751" t="str">
        <f>HYPERLINK("http://dx.doi.org/10.1016/j.rse.2023.113813","http://dx.doi.org/10.1016/j.rse.2023.113813")</f>
        <v>http://dx.doi.org/10.1016/j.rse.2023.113813</v>
      </c>
      <c r="BG751" t="s">
        <v>74</v>
      </c>
      <c r="BH751" t="s">
        <v>11428</v>
      </c>
      <c r="BI751">
        <v>15</v>
      </c>
      <c r="BJ751" t="s">
        <v>4278</v>
      </c>
      <c r="BK751" t="s">
        <v>100</v>
      </c>
      <c r="BL751" t="s">
        <v>4279</v>
      </c>
      <c r="BM751" t="s">
        <v>14365</v>
      </c>
      <c r="BN751" t="s">
        <v>74</v>
      </c>
      <c r="BO751" t="s">
        <v>103</v>
      </c>
      <c r="BP751" t="s">
        <v>74</v>
      </c>
      <c r="BQ751" t="s">
        <v>74</v>
      </c>
      <c r="BR751" t="s">
        <v>104</v>
      </c>
      <c r="BS751" t="s">
        <v>14366</v>
      </c>
      <c r="BT751" t="str">
        <f>HYPERLINK("https%3A%2F%2Fwww.webofscience.com%2Fwos%2Fwoscc%2Ffull-record%2FWOS:001088699800001","View Full Record in Web of Science")</f>
        <v>View Full Record in Web of Science</v>
      </c>
    </row>
    <row r="752" spans="1:72" x14ac:dyDescent="0.15">
      <c r="A752" t="s">
        <v>72</v>
      </c>
      <c r="B752" t="s">
        <v>14367</v>
      </c>
      <c r="C752" t="s">
        <v>74</v>
      </c>
      <c r="D752" t="s">
        <v>74</v>
      </c>
      <c r="E752" t="s">
        <v>74</v>
      </c>
      <c r="F752" t="s">
        <v>14368</v>
      </c>
      <c r="G752" t="s">
        <v>74</v>
      </c>
      <c r="H752" t="s">
        <v>74</v>
      </c>
      <c r="I752" t="s">
        <v>14369</v>
      </c>
      <c r="J752" t="s">
        <v>13098</v>
      </c>
      <c r="K752" t="s">
        <v>74</v>
      </c>
      <c r="L752" t="s">
        <v>74</v>
      </c>
      <c r="M752" t="s">
        <v>78</v>
      </c>
      <c r="N752" t="s">
        <v>79</v>
      </c>
      <c r="O752" t="s">
        <v>74</v>
      </c>
      <c r="P752" t="s">
        <v>74</v>
      </c>
      <c r="Q752" t="s">
        <v>74</v>
      </c>
      <c r="R752" t="s">
        <v>74</v>
      </c>
      <c r="S752" t="s">
        <v>74</v>
      </c>
      <c r="T752" t="s">
        <v>14370</v>
      </c>
      <c r="U752" t="s">
        <v>14371</v>
      </c>
      <c r="V752" t="s">
        <v>14372</v>
      </c>
      <c r="W752" t="s">
        <v>14373</v>
      </c>
      <c r="X752" t="s">
        <v>14374</v>
      </c>
      <c r="Y752" t="s">
        <v>14375</v>
      </c>
      <c r="Z752" t="s">
        <v>14376</v>
      </c>
      <c r="AA752" t="s">
        <v>14377</v>
      </c>
      <c r="AB752" t="s">
        <v>14378</v>
      </c>
      <c r="AC752" t="s">
        <v>14379</v>
      </c>
      <c r="AD752" t="s">
        <v>14380</v>
      </c>
      <c r="AE752" t="s">
        <v>14381</v>
      </c>
      <c r="AF752" t="s">
        <v>74</v>
      </c>
      <c r="AG752">
        <v>87</v>
      </c>
      <c r="AH752">
        <v>0</v>
      </c>
      <c r="AI752">
        <v>0</v>
      </c>
      <c r="AJ752">
        <v>2</v>
      </c>
      <c r="AK752">
        <v>2</v>
      </c>
      <c r="AL752" t="s">
        <v>10494</v>
      </c>
      <c r="AM752" t="s">
        <v>1209</v>
      </c>
      <c r="AN752" t="s">
        <v>10495</v>
      </c>
      <c r="AO752" t="s">
        <v>13110</v>
      </c>
      <c r="AP752" t="s">
        <v>74</v>
      </c>
      <c r="AQ752" t="s">
        <v>74</v>
      </c>
      <c r="AR752" t="s">
        <v>13111</v>
      </c>
      <c r="AS752" t="s">
        <v>13112</v>
      </c>
      <c r="AT752" t="s">
        <v>14310</v>
      </c>
      <c r="AU752">
        <v>2023</v>
      </c>
      <c r="AV752">
        <v>7</v>
      </c>
      <c r="AW752">
        <v>10</v>
      </c>
      <c r="AX752" t="s">
        <v>74</v>
      </c>
      <c r="AY752" t="s">
        <v>74</v>
      </c>
      <c r="AZ752" t="s">
        <v>74</v>
      </c>
      <c r="BA752" t="s">
        <v>74</v>
      </c>
      <c r="BB752">
        <v>1992</v>
      </c>
      <c r="BC752">
        <v>2005</v>
      </c>
      <c r="BD752" t="s">
        <v>74</v>
      </c>
      <c r="BE752" t="s">
        <v>14382</v>
      </c>
      <c r="BF752" t="str">
        <f>HYPERLINK("http://dx.doi.org/10.1021/acsearthspacechem.3c00108","http://dx.doi.org/10.1021/acsearthspacechem.3c00108")</f>
        <v>http://dx.doi.org/10.1021/acsearthspacechem.3c00108</v>
      </c>
      <c r="BG752" t="s">
        <v>74</v>
      </c>
      <c r="BH752" t="s">
        <v>11428</v>
      </c>
      <c r="BI752">
        <v>14</v>
      </c>
      <c r="BJ752" t="s">
        <v>13115</v>
      </c>
      <c r="BK752" t="s">
        <v>100</v>
      </c>
      <c r="BL752" t="s">
        <v>13116</v>
      </c>
      <c r="BM752" t="s">
        <v>14383</v>
      </c>
      <c r="BN752" t="s">
        <v>74</v>
      </c>
      <c r="BO752" t="s">
        <v>74</v>
      </c>
      <c r="BP752" t="s">
        <v>74</v>
      </c>
      <c r="BQ752" t="s">
        <v>74</v>
      </c>
      <c r="BR752" t="s">
        <v>104</v>
      </c>
      <c r="BS752" t="s">
        <v>14384</v>
      </c>
      <c r="BT752" t="str">
        <f>HYPERLINK("https%3A%2F%2Fwww.webofscience.com%2Fwos%2Fwoscc%2Ffull-record%2FWOS:001079415700001","View Full Record in Web of Science")</f>
        <v>View Full Record in Web of Science</v>
      </c>
    </row>
    <row r="753" spans="1:72" x14ac:dyDescent="0.15">
      <c r="A753" t="s">
        <v>72</v>
      </c>
      <c r="B753" t="s">
        <v>14385</v>
      </c>
      <c r="C753" t="s">
        <v>74</v>
      </c>
      <c r="D753" t="s">
        <v>74</v>
      </c>
      <c r="E753" t="s">
        <v>74</v>
      </c>
      <c r="F753" t="s">
        <v>14386</v>
      </c>
      <c r="G753" t="s">
        <v>74</v>
      </c>
      <c r="H753" t="s">
        <v>74</v>
      </c>
      <c r="I753" t="s">
        <v>14387</v>
      </c>
      <c r="J753" t="s">
        <v>1826</v>
      </c>
      <c r="K753" t="s">
        <v>74</v>
      </c>
      <c r="L753" t="s">
        <v>74</v>
      </c>
      <c r="M753" t="s">
        <v>78</v>
      </c>
      <c r="N753" t="s">
        <v>79</v>
      </c>
      <c r="O753" t="s">
        <v>74</v>
      </c>
      <c r="P753" t="s">
        <v>74</v>
      </c>
      <c r="Q753" t="s">
        <v>74</v>
      </c>
      <c r="R753" t="s">
        <v>74</v>
      </c>
      <c r="S753" t="s">
        <v>74</v>
      </c>
      <c r="T753" t="s">
        <v>74</v>
      </c>
      <c r="U753" t="s">
        <v>14388</v>
      </c>
      <c r="V753" t="s">
        <v>14389</v>
      </c>
      <c r="W753" t="s">
        <v>14390</v>
      </c>
      <c r="X753" t="s">
        <v>14391</v>
      </c>
      <c r="Y753" t="s">
        <v>14392</v>
      </c>
      <c r="Z753" t="s">
        <v>14393</v>
      </c>
      <c r="AA753" t="s">
        <v>14394</v>
      </c>
      <c r="AB753" t="s">
        <v>14395</v>
      </c>
      <c r="AC753" t="s">
        <v>14396</v>
      </c>
      <c r="AD753" t="s">
        <v>14397</v>
      </c>
      <c r="AE753" t="s">
        <v>14398</v>
      </c>
      <c r="AF753" t="s">
        <v>74</v>
      </c>
      <c r="AG753">
        <v>102</v>
      </c>
      <c r="AH753">
        <v>0</v>
      </c>
      <c r="AI753">
        <v>0</v>
      </c>
      <c r="AJ753">
        <v>1</v>
      </c>
      <c r="AK753">
        <v>1</v>
      </c>
      <c r="AL753" t="s">
        <v>1838</v>
      </c>
      <c r="AM753" t="s">
        <v>1839</v>
      </c>
      <c r="AN753" t="s">
        <v>1840</v>
      </c>
      <c r="AO753" t="s">
        <v>1841</v>
      </c>
      <c r="AP753" t="s">
        <v>1842</v>
      </c>
      <c r="AQ753" t="s">
        <v>74</v>
      </c>
      <c r="AR753" t="s">
        <v>1843</v>
      </c>
      <c r="AS753" t="s">
        <v>1844</v>
      </c>
      <c r="AT753" t="s">
        <v>14399</v>
      </c>
      <c r="AU753">
        <v>2023</v>
      </c>
      <c r="AV753">
        <v>16</v>
      </c>
      <c r="AW753">
        <v>19</v>
      </c>
      <c r="AX753" t="s">
        <v>74</v>
      </c>
      <c r="AY753" t="s">
        <v>74</v>
      </c>
      <c r="AZ753" t="s">
        <v>74</v>
      </c>
      <c r="BA753" t="s">
        <v>74</v>
      </c>
      <c r="BB753">
        <v>5515</v>
      </c>
      <c r="BC753">
        <v>5538</v>
      </c>
      <c r="BD753" t="s">
        <v>74</v>
      </c>
      <c r="BE753" t="s">
        <v>14400</v>
      </c>
      <c r="BF753" t="str">
        <f>HYPERLINK("http://dx.doi.org/10.5194/gmd-16-5515-2023","http://dx.doi.org/10.5194/gmd-16-5515-2023")</f>
        <v>http://dx.doi.org/10.5194/gmd-16-5515-2023</v>
      </c>
      <c r="BG753" t="s">
        <v>74</v>
      </c>
      <c r="BH753" t="s">
        <v>74</v>
      </c>
      <c r="BI753">
        <v>24</v>
      </c>
      <c r="BJ753" t="s">
        <v>535</v>
      </c>
      <c r="BK753" t="s">
        <v>100</v>
      </c>
      <c r="BL753" t="s">
        <v>536</v>
      </c>
      <c r="BM753" t="s">
        <v>14401</v>
      </c>
      <c r="BN753" t="s">
        <v>74</v>
      </c>
      <c r="BO753" t="s">
        <v>349</v>
      </c>
      <c r="BP753" t="s">
        <v>74</v>
      </c>
      <c r="BQ753" t="s">
        <v>74</v>
      </c>
      <c r="BR753" t="s">
        <v>104</v>
      </c>
      <c r="BS753" t="s">
        <v>14402</v>
      </c>
      <c r="BT753" t="str">
        <f>HYPERLINK("https%3A%2F%2Fwww.webofscience.com%2Fwos%2Fwoscc%2Ffull-record%2FWOS:001162348600001","View Full Record in Web of Science")</f>
        <v>View Full Record in Web of Science</v>
      </c>
    </row>
    <row r="754" spans="1:72" x14ac:dyDescent="0.15">
      <c r="A754" t="s">
        <v>72</v>
      </c>
      <c r="B754" t="s">
        <v>14403</v>
      </c>
      <c r="C754" t="s">
        <v>74</v>
      </c>
      <c r="D754" t="s">
        <v>74</v>
      </c>
      <c r="E754" t="s">
        <v>74</v>
      </c>
      <c r="F754" t="s">
        <v>14404</v>
      </c>
      <c r="G754" t="s">
        <v>74</v>
      </c>
      <c r="H754" t="s">
        <v>74</v>
      </c>
      <c r="I754" t="s">
        <v>14405</v>
      </c>
      <c r="J754" t="s">
        <v>9964</v>
      </c>
      <c r="K754" t="s">
        <v>74</v>
      </c>
      <c r="L754" t="s">
        <v>74</v>
      </c>
      <c r="M754" t="s">
        <v>78</v>
      </c>
      <c r="N754" t="s">
        <v>79</v>
      </c>
      <c r="O754" t="s">
        <v>74</v>
      </c>
      <c r="P754" t="s">
        <v>74</v>
      </c>
      <c r="Q754" t="s">
        <v>74</v>
      </c>
      <c r="R754" t="s">
        <v>74</v>
      </c>
      <c r="S754" t="s">
        <v>74</v>
      </c>
      <c r="T754" t="s">
        <v>74</v>
      </c>
      <c r="U754" t="s">
        <v>14406</v>
      </c>
      <c r="V754" t="s">
        <v>14407</v>
      </c>
      <c r="W754" t="s">
        <v>14408</v>
      </c>
      <c r="X754" t="s">
        <v>14409</v>
      </c>
      <c r="Y754" t="s">
        <v>14410</v>
      </c>
      <c r="Z754" t="s">
        <v>14411</v>
      </c>
      <c r="AA754" t="s">
        <v>74</v>
      </c>
      <c r="AB754" t="s">
        <v>14412</v>
      </c>
      <c r="AC754" t="s">
        <v>14413</v>
      </c>
      <c r="AD754" t="s">
        <v>9017</v>
      </c>
      <c r="AE754" t="s">
        <v>14414</v>
      </c>
      <c r="AF754" t="s">
        <v>74</v>
      </c>
      <c r="AG754">
        <v>91</v>
      </c>
      <c r="AH754">
        <v>1</v>
      </c>
      <c r="AI754">
        <v>1</v>
      </c>
      <c r="AJ754">
        <v>3</v>
      </c>
      <c r="AK754">
        <v>3</v>
      </c>
      <c r="AL754" t="s">
        <v>1838</v>
      </c>
      <c r="AM754" t="s">
        <v>1839</v>
      </c>
      <c r="AN754" t="s">
        <v>1840</v>
      </c>
      <c r="AO754" t="s">
        <v>9976</v>
      </c>
      <c r="AP754" t="s">
        <v>9977</v>
      </c>
      <c r="AQ754" t="s">
        <v>74</v>
      </c>
      <c r="AR754" t="s">
        <v>9964</v>
      </c>
      <c r="AS754" t="s">
        <v>9978</v>
      </c>
      <c r="AT754" t="s">
        <v>14399</v>
      </c>
      <c r="AU754">
        <v>2023</v>
      </c>
      <c r="AV754">
        <v>20</v>
      </c>
      <c r="AW754">
        <v>19</v>
      </c>
      <c r="AX754" t="s">
        <v>74</v>
      </c>
      <c r="AY754" t="s">
        <v>74</v>
      </c>
      <c r="AZ754" t="s">
        <v>74</v>
      </c>
      <c r="BA754" t="s">
        <v>74</v>
      </c>
      <c r="BB754">
        <v>3997</v>
      </c>
      <c r="BC754">
        <v>4027</v>
      </c>
      <c r="BD754" t="s">
        <v>74</v>
      </c>
      <c r="BE754" t="s">
        <v>14415</v>
      </c>
      <c r="BF754" t="str">
        <f>HYPERLINK("http://dx.doi.org/10.5194/bg-20-3997-2023","http://dx.doi.org/10.5194/bg-20-3997-2023")</f>
        <v>http://dx.doi.org/10.5194/bg-20-3997-2023</v>
      </c>
      <c r="BG754" t="s">
        <v>74</v>
      </c>
      <c r="BH754" t="s">
        <v>74</v>
      </c>
      <c r="BI754">
        <v>31</v>
      </c>
      <c r="BJ754" t="s">
        <v>1949</v>
      </c>
      <c r="BK754" t="s">
        <v>100</v>
      </c>
      <c r="BL754" t="s">
        <v>1950</v>
      </c>
      <c r="BM754" t="s">
        <v>14416</v>
      </c>
      <c r="BN754" t="s">
        <v>74</v>
      </c>
      <c r="BO754" t="s">
        <v>183</v>
      </c>
      <c r="BP754" t="s">
        <v>74</v>
      </c>
      <c r="BQ754" t="s">
        <v>74</v>
      </c>
      <c r="BR754" t="s">
        <v>104</v>
      </c>
      <c r="BS754" t="s">
        <v>14417</v>
      </c>
      <c r="BT754" t="str">
        <f>HYPERLINK("https%3A%2F%2Fwww.webofscience.com%2Fwos%2Fwoscc%2Ffull-record%2FWOS:001162355600001","View Full Record in Web of Science")</f>
        <v>View Full Record in Web of Science</v>
      </c>
    </row>
    <row r="755" spans="1:72" x14ac:dyDescent="0.15">
      <c r="A755" t="s">
        <v>72</v>
      </c>
      <c r="B755" t="s">
        <v>14418</v>
      </c>
      <c r="C755" t="s">
        <v>74</v>
      </c>
      <c r="D755" t="s">
        <v>74</v>
      </c>
      <c r="E755" t="s">
        <v>74</v>
      </c>
      <c r="F755" t="s">
        <v>14419</v>
      </c>
      <c r="G755" t="s">
        <v>74</v>
      </c>
      <c r="H755" t="s">
        <v>74</v>
      </c>
      <c r="I755" t="s">
        <v>14420</v>
      </c>
      <c r="J755" t="s">
        <v>14421</v>
      </c>
      <c r="K755" t="s">
        <v>74</v>
      </c>
      <c r="L755" t="s">
        <v>74</v>
      </c>
      <c r="M755" t="s">
        <v>78</v>
      </c>
      <c r="N755" t="s">
        <v>79</v>
      </c>
      <c r="O755" t="s">
        <v>74</v>
      </c>
      <c r="P755" t="s">
        <v>74</v>
      </c>
      <c r="Q755" t="s">
        <v>74</v>
      </c>
      <c r="R755" t="s">
        <v>74</v>
      </c>
      <c r="S755" t="s">
        <v>74</v>
      </c>
      <c r="T755" t="s">
        <v>14422</v>
      </c>
      <c r="U755" t="s">
        <v>14423</v>
      </c>
      <c r="V755" t="s">
        <v>14424</v>
      </c>
      <c r="W755" t="s">
        <v>14425</v>
      </c>
      <c r="X755" t="s">
        <v>14426</v>
      </c>
      <c r="Y755" t="s">
        <v>14427</v>
      </c>
      <c r="Z755" t="s">
        <v>14428</v>
      </c>
      <c r="AA755" t="s">
        <v>74</v>
      </c>
      <c r="AB755" t="s">
        <v>74</v>
      </c>
      <c r="AC755" t="s">
        <v>14429</v>
      </c>
      <c r="AD755" t="s">
        <v>14430</v>
      </c>
      <c r="AE755" t="s">
        <v>14431</v>
      </c>
      <c r="AF755" t="s">
        <v>74</v>
      </c>
      <c r="AG755">
        <v>48</v>
      </c>
      <c r="AH755">
        <v>0</v>
      </c>
      <c r="AI755">
        <v>0</v>
      </c>
      <c r="AJ755">
        <v>3</v>
      </c>
      <c r="AK755">
        <v>3</v>
      </c>
      <c r="AL755" t="s">
        <v>14432</v>
      </c>
      <c r="AM755" t="s">
        <v>14433</v>
      </c>
      <c r="AN755" t="s">
        <v>14434</v>
      </c>
      <c r="AO755" t="s">
        <v>14435</v>
      </c>
      <c r="AP755" t="s">
        <v>14436</v>
      </c>
      <c r="AQ755" t="s">
        <v>74</v>
      </c>
      <c r="AR755" t="s">
        <v>14437</v>
      </c>
      <c r="AS755" t="s">
        <v>14438</v>
      </c>
      <c r="AT755" t="s">
        <v>10516</v>
      </c>
      <c r="AU755">
        <v>2023</v>
      </c>
      <c r="AV755">
        <v>385</v>
      </c>
      <c r="AW755" t="s">
        <v>74</v>
      </c>
      <c r="AX755" t="s">
        <v>74</v>
      </c>
      <c r="AY755" t="s">
        <v>74</v>
      </c>
      <c r="AZ755" t="s">
        <v>74</v>
      </c>
      <c r="BA755" t="s">
        <v>74</v>
      </c>
      <c r="BB755" t="s">
        <v>74</v>
      </c>
      <c r="BC755" t="s">
        <v>74</v>
      </c>
      <c r="BD755">
        <v>110718</v>
      </c>
      <c r="BE755" t="s">
        <v>14439</v>
      </c>
      <c r="BF755" t="str">
        <f>HYPERLINK("http://dx.doi.org/10.1016/j.cbi.2023.110718","http://dx.doi.org/10.1016/j.cbi.2023.110718")</f>
        <v>http://dx.doi.org/10.1016/j.cbi.2023.110718</v>
      </c>
      <c r="BG755" t="s">
        <v>74</v>
      </c>
      <c r="BH755" t="s">
        <v>11428</v>
      </c>
      <c r="BI755">
        <v>12</v>
      </c>
      <c r="BJ755" t="s">
        <v>14440</v>
      </c>
      <c r="BK755" t="s">
        <v>100</v>
      </c>
      <c r="BL755" t="s">
        <v>14440</v>
      </c>
      <c r="BM755" t="s">
        <v>14441</v>
      </c>
      <c r="BN755">
        <v>37777167</v>
      </c>
      <c r="BO755" t="s">
        <v>74</v>
      </c>
      <c r="BP755" t="s">
        <v>74</v>
      </c>
      <c r="BQ755" t="s">
        <v>74</v>
      </c>
      <c r="BR755" t="s">
        <v>104</v>
      </c>
      <c r="BS755" t="s">
        <v>14442</v>
      </c>
      <c r="BT755" t="str">
        <f>HYPERLINK("https%3A%2F%2Fwww.webofscience.com%2Fwos%2Fwoscc%2Ffull-record%2FWOS:001092075500001","View Full Record in Web of Science")</f>
        <v>View Full Record in Web of Science</v>
      </c>
    </row>
    <row r="756" spans="1:72" x14ac:dyDescent="0.15">
      <c r="A756" t="s">
        <v>72</v>
      </c>
      <c r="B756" t="s">
        <v>14443</v>
      </c>
      <c r="C756" t="s">
        <v>74</v>
      </c>
      <c r="D756" t="s">
        <v>74</v>
      </c>
      <c r="E756" t="s">
        <v>74</v>
      </c>
      <c r="F756" t="s">
        <v>14444</v>
      </c>
      <c r="G756" t="s">
        <v>74</v>
      </c>
      <c r="H756" t="s">
        <v>74</v>
      </c>
      <c r="I756" t="s">
        <v>14445</v>
      </c>
      <c r="J756" t="s">
        <v>4233</v>
      </c>
      <c r="K756" t="s">
        <v>74</v>
      </c>
      <c r="L756" t="s">
        <v>74</v>
      </c>
      <c r="M756" t="s">
        <v>78</v>
      </c>
      <c r="N756" t="s">
        <v>79</v>
      </c>
      <c r="O756" t="s">
        <v>74</v>
      </c>
      <c r="P756" t="s">
        <v>74</v>
      </c>
      <c r="Q756" t="s">
        <v>74</v>
      </c>
      <c r="R756" t="s">
        <v>74</v>
      </c>
      <c r="S756" t="s">
        <v>74</v>
      </c>
      <c r="T756" t="s">
        <v>14446</v>
      </c>
      <c r="U756" t="s">
        <v>14447</v>
      </c>
      <c r="V756" t="s">
        <v>14448</v>
      </c>
      <c r="W756" t="s">
        <v>14449</v>
      </c>
      <c r="X756" t="s">
        <v>14450</v>
      </c>
      <c r="Y756" t="s">
        <v>14451</v>
      </c>
      <c r="Z756" t="s">
        <v>7010</v>
      </c>
      <c r="AA756" t="s">
        <v>14452</v>
      </c>
      <c r="AB756" t="s">
        <v>14453</v>
      </c>
      <c r="AC756" t="s">
        <v>14454</v>
      </c>
      <c r="AD756" t="s">
        <v>14455</v>
      </c>
      <c r="AE756" t="s">
        <v>14456</v>
      </c>
      <c r="AF756" t="s">
        <v>74</v>
      </c>
      <c r="AG756">
        <v>55</v>
      </c>
      <c r="AH756">
        <v>0</v>
      </c>
      <c r="AI756">
        <v>0</v>
      </c>
      <c r="AJ756">
        <v>9</v>
      </c>
      <c r="AK756">
        <v>9</v>
      </c>
      <c r="AL756" t="s">
        <v>975</v>
      </c>
      <c r="AM756" t="s">
        <v>976</v>
      </c>
      <c r="AN756" t="s">
        <v>977</v>
      </c>
      <c r="AO756" t="s">
        <v>4246</v>
      </c>
      <c r="AP756" t="s">
        <v>4247</v>
      </c>
      <c r="AQ756" t="s">
        <v>74</v>
      </c>
      <c r="AR756" t="s">
        <v>4248</v>
      </c>
      <c r="AS756" t="s">
        <v>4249</v>
      </c>
      <c r="AT756" t="s">
        <v>9002</v>
      </c>
      <c r="AU756">
        <v>2023</v>
      </c>
      <c r="AV756">
        <v>361</v>
      </c>
      <c r="AW756" t="s">
        <v>74</v>
      </c>
      <c r="AX756" t="s">
        <v>74</v>
      </c>
      <c r="AY756" t="s">
        <v>74</v>
      </c>
      <c r="AZ756" t="s">
        <v>74</v>
      </c>
      <c r="BA756" t="s">
        <v>74</v>
      </c>
      <c r="BB756">
        <v>1</v>
      </c>
      <c r="BC756">
        <v>9</v>
      </c>
      <c r="BD756" t="s">
        <v>74</v>
      </c>
      <c r="BE756" t="s">
        <v>14457</v>
      </c>
      <c r="BF756" t="str">
        <f>HYPERLINK("http://dx.doi.org/10.1016/j.gca.2023.09.020","http://dx.doi.org/10.1016/j.gca.2023.09.020")</f>
        <v>http://dx.doi.org/10.1016/j.gca.2023.09.020</v>
      </c>
      <c r="BG756" t="s">
        <v>74</v>
      </c>
      <c r="BH756" t="s">
        <v>11428</v>
      </c>
      <c r="BI756">
        <v>9</v>
      </c>
      <c r="BJ756" t="s">
        <v>4252</v>
      </c>
      <c r="BK756" t="s">
        <v>100</v>
      </c>
      <c r="BL756" t="s">
        <v>4252</v>
      </c>
      <c r="BM756" t="s">
        <v>14458</v>
      </c>
      <c r="BN756" t="s">
        <v>74</v>
      </c>
      <c r="BO756" t="s">
        <v>74</v>
      </c>
      <c r="BP756" t="s">
        <v>74</v>
      </c>
      <c r="BQ756" t="s">
        <v>74</v>
      </c>
      <c r="BR756" t="s">
        <v>104</v>
      </c>
      <c r="BS756" t="s">
        <v>14459</v>
      </c>
      <c r="BT756" t="str">
        <f>HYPERLINK("https%3A%2F%2Fwww.webofscience.com%2Fwos%2Fwoscc%2Ffull-record%2FWOS:001091352800001","View Full Record in Web of Science")</f>
        <v>View Full Record in Web of Science</v>
      </c>
    </row>
    <row r="757" spans="1:72" x14ac:dyDescent="0.15">
      <c r="A757" t="s">
        <v>72</v>
      </c>
      <c r="B757" t="s">
        <v>14460</v>
      </c>
      <c r="C757" t="s">
        <v>74</v>
      </c>
      <c r="D757" t="s">
        <v>74</v>
      </c>
      <c r="E757" t="s">
        <v>74</v>
      </c>
      <c r="F757" t="s">
        <v>14461</v>
      </c>
      <c r="G757" t="s">
        <v>74</v>
      </c>
      <c r="H757" t="s">
        <v>74</v>
      </c>
      <c r="I757" t="s">
        <v>14462</v>
      </c>
      <c r="J757" t="s">
        <v>3000</v>
      </c>
      <c r="K757" t="s">
        <v>74</v>
      </c>
      <c r="L757" t="s">
        <v>74</v>
      </c>
      <c r="M757" t="s">
        <v>78</v>
      </c>
      <c r="N757" t="s">
        <v>79</v>
      </c>
      <c r="O757" t="s">
        <v>74</v>
      </c>
      <c r="P757" t="s">
        <v>74</v>
      </c>
      <c r="Q757" t="s">
        <v>74</v>
      </c>
      <c r="R757" t="s">
        <v>74</v>
      </c>
      <c r="S757" t="s">
        <v>74</v>
      </c>
      <c r="T757" t="s">
        <v>14463</v>
      </c>
      <c r="U757" t="s">
        <v>14464</v>
      </c>
      <c r="V757" t="s">
        <v>14465</v>
      </c>
      <c r="W757" t="s">
        <v>14466</v>
      </c>
      <c r="X757" t="s">
        <v>14467</v>
      </c>
      <c r="Y757" t="s">
        <v>14468</v>
      </c>
      <c r="Z757" t="s">
        <v>14469</v>
      </c>
      <c r="AA757" t="s">
        <v>14470</v>
      </c>
      <c r="AB757" t="s">
        <v>14471</v>
      </c>
      <c r="AC757" t="s">
        <v>14472</v>
      </c>
      <c r="AD757" t="s">
        <v>14473</v>
      </c>
      <c r="AE757" t="s">
        <v>14474</v>
      </c>
      <c r="AF757" t="s">
        <v>74</v>
      </c>
      <c r="AG757">
        <v>76</v>
      </c>
      <c r="AH757">
        <v>0</v>
      </c>
      <c r="AI757">
        <v>0</v>
      </c>
      <c r="AJ757">
        <v>32</v>
      </c>
      <c r="AK757">
        <v>35</v>
      </c>
      <c r="AL757" t="s">
        <v>3013</v>
      </c>
      <c r="AM757" t="s">
        <v>3014</v>
      </c>
      <c r="AN757" t="s">
        <v>3015</v>
      </c>
      <c r="AO757" t="s">
        <v>3016</v>
      </c>
      <c r="AP757" t="s">
        <v>3017</v>
      </c>
      <c r="AQ757" t="s">
        <v>74</v>
      </c>
      <c r="AR757" t="s">
        <v>3018</v>
      </c>
      <c r="AS757" t="s">
        <v>3019</v>
      </c>
      <c r="AT757" t="s">
        <v>5341</v>
      </c>
      <c r="AU757">
        <v>2023</v>
      </c>
      <c r="AV757">
        <v>238</v>
      </c>
      <c r="AW757" t="s">
        <v>74</v>
      </c>
      <c r="AX757">
        <v>2</v>
      </c>
      <c r="AY757" t="s">
        <v>74</v>
      </c>
      <c r="AZ757" t="s">
        <v>74</v>
      </c>
      <c r="BA757" t="s">
        <v>74</v>
      </c>
      <c r="BB757" t="s">
        <v>74</v>
      </c>
      <c r="BC757" t="s">
        <v>74</v>
      </c>
      <c r="BD757">
        <v>117197</v>
      </c>
      <c r="BE757" t="s">
        <v>14475</v>
      </c>
      <c r="BF757" t="str">
        <f>HYPERLINK("http://dx.doi.org/10.1016/j.envres.2023.117197","http://dx.doi.org/10.1016/j.envres.2023.117197")</f>
        <v>http://dx.doi.org/10.1016/j.envres.2023.117197</v>
      </c>
      <c r="BG757" t="s">
        <v>74</v>
      </c>
      <c r="BH757" t="s">
        <v>11428</v>
      </c>
      <c r="BI757">
        <v>14</v>
      </c>
      <c r="BJ757" t="s">
        <v>3021</v>
      </c>
      <c r="BK757" t="s">
        <v>100</v>
      </c>
      <c r="BL757" t="s">
        <v>3022</v>
      </c>
      <c r="BM757" t="s">
        <v>14476</v>
      </c>
      <c r="BN757">
        <v>37783325</v>
      </c>
      <c r="BO757" t="s">
        <v>103</v>
      </c>
      <c r="BP757" t="s">
        <v>74</v>
      </c>
      <c r="BQ757" t="s">
        <v>74</v>
      </c>
      <c r="BR757" t="s">
        <v>104</v>
      </c>
      <c r="BS757" t="s">
        <v>14477</v>
      </c>
      <c r="BT757" t="str">
        <f>HYPERLINK("https%3A%2F%2Fwww.webofscience.com%2Fwos%2Fwoscc%2Ffull-record%2FWOS:001086855900001","View Full Record in Web of Science")</f>
        <v>View Full Record in Web of Science</v>
      </c>
    </row>
    <row r="758" spans="1:72" x14ac:dyDescent="0.15">
      <c r="A758" t="s">
        <v>72</v>
      </c>
      <c r="B758" t="s">
        <v>14478</v>
      </c>
      <c r="C758" t="s">
        <v>74</v>
      </c>
      <c r="D758" t="s">
        <v>74</v>
      </c>
      <c r="E758" t="s">
        <v>74</v>
      </c>
      <c r="F758" t="s">
        <v>14479</v>
      </c>
      <c r="G758" t="s">
        <v>74</v>
      </c>
      <c r="H758" t="s">
        <v>74</v>
      </c>
      <c r="I758" t="s">
        <v>14480</v>
      </c>
      <c r="J758" t="s">
        <v>14481</v>
      </c>
      <c r="K758" t="s">
        <v>74</v>
      </c>
      <c r="L758" t="s">
        <v>74</v>
      </c>
      <c r="M758" t="s">
        <v>78</v>
      </c>
      <c r="N758" t="s">
        <v>79</v>
      </c>
      <c r="O758" t="s">
        <v>74</v>
      </c>
      <c r="P758" t="s">
        <v>74</v>
      </c>
      <c r="Q758" t="s">
        <v>74</v>
      </c>
      <c r="R758" t="s">
        <v>74</v>
      </c>
      <c r="S758" t="s">
        <v>74</v>
      </c>
      <c r="T758" t="s">
        <v>14482</v>
      </c>
      <c r="U758" t="s">
        <v>14483</v>
      </c>
      <c r="V758" t="s">
        <v>14484</v>
      </c>
      <c r="W758" t="s">
        <v>14485</v>
      </c>
      <c r="X758" t="s">
        <v>14486</v>
      </c>
      <c r="Y758" t="s">
        <v>14487</v>
      </c>
      <c r="Z758" t="s">
        <v>14488</v>
      </c>
      <c r="AA758" t="s">
        <v>74</v>
      </c>
      <c r="AB758" t="s">
        <v>8588</v>
      </c>
      <c r="AC758" t="s">
        <v>14489</v>
      </c>
      <c r="AD758" t="s">
        <v>14490</v>
      </c>
      <c r="AE758" t="s">
        <v>14491</v>
      </c>
      <c r="AF758" t="s">
        <v>74</v>
      </c>
      <c r="AG758">
        <v>21</v>
      </c>
      <c r="AH758">
        <v>0</v>
      </c>
      <c r="AI758">
        <v>0</v>
      </c>
      <c r="AJ758">
        <v>5</v>
      </c>
      <c r="AK758">
        <v>5</v>
      </c>
      <c r="AL758" t="s">
        <v>1075</v>
      </c>
      <c r="AM758" t="s">
        <v>2949</v>
      </c>
      <c r="AN758" t="s">
        <v>2950</v>
      </c>
      <c r="AO758" t="s">
        <v>14492</v>
      </c>
      <c r="AP758" t="s">
        <v>14493</v>
      </c>
      <c r="AQ758" t="s">
        <v>74</v>
      </c>
      <c r="AR758" t="s">
        <v>14494</v>
      </c>
      <c r="AS758" t="s">
        <v>14495</v>
      </c>
      <c r="AT758" t="s">
        <v>1947</v>
      </c>
      <c r="AU758">
        <v>2023</v>
      </c>
      <c r="AV758">
        <v>15</v>
      </c>
      <c r="AW758">
        <v>4</v>
      </c>
      <c r="AX758" t="s">
        <v>74</v>
      </c>
      <c r="AY758" t="s">
        <v>74</v>
      </c>
      <c r="AZ758" t="s">
        <v>74</v>
      </c>
      <c r="BA758" t="s">
        <v>74</v>
      </c>
      <c r="BB758">
        <v>205</v>
      </c>
      <c r="BC758">
        <v>213</v>
      </c>
      <c r="BD758" t="s">
        <v>74</v>
      </c>
      <c r="BE758" t="s">
        <v>14496</v>
      </c>
      <c r="BF758" t="str">
        <f>HYPERLINK("http://dx.doi.org/10.1007/s12686-023-01318-2","http://dx.doi.org/10.1007/s12686-023-01318-2")</f>
        <v>http://dx.doi.org/10.1007/s12686-023-01318-2</v>
      </c>
      <c r="BG758" t="s">
        <v>74</v>
      </c>
      <c r="BH758" t="s">
        <v>11428</v>
      </c>
      <c r="BI758">
        <v>9</v>
      </c>
      <c r="BJ758" t="s">
        <v>14497</v>
      </c>
      <c r="BK758" t="s">
        <v>100</v>
      </c>
      <c r="BL758" t="s">
        <v>14498</v>
      </c>
      <c r="BM758" t="s">
        <v>14499</v>
      </c>
      <c r="BN758" t="s">
        <v>74</v>
      </c>
      <c r="BO758" t="s">
        <v>322</v>
      </c>
      <c r="BP758" t="s">
        <v>74</v>
      </c>
      <c r="BQ758" t="s">
        <v>74</v>
      </c>
      <c r="BR758" t="s">
        <v>104</v>
      </c>
      <c r="BS758" t="s">
        <v>14500</v>
      </c>
      <c r="BT758" t="str">
        <f>HYPERLINK("https%3A%2F%2Fwww.webofscience.com%2Fwos%2Fwoscc%2Ffull-record%2FWOS:001081696000001","View Full Record in Web of Science")</f>
        <v>View Full Record in Web of Science</v>
      </c>
    </row>
    <row r="759" spans="1:72" x14ac:dyDescent="0.15">
      <c r="A759" t="s">
        <v>72</v>
      </c>
      <c r="B759" t="s">
        <v>14501</v>
      </c>
      <c r="C759" t="s">
        <v>74</v>
      </c>
      <c r="D759" t="s">
        <v>74</v>
      </c>
      <c r="E759" t="s">
        <v>74</v>
      </c>
      <c r="F759" t="s">
        <v>14502</v>
      </c>
      <c r="G759" t="s">
        <v>74</v>
      </c>
      <c r="H759" t="s">
        <v>74</v>
      </c>
      <c r="I759" t="s">
        <v>14503</v>
      </c>
      <c r="J759" t="s">
        <v>14504</v>
      </c>
      <c r="K759" t="s">
        <v>74</v>
      </c>
      <c r="L759" t="s">
        <v>74</v>
      </c>
      <c r="M759" t="s">
        <v>78</v>
      </c>
      <c r="N759" t="s">
        <v>441</v>
      </c>
      <c r="O759" t="s">
        <v>74</v>
      </c>
      <c r="P759" t="s">
        <v>74</v>
      </c>
      <c r="Q759" t="s">
        <v>74</v>
      </c>
      <c r="R759" t="s">
        <v>74</v>
      </c>
      <c r="S759" t="s">
        <v>74</v>
      </c>
      <c r="T759" t="s">
        <v>14505</v>
      </c>
      <c r="U759" t="s">
        <v>14506</v>
      </c>
      <c r="V759" t="s">
        <v>14507</v>
      </c>
      <c r="W759" t="s">
        <v>14508</v>
      </c>
      <c r="X759" t="s">
        <v>14509</v>
      </c>
      <c r="Y759" t="s">
        <v>14510</v>
      </c>
      <c r="Z759" t="s">
        <v>14511</v>
      </c>
      <c r="AA759" t="s">
        <v>74</v>
      </c>
      <c r="AB759" t="s">
        <v>14512</v>
      </c>
      <c r="AC759" t="s">
        <v>14513</v>
      </c>
      <c r="AD759" t="s">
        <v>14514</v>
      </c>
      <c r="AE759" t="s">
        <v>14515</v>
      </c>
      <c r="AF759" t="s">
        <v>74</v>
      </c>
      <c r="AG759">
        <v>170</v>
      </c>
      <c r="AH759">
        <v>1</v>
      </c>
      <c r="AI759">
        <v>1</v>
      </c>
      <c r="AJ759">
        <v>7</v>
      </c>
      <c r="AK759">
        <v>8</v>
      </c>
      <c r="AL759" t="s">
        <v>1101</v>
      </c>
      <c r="AM759" t="s">
        <v>1102</v>
      </c>
      <c r="AN759" t="s">
        <v>1103</v>
      </c>
      <c r="AO759" t="s">
        <v>14516</v>
      </c>
      <c r="AP759" t="s">
        <v>14517</v>
      </c>
      <c r="AQ759" t="s">
        <v>74</v>
      </c>
      <c r="AR759" t="s">
        <v>14518</v>
      </c>
      <c r="AS759" t="s">
        <v>14519</v>
      </c>
      <c r="AT759" t="s">
        <v>954</v>
      </c>
      <c r="AU759">
        <v>2024</v>
      </c>
      <c r="AV759">
        <v>54</v>
      </c>
      <c r="AW759">
        <v>1</v>
      </c>
      <c r="AX759" t="s">
        <v>74</v>
      </c>
      <c r="AY759" t="s">
        <v>74</v>
      </c>
      <c r="AZ759" t="s">
        <v>74</v>
      </c>
      <c r="BA759" t="s">
        <v>74</v>
      </c>
      <c r="BB759">
        <v>30</v>
      </c>
      <c r="BC759">
        <v>46</v>
      </c>
      <c r="BD759" t="s">
        <v>74</v>
      </c>
      <c r="BE759" t="s">
        <v>14520</v>
      </c>
      <c r="BF759" t="str">
        <f>HYPERLINK("http://dx.doi.org/10.1111/mam.12327","http://dx.doi.org/10.1111/mam.12327")</f>
        <v>http://dx.doi.org/10.1111/mam.12327</v>
      </c>
      <c r="BG759" t="s">
        <v>74</v>
      </c>
      <c r="BH759" t="s">
        <v>11428</v>
      </c>
      <c r="BI759">
        <v>17</v>
      </c>
      <c r="BJ759" t="s">
        <v>14521</v>
      </c>
      <c r="BK759" t="s">
        <v>100</v>
      </c>
      <c r="BL759" t="s">
        <v>14522</v>
      </c>
      <c r="BM759" t="s">
        <v>14523</v>
      </c>
      <c r="BN759" t="s">
        <v>74</v>
      </c>
      <c r="BO759" t="s">
        <v>103</v>
      </c>
      <c r="BP759" t="s">
        <v>74</v>
      </c>
      <c r="BQ759" t="s">
        <v>74</v>
      </c>
      <c r="BR759" t="s">
        <v>104</v>
      </c>
      <c r="BS759" t="s">
        <v>14524</v>
      </c>
      <c r="BT759" t="str">
        <f>HYPERLINK("https%3A%2F%2Fwww.webofscience.com%2Fwos%2Fwoscc%2Ffull-record%2FWOS:001077282000001","View Full Record in Web of Science")</f>
        <v>View Full Record in Web of Science</v>
      </c>
    </row>
    <row r="760" spans="1:72" x14ac:dyDescent="0.15">
      <c r="A760" t="s">
        <v>72</v>
      </c>
      <c r="B760" t="s">
        <v>14525</v>
      </c>
      <c r="C760" t="s">
        <v>74</v>
      </c>
      <c r="D760" t="s">
        <v>74</v>
      </c>
      <c r="E760" t="s">
        <v>74</v>
      </c>
      <c r="F760" t="s">
        <v>14526</v>
      </c>
      <c r="G760" t="s">
        <v>74</v>
      </c>
      <c r="H760" t="s">
        <v>74</v>
      </c>
      <c r="I760" t="s">
        <v>14527</v>
      </c>
      <c r="J760" t="s">
        <v>7216</v>
      </c>
      <c r="K760" t="s">
        <v>74</v>
      </c>
      <c r="L760" t="s">
        <v>74</v>
      </c>
      <c r="M760" t="s">
        <v>78</v>
      </c>
      <c r="N760" t="s">
        <v>79</v>
      </c>
      <c r="O760" t="s">
        <v>74</v>
      </c>
      <c r="P760" t="s">
        <v>74</v>
      </c>
      <c r="Q760" t="s">
        <v>74</v>
      </c>
      <c r="R760" t="s">
        <v>74</v>
      </c>
      <c r="S760" t="s">
        <v>74</v>
      </c>
      <c r="T760" t="s">
        <v>14528</v>
      </c>
      <c r="U760" t="s">
        <v>14529</v>
      </c>
      <c r="V760" t="s">
        <v>14530</v>
      </c>
      <c r="W760" t="s">
        <v>14531</v>
      </c>
      <c r="X760" t="s">
        <v>14532</v>
      </c>
      <c r="Y760" t="s">
        <v>14533</v>
      </c>
      <c r="Z760" t="s">
        <v>14534</v>
      </c>
      <c r="AA760" t="s">
        <v>14535</v>
      </c>
      <c r="AB760" t="s">
        <v>74</v>
      </c>
      <c r="AC760" t="s">
        <v>14536</v>
      </c>
      <c r="AD760" t="s">
        <v>14537</v>
      </c>
      <c r="AE760" t="s">
        <v>14538</v>
      </c>
      <c r="AF760" t="s">
        <v>74</v>
      </c>
      <c r="AG760">
        <v>195</v>
      </c>
      <c r="AH760">
        <v>2</v>
      </c>
      <c r="AI760">
        <v>2</v>
      </c>
      <c r="AJ760">
        <v>0</v>
      </c>
      <c r="AK760">
        <v>0</v>
      </c>
      <c r="AL760" t="s">
        <v>7225</v>
      </c>
      <c r="AM760" t="s">
        <v>2294</v>
      </c>
      <c r="AN760" t="s">
        <v>7226</v>
      </c>
      <c r="AO760" t="s">
        <v>7227</v>
      </c>
      <c r="AP760" t="s">
        <v>74</v>
      </c>
      <c r="AQ760" t="s">
        <v>74</v>
      </c>
      <c r="AR760" t="s">
        <v>7216</v>
      </c>
      <c r="AS760" t="s">
        <v>7228</v>
      </c>
      <c r="AT760" t="s">
        <v>14539</v>
      </c>
      <c r="AU760">
        <v>2023</v>
      </c>
      <c r="AV760">
        <v>11</v>
      </c>
      <c r="AW760" t="s">
        <v>74</v>
      </c>
      <c r="AX760" t="s">
        <v>74</v>
      </c>
      <c r="AY760" t="s">
        <v>74</v>
      </c>
      <c r="AZ760" t="s">
        <v>74</v>
      </c>
      <c r="BA760" t="s">
        <v>74</v>
      </c>
      <c r="BB760" t="s">
        <v>74</v>
      </c>
      <c r="BC760" t="s">
        <v>74</v>
      </c>
      <c r="BD760" t="s">
        <v>14540</v>
      </c>
      <c r="BE760" t="s">
        <v>14541</v>
      </c>
      <c r="BF760" t="str">
        <f>HYPERLINK("http://dx.doi.org/10.7717/peerj.15978","http://dx.doi.org/10.7717/peerj.15978")</f>
        <v>http://dx.doi.org/10.7717/peerj.15978</v>
      </c>
      <c r="BG760" t="s">
        <v>74</v>
      </c>
      <c r="BH760" t="s">
        <v>74</v>
      </c>
      <c r="BI760">
        <v>44</v>
      </c>
      <c r="BJ760" t="s">
        <v>1035</v>
      </c>
      <c r="BK760" t="s">
        <v>100</v>
      </c>
      <c r="BL760" t="s">
        <v>1036</v>
      </c>
      <c r="BM760" t="s">
        <v>14542</v>
      </c>
      <c r="BN760">
        <v>37810788</v>
      </c>
      <c r="BO760" t="s">
        <v>200</v>
      </c>
      <c r="BP760" t="s">
        <v>74</v>
      </c>
      <c r="BQ760" t="s">
        <v>74</v>
      </c>
      <c r="BR760" t="s">
        <v>104</v>
      </c>
      <c r="BS760" t="s">
        <v>14543</v>
      </c>
      <c r="BT760" t="str">
        <f>HYPERLINK("https%3A%2F%2Fwww.webofscience.com%2Fwos%2Fwoscc%2Ffull-record%2FWOS:001116961300004","View Full Record in Web of Science")</f>
        <v>View Full Record in Web of Science</v>
      </c>
    </row>
    <row r="761" spans="1:72" x14ac:dyDescent="0.15">
      <c r="A761" t="s">
        <v>72</v>
      </c>
      <c r="B761" t="s">
        <v>14544</v>
      </c>
      <c r="C761" t="s">
        <v>74</v>
      </c>
      <c r="D761" t="s">
        <v>74</v>
      </c>
      <c r="E761" t="s">
        <v>74</v>
      </c>
      <c r="F761" t="s">
        <v>14545</v>
      </c>
      <c r="G761" t="s">
        <v>74</v>
      </c>
      <c r="H761" t="s">
        <v>74</v>
      </c>
      <c r="I761" t="s">
        <v>14546</v>
      </c>
      <c r="J761" t="s">
        <v>991</v>
      </c>
      <c r="K761" t="s">
        <v>74</v>
      </c>
      <c r="L761" t="s">
        <v>74</v>
      </c>
      <c r="M761" t="s">
        <v>78</v>
      </c>
      <c r="N761" t="s">
        <v>79</v>
      </c>
      <c r="O761" t="s">
        <v>74</v>
      </c>
      <c r="P761" t="s">
        <v>74</v>
      </c>
      <c r="Q761" t="s">
        <v>74</v>
      </c>
      <c r="R761" t="s">
        <v>74</v>
      </c>
      <c r="S761" t="s">
        <v>74</v>
      </c>
      <c r="T761" t="s">
        <v>14547</v>
      </c>
      <c r="U761" t="s">
        <v>14548</v>
      </c>
      <c r="V761" t="s">
        <v>14549</v>
      </c>
      <c r="W761" t="s">
        <v>14550</v>
      </c>
      <c r="X761" t="s">
        <v>14551</v>
      </c>
      <c r="Y761" t="s">
        <v>14552</v>
      </c>
      <c r="Z761" t="s">
        <v>14553</v>
      </c>
      <c r="AA761" t="s">
        <v>74</v>
      </c>
      <c r="AB761" t="s">
        <v>74</v>
      </c>
      <c r="AC761" t="s">
        <v>74</v>
      </c>
      <c r="AD761" t="s">
        <v>74</v>
      </c>
      <c r="AE761" t="s">
        <v>74</v>
      </c>
      <c r="AF761" t="s">
        <v>74</v>
      </c>
      <c r="AG761">
        <v>50</v>
      </c>
      <c r="AH761">
        <v>7</v>
      </c>
      <c r="AI761">
        <v>7</v>
      </c>
      <c r="AJ761">
        <v>8</v>
      </c>
      <c r="AK761">
        <v>9</v>
      </c>
      <c r="AL761" t="s">
        <v>947</v>
      </c>
      <c r="AM761" t="s">
        <v>948</v>
      </c>
      <c r="AN761" t="s">
        <v>949</v>
      </c>
      <c r="AO761" t="s">
        <v>1004</v>
      </c>
      <c r="AP761" t="s">
        <v>1005</v>
      </c>
      <c r="AQ761" t="s">
        <v>74</v>
      </c>
      <c r="AR761" t="s">
        <v>1006</v>
      </c>
      <c r="AS761" t="s">
        <v>1007</v>
      </c>
      <c r="AT761" t="s">
        <v>3263</v>
      </c>
      <c r="AU761">
        <v>2023</v>
      </c>
      <c r="AV761">
        <v>904</v>
      </c>
      <c r="AW761" t="s">
        <v>74</v>
      </c>
      <c r="AX761" t="s">
        <v>74</v>
      </c>
      <c r="AY761" t="s">
        <v>74</v>
      </c>
      <c r="AZ761" t="s">
        <v>74</v>
      </c>
      <c r="BA761" t="s">
        <v>74</v>
      </c>
      <c r="BB761" t="s">
        <v>74</v>
      </c>
      <c r="BC761" t="s">
        <v>74</v>
      </c>
      <c r="BD761">
        <v>167244</v>
      </c>
      <c r="BE761" t="s">
        <v>14554</v>
      </c>
      <c r="BF761" t="str">
        <f>HYPERLINK("http://dx.doi.org/10.1016/j.scitotenv.2023.167244","http://dx.doi.org/10.1016/j.scitotenv.2023.167244")</f>
        <v>http://dx.doi.org/10.1016/j.scitotenv.2023.167244</v>
      </c>
      <c r="BG761" t="s">
        <v>74</v>
      </c>
      <c r="BH761" t="s">
        <v>11428</v>
      </c>
      <c r="BI761">
        <v>9</v>
      </c>
      <c r="BJ761" t="s">
        <v>1010</v>
      </c>
      <c r="BK761" t="s">
        <v>100</v>
      </c>
      <c r="BL761" t="s">
        <v>1011</v>
      </c>
      <c r="BM761" t="s">
        <v>14555</v>
      </c>
      <c r="BN761">
        <v>37758135</v>
      </c>
      <c r="BO761" t="s">
        <v>103</v>
      </c>
      <c r="BP761" t="s">
        <v>74</v>
      </c>
      <c r="BQ761" t="s">
        <v>74</v>
      </c>
      <c r="BR761" t="s">
        <v>104</v>
      </c>
      <c r="BS761" t="s">
        <v>14556</v>
      </c>
      <c r="BT761" t="str">
        <f>HYPERLINK("https%3A%2F%2Fwww.webofscience.com%2Fwos%2Fwoscc%2Ffull-record%2FWOS:001159440000001","View Full Record in Web of Science")</f>
        <v>View Full Record in Web of Science</v>
      </c>
    </row>
    <row r="762" spans="1:72" x14ac:dyDescent="0.15">
      <c r="A762" t="s">
        <v>72</v>
      </c>
      <c r="B762" t="s">
        <v>14557</v>
      </c>
      <c r="C762" t="s">
        <v>74</v>
      </c>
      <c r="D762" t="s">
        <v>74</v>
      </c>
      <c r="E762" t="s">
        <v>74</v>
      </c>
      <c r="F762" t="s">
        <v>14558</v>
      </c>
      <c r="G762" t="s">
        <v>74</v>
      </c>
      <c r="H762" t="s">
        <v>74</v>
      </c>
      <c r="I762" t="s">
        <v>14559</v>
      </c>
      <c r="J762" t="s">
        <v>1956</v>
      </c>
      <c r="K762" t="s">
        <v>74</v>
      </c>
      <c r="L762" t="s">
        <v>74</v>
      </c>
      <c r="M762" t="s">
        <v>78</v>
      </c>
      <c r="N762" t="s">
        <v>79</v>
      </c>
      <c r="O762" t="s">
        <v>74</v>
      </c>
      <c r="P762" t="s">
        <v>74</v>
      </c>
      <c r="Q762" t="s">
        <v>74</v>
      </c>
      <c r="R762" t="s">
        <v>74</v>
      </c>
      <c r="S762" t="s">
        <v>74</v>
      </c>
      <c r="T762" t="s">
        <v>14560</v>
      </c>
      <c r="U762" t="s">
        <v>14561</v>
      </c>
      <c r="V762" t="s">
        <v>14562</v>
      </c>
      <c r="W762" t="s">
        <v>14563</v>
      </c>
      <c r="X762" t="s">
        <v>14564</v>
      </c>
      <c r="Y762" t="s">
        <v>14565</v>
      </c>
      <c r="Z762" t="s">
        <v>14566</v>
      </c>
      <c r="AA762" t="s">
        <v>14567</v>
      </c>
      <c r="AB762" t="s">
        <v>14568</v>
      </c>
      <c r="AC762" t="s">
        <v>14569</v>
      </c>
      <c r="AD762" t="s">
        <v>14570</v>
      </c>
      <c r="AE762" t="s">
        <v>14571</v>
      </c>
      <c r="AF762" t="s">
        <v>74</v>
      </c>
      <c r="AG762">
        <v>73</v>
      </c>
      <c r="AH762">
        <v>0</v>
      </c>
      <c r="AI762">
        <v>0</v>
      </c>
      <c r="AJ762">
        <v>32</v>
      </c>
      <c r="AK762">
        <v>35</v>
      </c>
      <c r="AL762" t="s">
        <v>89</v>
      </c>
      <c r="AM762" t="s">
        <v>90</v>
      </c>
      <c r="AN762" t="s">
        <v>91</v>
      </c>
      <c r="AO762" t="s">
        <v>1969</v>
      </c>
      <c r="AP762" t="s">
        <v>1970</v>
      </c>
      <c r="AQ762" t="s">
        <v>74</v>
      </c>
      <c r="AR762" t="s">
        <v>1971</v>
      </c>
      <c r="AS762" t="s">
        <v>1972</v>
      </c>
      <c r="AT762" t="s">
        <v>5341</v>
      </c>
      <c r="AU762">
        <v>2023</v>
      </c>
      <c r="AV762">
        <v>338</v>
      </c>
      <c r="AW762" t="s">
        <v>74</v>
      </c>
      <c r="AX762" t="s">
        <v>74</v>
      </c>
      <c r="AY762" t="s">
        <v>74</v>
      </c>
      <c r="AZ762" t="s">
        <v>74</v>
      </c>
      <c r="BA762" t="s">
        <v>74</v>
      </c>
      <c r="BB762" t="s">
        <v>74</v>
      </c>
      <c r="BC762" t="s">
        <v>74</v>
      </c>
      <c r="BD762">
        <v>122608</v>
      </c>
      <c r="BE762" t="s">
        <v>14572</v>
      </c>
      <c r="BF762" t="str">
        <f>HYPERLINK("http://dx.doi.org/10.1016/j.envpol.2023.122608","http://dx.doi.org/10.1016/j.envpol.2023.122608")</f>
        <v>http://dx.doi.org/10.1016/j.envpol.2023.122608</v>
      </c>
      <c r="BG762" t="s">
        <v>74</v>
      </c>
      <c r="BH762" t="s">
        <v>11428</v>
      </c>
      <c r="BI762">
        <v>11</v>
      </c>
      <c r="BJ762" t="s">
        <v>1010</v>
      </c>
      <c r="BK762" t="s">
        <v>100</v>
      </c>
      <c r="BL762" t="s">
        <v>1011</v>
      </c>
      <c r="BM762" t="s">
        <v>14573</v>
      </c>
      <c r="BN762">
        <v>37742857</v>
      </c>
      <c r="BO762" t="s">
        <v>74</v>
      </c>
      <c r="BP762" t="s">
        <v>74</v>
      </c>
      <c r="BQ762" t="s">
        <v>74</v>
      </c>
      <c r="BR762" t="s">
        <v>104</v>
      </c>
      <c r="BS762" t="s">
        <v>14574</v>
      </c>
      <c r="BT762" t="str">
        <f>HYPERLINK("https%3A%2F%2Fwww.webofscience.com%2Fwos%2Fwoscc%2Ffull-record%2FWOS:001154194800001","View Full Record in Web of Science")</f>
        <v>View Full Record in Web of Science</v>
      </c>
    </row>
    <row r="763" spans="1:72" x14ac:dyDescent="0.15">
      <c r="A763" t="s">
        <v>72</v>
      </c>
      <c r="B763" t="s">
        <v>14575</v>
      </c>
      <c r="C763" t="s">
        <v>74</v>
      </c>
      <c r="D763" t="s">
        <v>74</v>
      </c>
      <c r="E763" t="s">
        <v>74</v>
      </c>
      <c r="F763" t="s">
        <v>14576</v>
      </c>
      <c r="G763" t="s">
        <v>74</v>
      </c>
      <c r="H763" t="s">
        <v>74</v>
      </c>
      <c r="I763" t="s">
        <v>14577</v>
      </c>
      <c r="J763" t="s">
        <v>1746</v>
      </c>
      <c r="K763" t="s">
        <v>74</v>
      </c>
      <c r="L763" t="s">
        <v>74</v>
      </c>
      <c r="M763" t="s">
        <v>78</v>
      </c>
      <c r="N763" t="s">
        <v>441</v>
      </c>
      <c r="O763" t="s">
        <v>74</v>
      </c>
      <c r="P763" t="s">
        <v>74</v>
      </c>
      <c r="Q763" t="s">
        <v>74</v>
      </c>
      <c r="R763" t="s">
        <v>74</v>
      </c>
      <c r="S763" t="s">
        <v>74</v>
      </c>
      <c r="T763" t="s">
        <v>14578</v>
      </c>
      <c r="U763" t="s">
        <v>14579</v>
      </c>
      <c r="V763" t="s">
        <v>14580</v>
      </c>
      <c r="W763" t="s">
        <v>14581</v>
      </c>
      <c r="X763" t="s">
        <v>14582</v>
      </c>
      <c r="Y763" t="s">
        <v>14583</v>
      </c>
      <c r="Z763" t="s">
        <v>14584</v>
      </c>
      <c r="AA763" t="s">
        <v>14585</v>
      </c>
      <c r="AB763" t="s">
        <v>14586</v>
      </c>
      <c r="AC763" t="s">
        <v>14587</v>
      </c>
      <c r="AD763" t="s">
        <v>14588</v>
      </c>
      <c r="AE763" t="s">
        <v>14589</v>
      </c>
      <c r="AF763" t="s">
        <v>74</v>
      </c>
      <c r="AG763">
        <v>86</v>
      </c>
      <c r="AH763">
        <v>0</v>
      </c>
      <c r="AI763">
        <v>0</v>
      </c>
      <c r="AJ763">
        <v>3</v>
      </c>
      <c r="AK763">
        <v>3</v>
      </c>
      <c r="AL763" t="s">
        <v>1758</v>
      </c>
      <c r="AM763" t="s">
        <v>1759</v>
      </c>
      <c r="AN763" t="s">
        <v>1760</v>
      </c>
      <c r="AO763" t="s">
        <v>74</v>
      </c>
      <c r="AP763" t="s">
        <v>1761</v>
      </c>
      <c r="AQ763" t="s">
        <v>74</v>
      </c>
      <c r="AR763" t="s">
        <v>1762</v>
      </c>
      <c r="AS763" t="s">
        <v>1763</v>
      </c>
      <c r="AT763" t="s">
        <v>14539</v>
      </c>
      <c r="AU763">
        <v>2023</v>
      </c>
      <c r="AV763">
        <v>10</v>
      </c>
      <c r="AW763" t="s">
        <v>74</v>
      </c>
      <c r="AX763" t="s">
        <v>74</v>
      </c>
      <c r="AY763" t="s">
        <v>74</v>
      </c>
      <c r="AZ763" t="s">
        <v>74</v>
      </c>
      <c r="BA763" t="s">
        <v>74</v>
      </c>
      <c r="BB763" t="s">
        <v>74</v>
      </c>
      <c r="BC763" t="s">
        <v>74</v>
      </c>
      <c r="BD763">
        <v>1206119</v>
      </c>
      <c r="BE763" t="s">
        <v>14590</v>
      </c>
      <c r="BF763" t="str">
        <f>HYPERLINK("http://dx.doi.org/10.3389/fmars.2023.1206119","http://dx.doi.org/10.3389/fmars.2023.1206119")</f>
        <v>http://dx.doi.org/10.3389/fmars.2023.1206119</v>
      </c>
      <c r="BG763" t="s">
        <v>74</v>
      </c>
      <c r="BH763" t="s">
        <v>74</v>
      </c>
      <c r="BI763">
        <v>8</v>
      </c>
      <c r="BJ763" t="s">
        <v>1135</v>
      </c>
      <c r="BK763" t="s">
        <v>100</v>
      </c>
      <c r="BL763" t="s">
        <v>1136</v>
      </c>
      <c r="BM763" t="s">
        <v>14591</v>
      </c>
      <c r="BN763" t="s">
        <v>74</v>
      </c>
      <c r="BO763" t="s">
        <v>131</v>
      </c>
      <c r="BP763" t="s">
        <v>74</v>
      </c>
      <c r="BQ763" t="s">
        <v>74</v>
      </c>
      <c r="BR763" t="s">
        <v>104</v>
      </c>
      <c r="BS763" t="s">
        <v>14592</v>
      </c>
      <c r="BT763" t="str">
        <f>HYPERLINK("https%3A%2F%2Fwww.webofscience.com%2Fwos%2Fwoscc%2Ffull-record%2FWOS:001086572100001","View Full Record in Web of Science")</f>
        <v>View Full Record in Web of Science</v>
      </c>
    </row>
    <row r="764" spans="1:72" x14ac:dyDescent="0.15">
      <c r="A764" t="s">
        <v>72</v>
      </c>
      <c r="B764" t="s">
        <v>14593</v>
      </c>
      <c r="C764" t="s">
        <v>74</v>
      </c>
      <c r="D764" t="s">
        <v>74</v>
      </c>
      <c r="E764" t="s">
        <v>74</v>
      </c>
      <c r="F764" t="s">
        <v>14594</v>
      </c>
      <c r="G764" t="s">
        <v>74</v>
      </c>
      <c r="H764" t="s">
        <v>74</v>
      </c>
      <c r="I764" t="s">
        <v>14595</v>
      </c>
      <c r="J764" t="s">
        <v>1770</v>
      </c>
      <c r="K764" t="s">
        <v>74</v>
      </c>
      <c r="L764" t="s">
        <v>74</v>
      </c>
      <c r="M764" t="s">
        <v>78</v>
      </c>
      <c r="N764" t="s">
        <v>79</v>
      </c>
      <c r="O764" t="s">
        <v>74</v>
      </c>
      <c r="P764" t="s">
        <v>74</v>
      </c>
      <c r="Q764" t="s">
        <v>74</v>
      </c>
      <c r="R764" t="s">
        <v>74</v>
      </c>
      <c r="S764" t="s">
        <v>74</v>
      </c>
      <c r="T764" t="s">
        <v>14596</v>
      </c>
      <c r="U764" t="s">
        <v>14597</v>
      </c>
      <c r="V764" t="s">
        <v>14598</v>
      </c>
      <c r="W764" t="s">
        <v>14599</v>
      </c>
      <c r="X764" t="s">
        <v>14600</v>
      </c>
      <c r="Y764" t="s">
        <v>14601</v>
      </c>
      <c r="Z764" t="s">
        <v>14602</v>
      </c>
      <c r="AA764" t="s">
        <v>74</v>
      </c>
      <c r="AB764" t="s">
        <v>14603</v>
      </c>
      <c r="AC764" t="s">
        <v>14604</v>
      </c>
      <c r="AD764" t="s">
        <v>14605</v>
      </c>
      <c r="AE764" t="s">
        <v>14606</v>
      </c>
      <c r="AF764" t="s">
        <v>74</v>
      </c>
      <c r="AG764">
        <v>64</v>
      </c>
      <c r="AH764">
        <v>0</v>
      </c>
      <c r="AI764">
        <v>0</v>
      </c>
      <c r="AJ764">
        <v>4</v>
      </c>
      <c r="AK764">
        <v>4</v>
      </c>
      <c r="AL764" t="s">
        <v>1782</v>
      </c>
      <c r="AM764" t="s">
        <v>1783</v>
      </c>
      <c r="AN764" t="s">
        <v>1784</v>
      </c>
      <c r="AO764" t="s">
        <v>1785</v>
      </c>
      <c r="AP764" t="s">
        <v>1786</v>
      </c>
      <c r="AQ764" t="s">
        <v>74</v>
      </c>
      <c r="AR764" t="s">
        <v>1787</v>
      </c>
      <c r="AS764" t="s">
        <v>1788</v>
      </c>
      <c r="AT764" t="s">
        <v>10415</v>
      </c>
      <c r="AU764">
        <v>2023</v>
      </c>
      <c r="AV764">
        <v>35</v>
      </c>
      <c r="AW764">
        <v>5</v>
      </c>
      <c r="AX764" t="s">
        <v>74</v>
      </c>
      <c r="AY764" t="s">
        <v>74</v>
      </c>
      <c r="AZ764" t="s">
        <v>74</v>
      </c>
      <c r="BA764" t="s">
        <v>74</v>
      </c>
      <c r="BB764">
        <v>374</v>
      </c>
      <c r="BC764">
        <v>389</v>
      </c>
      <c r="BD764" t="s">
        <v>74</v>
      </c>
      <c r="BE764" t="s">
        <v>14607</v>
      </c>
      <c r="BF764" t="str">
        <f>HYPERLINK("http://dx.doi.org/10.1017/S0954102023000226","http://dx.doi.org/10.1017/S0954102023000226")</f>
        <v>http://dx.doi.org/10.1017/S0954102023000226</v>
      </c>
      <c r="BG764" t="s">
        <v>74</v>
      </c>
      <c r="BH764" t="s">
        <v>11428</v>
      </c>
      <c r="BI764">
        <v>16</v>
      </c>
      <c r="BJ764" t="s">
        <v>1791</v>
      </c>
      <c r="BK764" t="s">
        <v>100</v>
      </c>
      <c r="BL764" t="s">
        <v>1792</v>
      </c>
      <c r="BM764" t="s">
        <v>14150</v>
      </c>
      <c r="BN764" t="s">
        <v>74</v>
      </c>
      <c r="BO764" t="s">
        <v>74</v>
      </c>
      <c r="BP764" t="s">
        <v>74</v>
      </c>
      <c r="BQ764" t="s">
        <v>74</v>
      </c>
      <c r="BR764" t="s">
        <v>104</v>
      </c>
      <c r="BS764" t="s">
        <v>14608</v>
      </c>
      <c r="BT764" t="str">
        <f>HYPERLINK("https%3A%2F%2Fwww.webofscience.com%2Fwos%2Fwoscc%2Ffull-record%2FWOS:001075450700001","View Full Record in Web of Science")</f>
        <v>View Full Record in Web of Science</v>
      </c>
    </row>
    <row r="765" spans="1:72" x14ac:dyDescent="0.15">
      <c r="A765" t="s">
        <v>72</v>
      </c>
      <c r="B765" t="s">
        <v>14609</v>
      </c>
      <c r="C765" t="s">
        <v>74</v>
      </c>
      <c r="D765" t="s">
        <v>74</v>
      </c>
      <c r="E765" t="s">
        <v>74</v>
      </c>
      <c r="F765" t="s">
        <v>14610</v>
      </c>
      <c r="G765" t="s">
        <v>74</v>
      </c>
      <c r="H765" t="s">
        <v>74</v>
      </c>
      <c r="I765" t="s">
        <v>14611</v>
      </c>
      <c r="J765" t="s">
        <v>14612</v>
      </c>
      <c r="K765" t="s">
        <v>74</v>
      </c>
      <c r="L765" t="s">
        <v>74</v>
      </c>
      <c r="M765" t="s">
        <v>78</v>
      </c>
      <c r="N765" t="s">
        <v>11926</v>
      </c>
      <c r="O765" t="s">
        <v>74</v>
      </c>
      <c r="P765" t="s">
        <v>74</v>
      </c>
      <c r="Q765" t="s">
        <v>74</v>
      </c>
      <c r="R765" t="s">
        <v>74</v>
      </c>
      <c r="S765" t="s">
        <v>74</v>
      </c>
      <c r="T765" t="s">
        <v>74</v>
      </c>
      <c r="U765" t="s">
        <v>74</v>
      </c>
      <c r="V765" t="s">
        <v>74</v>
      </c>
      <c r="W765" t="s">
        <v>14613</v>
      </c>
      <c r="X765" t="s">
        <v>74</v>
      </c>
      <c r="Y765" t="s">
        <v>14614</v>
      </c>
      <c r="Z765" t="s">
        <v>74</v>
      </c>
      <c r="AA765" t="s">
        <v>74</v>
      </c>
      <c r="AB765" t="s">
        <v>74</v>
      </c>
      <c r="AC765" t="s">
        <v>74</v>
      </c>
      <c r="AD765" t="s">
        <v>74</v>
      </c>
      <c r="AE765" t="s">
        <v>74</v>
      </c>
      <c r="AF765" t="s">
        <v>74</v>
      </c>
      <c r="AG765">
        <v>1</v>
      </c>
      <c r="AH765">
        <v>0</v>
      </c>
      <c r="AI765">
        <v>0</v>
      </c>
      <c r="AJ765">
        <v>0</v>
      </c>
      <c r="AK765">
        <v>0</v>
      </c>
      <c r="AL765" t="s">
        <v>8612</v>
      </c>
      <c r="AM765" t="s">
        <v>120</v>
      </c>
      <c r="AN765" t="s">
        <v>8613</v>
      </c>
      <c r="AO765" t="s">
        <v>14615</v>
      </c>
      <c r="AP765" t="s">
        <v>14616</v>
      </c>
      <c r="AQ765" t="s">
        <v>74</v>
      </c>
      <c r="AR765" t="s">
        <v>14612</v>
      </c>
      <c r="AS765" t="s">
        <v>14617</v>
      </c>
      <c r="AT765" t="s">
        <v>14618</v>
      </c>
      <c r="AU765">
        <v>2023</v>
      </c>
      <c r="AV765">
        <v>109</v>
      </c>
      <c r="AW765">
        <v>4</v>
      </c>
      <c r="AX765" t="s">
        <v>74</v>
      </c>
      <c r="AY765" t="s">
        <v>74</v>
      </c>
      <c r="AZ765" t="s">
        <v>74</v>
      </c>
      <c r="BA765" t="s">
        <v>74</v>
      </c>
      <c r="BB765">
        <v>495</v>
      </c>
      <c r="BC765">
        <v>496</v>
      </c>
      <c r="BD765" t="s">
        <v>74</v>
      </c>
      <c r="BE765" t="s">
        <v>14619</v>
      </c>
      <c r="BF765" t="str">
        <f>HYPERLINK("http://dx.doi.org/10.1080/00253359.2023.2260256","http://dx.doi.org/10.1080/00253359.2023.2260256")</f>
        <v>http://dx.doi.org/10.1080/00253359.2023.2260256</v>
      </c>
      <c r="BG765" t="s">
        <v>74</v>
      </c>
      <c r="BH765" t="s">
        <v>74</v>
      </c>
      <c r="BI765">
        <v>2</v>
      </c>
      <c r="BJ765" t="s">
        <v>14620</v>
      </c>
      <c r="BK765" t="s">
        <v>14621</v>
      </c>
      <c r="BL765" t="s">
        <v>14620</v>
      </c>
      <c r="BM765" t="s">
        <v>14622</v>
      </c>
      <c r="BN765" t="s">
        <v>74</v>
      </c>
      <c r="BO765" t="s">
        <v>74</v>
      </c>
      <c r="BP765" t="s">
        <v>74</v>
      </c>
      <c r="BQ765" t="s">
        <v>74</v>
      </c>
      <c r="BR765" t="s">
        <v>104</v>
      </c>
      <c r="BS765" t="s">
        <v>14623</v>
      </c>
      <c r="BT765" t="str">
        <f>HYPERLINK("https%3A%2F%2Fwww.webofscience.com%2Fwos%2Fwoscc%2Ffull-record%2FWOS:001099787200017","View Full Record in Web of Science")</f>
        <v>View Full Record in Web of Science</v>
      </c>
    </row>
    <row r="766" spans="1:72" x14ac:dyDescent="0.15">
      <c r="A766" t="s">
        <v>72</v>
      </c>
      <c r="B766" t="s">
        <v>14624</v>
      </c>
      <c r="C766" t="s">
        <v>74</v>
      </c>
      <c r="D766" t="s">
        <v>74</v>
      </c>
      <c r="E766" t="s">
        <v>74</v>
      </c>
      <c r="F766" t="s">
        <v>14625</v>
      </c>
      <c r="G766" t="s">
        <v>74</v>
      </c>
      <c r="H766" t="s">
        <v>74</v>
      </c>
      <c r="I766" t="s">
        <v>14626</v>
      </c>
      <c r="J766" t="s">
        <v>2668</v>
      </c>
      <c r="K766" t="s">
        <v>74</v>
      </c>
      <c r="L766" t="s">
        <v>74</v>
      </c>
      <c r="M766" t="s">
        <v>78</v>
      </c>
      <c r="N766" t="s">
        <v>79</v>
      </c>
      <c r="O766" t="s">
        <v>74</v>
      </c>
      <c r="P766" t="s">
        <v>74</v>
      </c>
      <c r="Q766" t="s">
        <v>74</v>
      </c>
      <c r="R766" t="s">
        <v>74</v>
      </c>
      <c r="S766" t="s">
        <v>74</v>
      </c>
      <c r="T766" t="s">
        <v>14627</v>
      </c>
      <c r="U766" t="s">
        <v>14628</v>
      </c>
      <c r="V766" t="s">
        <v>14629</v>
      </c>
      <c r="W766" t="s">
        <v>14630</v>
      </c>
      <c r="X766" t="s">
        <v>14631</v>
      </c>
      <c r="Y766" t="s">
        <v>14632</v>
      </c>
      <c r="Z766" t="s">
        <v>14633</v>
      </c>
      <c r="AA766" t="s">
        <v>74</v>
      </c>
      <c r="AB766" t="s">
        <v>14634</v>
      </c>
      <c r="AC766" t="s">
        <v>14635</v>
      </c>
      <c r="AD766" t="s">
        <v>14636</v>
      </c>
      <c r="AE766" t="s">
        <v>14637</v>
      </c>
      <c r="AF766" t="s">
        <v>74</v>
      </c>
      <c r="AG766">
        <v>93</v>
      </c>
      <c r="AH766">
        <v>0</v>
      </c>
      <c r="AI766">
        <v>0</v>
      </c>
      <c r="AJ766">
        <v>6</v>
      </c>
      <c r="AK766">
        <v>6</v>
      </c>
      <c r="AL766" t="s">
        <v>947</v>
      </c>
      <c r="AM766" t="s">
        <v>948</v>
      </c>
      <c r="AN766" t="s">
        <v>949</v>
      </c>
      <c r="AO766" t="s">
        <v>2679</v>
      </c>
      <c r="AP766" t="s">
        <v>2680</v>
      </c>
      <c r="AQ766" t="s">
        <v>74</v>
      </c>
      <c r="AR766" t="s">
        <v>2681</v>
      </c>
      <c r="AS766" t="s">
        <v>2682</v>
      </c>
      <c r="AT766" t="s">
        <v>5341</v>
      </c>
      <c r="AU766">
        <v>2023</v>
      </c>
      <c r="AV766">
        <v>631</v>
      </c>
      <c r="AW766" t="s">
        <v>74</v>
      </c>
      <c r="AX766" t="s">
        <v>74</v>
      </c>
      <c r="AY766" t="s">
        <v>74</v>
      </c>
      <c r="AZ766" t="s">
        <v>74</v>
      </c>
      <c r="BA766" t="s">
        <v>74</v>
      </c>
      <c r="BB766" t="s">
        <v>74</v>
      </c>
      <c r="BC766" t="s">
        <v>74</v>
      </c>
      <c r="BD766">
        <v>111822</v>
      </c>
      <c r="BE766" t="s">
        <v>14638</v>
      </c>
      <c r="BF766" t="str">
        <f>HYPERLINK("http://dx.doi.org/10.1016/j.palaeo.2023.111822","http://dx.doi.org/10.1016/j.palaeo.2023.111822")</f>
        <v>http://dx.doi.org/10.1016/j.palaeo.2023.111822</v>
      </c>
      <c r="BG766" t="s">
        <v>74</v>
      </c>
      <c r="BH766" t="s">
        <v>11428</v>
      </c>
      <c r="BI766">
        <v>14</v>
      </c>
      <c r="BJ766" t="s">
        <v>2684</v>
      </c>
      <c r="BK766" t="s">
        <v>100</v>
      </c>
      <c r="BL766" t="s">
        <v>2685</v>
      </c>
      <c r="BM766" t="s">
        <v>14639</v>
      </c>
      <c r="BN766" t="s">
        <v>74</v>
      </c>
      <c r="BO766" t="s">
        <v>74</v>
      </c>
      <c r="BP766" t="s">
        <v>74</v>
      </c>
      <c r="BQ766" t="s">
        <v>74</v>
      </c>
      <c r="BR766" t="s">
        <v>104</v>
      </c>
      <c r="BS766" t="s">
        <v>14640</v>
      </c>
      <c r="BT766" t="str">
        <f>HYPERLINK("https%3A%2F%2Fwww.webofscience.com%2Fwos%2Fwoscc%2Ffull-record%2FWOS:001090409000001","View Full Record in Web of Science")</f>
        <v>View Full Record in Web of Science</v>
      </c>
    </row>
    <row r="767" spans="1:72" x14ac:dyDescent="0.15">
      <c r="A767" t="s">
        <v>72</v>
      </c>
      <c r="B767" t="s">
        <v>14641</v>
      </c>
      <c r="C767" t="s">
        <v>74</v>
      </c>
      <c r="D767" t="s">
        <v>74</v>
      </c>
      <c r="E767" t="s">
        <v>74</v>
      </c>
      <c r="F767" t="s">
        <v>14642</v>
      </c>
      <c r="G767" t="s">
        <v>74</v>
      </c>
      <c r="H767" t="s">
        <v>74</v>
      </c>
      <c r="I767" t="s">
        <v>14643</v>
      </c>
      <c r="J767" t="s">
        <v>1064</v>
      </c>
      <c r="K767" t="s">
        <v>74</v>
      </c>
      <c r="L767" t="s">
        <v>74</v>
      </c>
      <c r="M767" t="s">
        <v>78</v>
      </c>
      <c r="N767" t="s">
        <v>79</v>
      </c>
      <c r="O767" t="s">
        <v>74</v>
      </c>
      <c r="P767" t="s">
        <v>74</v>
      </c>
      <c r="Q767" t="s">
        <v>74</v>
      </c>
      <c r="R767" t="s">
        <v>74</v>
      </c>
      <c r="S767" t="s">
        <v>74</v>
      </c>
      <c r="T767" t="s">
        <v>14644</v>
      </c>
      <c r="U767" t="s">
        <v>14645</v>
      </c>
      <c r="V767" t="s">
        <v>14646</v>
      </c>
      <c r="W767" t="s">
        <v>14647</v>
      </c>
      <c r="X767" t="s">
        <v>14648</v>
      </c>
      <c r="Y767" t="s">
        <v>14649</v>
      </c>
      <c r="Z767" t="s">
        <v>14650</v>
      </c>
      <c r="AA767" t="s">
        <v>74</v>
      </c>
      <c r="AB767" t="s">
        <v>74</v>
      </c>
      <c r="AC767" t="s">
        <v>14651</v>
      </c>
      <c r="AD767" t="s">
        <v>14652</v>
      </c>
      <c r="AE767" t="s">
        <v>14653</v>
      </c>
      <c r="AF767" t="s">
        <v>74</v>
      </c>
      <c r="AG767">
        <v>76</v>
      </c>
      <c r="AH767">
        <v>0</v>
      </c>
      <c r="AI767">
        <v>0</v>
      </c>
      <c r="AJ767">
        <v>7</v>
      </c>
      <c r="AK767">
        <v>7</v>
      </c>
      <c r="AL767" t="s">
        <v>1075</v>
      </c>
      <c r="AM767" t="s">
        <v>1076</v>
      </c>
      <c r="AN767" t="s">
        <v>1077</v>
      </c>
      <c r="AO767" t="s">
        <v>1078</v>
      </c>
      <c r="AP767" t="s">
        <v>1079</v>
      </c>
      <c r="AQ767" t="s">
        <v>74</v>
      </c>
      <c r="AR767" t="s">
        <v>1080</v>
      </c>
      <c r="AS767" t="s">
        <v>1081</v>
      </c>
      <c r="AT767" t="s">
        <v>1947</v>
      </c>
      <c r="AU767">
        <v>2023</v>
      </c>
      <c r="AV767">
        <v>54</v>
      </c>
      <c r="AW767">
        <v>4</v>
      </c>
      <c r="AX767" t="s">
        <v>74</v>
      </c>
      <c r="AY767" t="s">
        <v>74</v>
      </c>
      <c r="AZ767" t="s">
        <v>4005</v>
      </c>
      <c r="BA767" t="s">
        <v>74</v>
      </c>
      <c r="BB767">
        <v>2903</v>
      </c>
      <c r="BC767">
        <v>2913</v>
      </c>
      <c r="BD767" t="s">
        <v>74</v>
      </c>
      <c r="BE767" t="s">
        <v>14654</v>
      </c>
      <c r="BF767" t="str">
        <f>HYPERLINK("http://dx.doi.org/10.1007/s42770-023-01135-7","http://dx.doi.org/10.1007/s42770-023-01135-7")</f>
        <v>http://dx.doi.org/10.1007/s42770-023-01135-7</v>
      </c>
      <c r="BG767" t="s">
        <v>74</v>
      </c>
      <c r="BH767" t="s">
        <v>11428</v>
      </c>
      <c r="BI767">
        <v>11</v>
      </c>
      <c r="BJ767" t="s">
        <v>1084</v>
      </c>
      <c r="BK767" t="s">
        <v>100</v>
      </c>
      <c r="BL767" t="s">
        <v>1084</v>
      </c>
      <c r="BM767" t="s">
        <v>14655</v>
      </c>
      <c r="BN767">
        <v>37783937</v>
      </c>
      <c r="BO767" t="s">
        <v>74</v>
      </c>
      <c r="BP767" t="s">
        <v>74</v>
      </c>
      <c r="BQ767" t="s">
        <v>74</v>
      </c>
      <c r="BR767" t="s">
        <v>104</v>
      </c>
      <c r="BS767" t="s">
        <v>14656</v>
      </c>
      <c r="BT767" t="str">
        <f>HYPERLINK("https%3A%2F%2Fwww.webofscience.com%2Fwos%2Fwoscc%2Ffull-record%2FWOS:001082377900001","View Full Record in Web of Science")</f>
        <v>View Full Record in Web of Science</v>
      </c>
    </row>
    <row r="768" spans="1:72" x14ac:dyDescent="0.15">
      <c r="A768" t="s">
        <v>72</v>
      </c>
      <c r="B768" t="s">
        <v>14657</v>
      </c>
      <c r="C768" t="s">
        <v>74</v>
      </c>
      <c r="D768" t="s">
        <v>74</v>
      </c>
      <c r="E768" t="s">
        <v>74</v>
      </c>
      <c r="F768" t="s">
        <v>14658</v>
      </c>
      <c r="G768" t="s">
        <v>74</v>
      </c>
      <c r="H768" t="s">
        <v>74</v>
      </c>
      <c r="I768" t="s">
        <v>14659</v>
      </c>
      <c r="J768" t="s">
        <v>1770</v>
      </c>
      <c r="K768" t="s">
        <v>74</v>
      </c>
      <c r="L768" t="s">
        <v>74</v>
      </c>
      <c r="M768" t="s">
        <v>78</v>
      </c>
      <c r="N768" t="s">
        <v>79</v>
      </c>
      <c r="O768" t="s">
        <v>74</v>
      </c>
      <c r="P768" t="s">
        <v>74</v>
      </c>
      <c r="Q768" t="s">
        <v>74</v>
      </c>
      <c r="R768" t="s">
        <v>74</v>
      </c>
      <c r="S768" t="s">
        <v>74</v>
      </c>
      <c r="T768" t="s">
        <v>14660</v>
      </c>
      <c r="U768" t="s">
        <v>14661</v>
      </c>
      <c r="V768" t="s">
        <v>14662</v>
      </c>
      <c r="W768" t="s">
        <v>14663</v>
      </c>
      <c r="X768" t="s">
        <v>14664</v>
      </c>
      <c r="Y768" t="s">
        <v>14665</v>
      </c>
      <c r="Z768" t="s">
        <v>14666</v>
      </c>
      <c r="AA768" t="s">
        <v>14667</v>
      </c>
      <c r="AB768" t="s">
        <v>14668</v>
      </c>
      <c r="AC768" t="s">
        <v>14669</v>
      </c>
      <c r="AD768" t="s">
        <v>14669</v>
      </c>
      <c r="AE768" t="s">
        <v>14670</v>
      </c>
      <c r="AF768" t="s">
        <v>74</v>
      </c>
      <c r="AG768">
        <v>50</v>
      </c>
      <c r="AH768">
        <v>0</v>
      </c>
      <c r="AI768">
        <v>0</v>
      </c>
      <c r="AJ768">
        <v>6</v>
      </c>
      <c r="AK768">
        <v>6</v>
      </c>
      <c r="AL768" t="s">
        <v>1782</v>
      </c>
      <c r="AM768" t="s">
        <v>1783</v>
      </c>
      <c r="AN768" t="s">
        <v>1784</v>
      </c>
      <c r="AO768" t="s">
        <v>1785</v>
      </c>
      <c r="AP768" t="s">
        <v>1786</v>
      </c>
      <c r="AQ768" t="s">
        <v>74</v>
      </c>
      <c r="AR768" t="s">
        <v>1787</v>
      </c>
      <c r="AS768" t="s">
        <v>1788</v>
      </c>
      <c r="AT768" t="s">
        <v>10415</v>
      </c>
      <c r="AU768">
        <v>2023</v>
      </c>
      <c r="AV768">
        <v>35</v>
      </c>
      <c r="AW768">
        <v>5</v>
      </c>
      <c r="AX768" t="s">
        <v>74</v>
      </c>
      <c r="AY768" t="s">
        <v>74</v>
      </c>
      <c r="AZ768" t="s">
        <v>74</v>
      </c>
      <c r="BA768" t="s">
        <v>74</v>
      </c>
      <c r="BB768">
        <v>328</v>
      </c>
      <c r="BC768">
        <v>344</v>
      </c>
      <c r="BD768" t="s">
        <v>74</v>
      </c>
      <c r="BE768" t="s">
        <v>14671</v>
      </c>
      <c r="BF768" t="str">
        <f>HYPERLINK("http://dx.doi.org/10.1017/S0954102023000202","http://dx.doi.org/10.1017/S0954102023000202")</f>
        <v>http://dx.doi.org/10.1017/S0954102023000202</v>
      </c>
      <c r="BG768" t="s">
        <v>74</v>
      </c>
      <c r="BH768" t="s">
        <v>11428</v>
      </c>
      <c r="BI768">
        <v>17</v>
      </c>
      <c r="BJ768" t="s">
        <v>1791</v>
      </c>
      <c r="BK768" t="s">
        <v>100</v>
      </c>
      <c r="BL768" t="s">
        <v>1792</v>
      </c>
      <c r="BM768" t="s">
        <v>14150</v>
      </c>
      <c r="BN768" t="s">
        <v>74</v>
      </c>
      <c r="BO768" t="s">
        <v>74</v>
      </c>
      <c r="BP768" t="s">
        <v>74</v>
      </c>
      <c r="BQ768" t="s">
        <v>74</v>
      </c>
      <c r="BR768" t="s">
        <v>104</v>
      </c>
      <c r="BS768" t="s">
        <v>14672</v>
      </c>
      <c r="BT768" t="str">
        <f>HYPERLINK("https%3A%2F%2Fwww.webofscience.com%2Fwos%2Fwoscc%2Ffull-record%2FWOS:001075709500001","View Full Record in Web of Science")</f>
        <v>View Full Record in Web of Science</v>
      </c>
    </row>
    <row r="769" spans="1:72" x14ac:dyDescent="0.15">
      <c r="A769" t="s">
        <v>72</v>
      </c>
      <c r="B769" t="s">
        <v>14673</v>
      </c>
      <c r="C769" t="s">
        <v>74</v>
      </c>
      <c r="D769" t="s">
        <v>74</v>
      </c>
      <c r="E769" t="s">
        <v>74</v>
      </c>
      <c r="F769" t="s">
        <v>14674</v>
      </c>
      <c r="G769" t="s">
        <v>74</v>
      </c>
      <c r="H769" t="s">
        <v>74</v>
      </c>
      <c r="I769" t="s">
        <v>14675</v>
      </c>
      <c r="J769" t="s">
        <v>14676</v>
      </c>
      <c r="K769" t="s">
        <v>74</v>
      </c>
      <c r="L769" t="s">
        <v>74</v>
      </c>
      <c r="M769" t="s">
        <v>78</v>
      </c>
      <c r="N769" t="s">
        <v>10145</v>
      </c>
      <c r="O769" t="s">
        <v>74</v>
      </c>
      <c r="P769" t="s">
        <v>74</v>
      </c>
      <c r="Q769" t="s">
        <v>74</v>
      </c>
      <c r="R769" t="s">
        <v>74</v>
      </c>
      <c r="S769" t="s">
        <v>74</v>
      </c>
      <c r="T769" t="s">
        <v>74</v>
      </c>
      <c r="U769" t="s">
        <v>74</v>
      </c>
      <c r="V769" t="s">
        <v>74</v>
      </c>
      <c r="W769" t="s">
        <v>14677</v>
      </c>
      <c r="X769" t="s">
        <v>14678</v>
      </c>
      <c r="Y769" t="s">
        <v>74</v>
      </c>
      <c r="Z769" t="s">
        <v>74</v>
      </c>
      <c r="AA769" t="s">
        <v>74</v>
      </c>
      <c r="AB769" t="s">
        <v>74</v>
      </c>
      <c r="AC769" t="s">
        <v>74</v>
      </c>
      <c r="AD769" t="s">
        <v>74</v>
      </c>
      <c r="AE769" t="s">
        <v>74</v>
      </c>
      <c r="AF769" t="s">
        <v>74</v>
      </c>
      <c r="AG769">
        <v>0</v>
      </c>
      <c r="AH769">
        <v>0</v>
      </c>
      <c r="AI769">
        <v>0</v>
      </c>
      <c r="AJ769">
        <v>0</v>
      </c>
      <c r="AK769">
        <v>0</v>
      </c>
      <c r="AL769" t="s">
        <v>1560</v>
      </c>
      <c r="AM769" t="s">
        <v>976</v>
      </c>
      <c r="AN769" t="s">
        <v>1561</v>
      </c>
      <c r="AO769" t="s">
        <v>14679</v>
      </c>
      <c r="AP769" t="s">
        <v>14680</v>
      </c>
      <c r="AQ769" t="s">
        <v>74</v>
      </c>
      <c r="AR769" t="s">
        <v>14681</v>
      </c>
      <c r="AS769" t="s">
        <v>14682</v>
      </c>
      <c r="AT769" t="s">
        <v>10415</v>
      </c>
      <c r="AU769">
        <v>2023</v>
      </c>
      <c r="AV769">
        <v>64</v>
      </c>
      <c r="AW769">
        <v>5</v>
      </c>
      <c r="AX769" t="s">
        <v>74</v>
      </c>
      <c r="AY769" t="s">
        <v>74</v>
      </c>
      <c r="AZ769" t="s">
        <v>74</v>
      </c>
      <c r="BA769" t="s">
        <v>74</v>
      </c>
      <c r="BB769" t="s">
        <v>74</v>
      </c>
      <c r="BC769" t="s">
        <v>74</v>
      </c>
      <c r="BD769" t="s">
        <v>74</v>
      </c>
      <c r="BE769" t="s">
        <v>74</v>
      </c>
      <c r="BF769" t="s">
        <v>74</v>
      </c>
      <c r="BG769" t="s">
        <v>74</v>
      </c>
      <c r="BH769" t="s">
        <v>74</v>
      </c>
      <c r="BI769">
        <v>1</v>
      </c>
      <c r="BJ769" t="s">
        <v>14683</v>
      </c>
      <c r="BK769" t="s">
        <v>100</v>
      </c>
      <c r="BL769" t="s">
        <v>14683</v>
      </c>
      <c r="BM769" t="s">
        <v>14684</v>
      </c>
      <c r="BN769" t="s">
        <v>74</v>
      </c>
      <c r="BO769" t="s">
        <v>74</v>
      </c>
      <c r="BP769" t="s">
        <v>74</v>
      </c>
      <c r="BQ769" t="s">
        <v>74</v>
      </c>
      <c r="BR769" t="s">
        <v>104</v>
      </c>
      <c r="BS769" t="s">
        <v>14685</v>
      </c>
      <c r="BT769" t="str">
        <f>HYPERLINK("https%3A%2F%2Fwww.webofscience.com%2Fwos%2Fwoscc%2Ffull-record%2FWOS:001187602500026","View Full Record in Web of Science")</f>
        <v>View Full Record in Web of Science</v>
      </c>
    </row>
    <row r="770" spans="1:72" x14ac:dyDescent="0.15">
      <c r="A770" t="s">
        <v>72</v>
      </c>
      <c r="B770" t="s">
        <v>14686</v>
      </c>
      <c r="C770" t="s">
        <v>74</v>
      </c>
      <c r="D770" t="s">
        <v>74</v>
      </c>
      <c r="E770" t="s">
        <v>74</v>
      </c>
      <c r="F770" t="s">
        <v>14687</v>
      </c>
      <c r="G770" t="s">
        <v>74</v>
      </c>
      <c r="H770" t="s">
        <v>74</v>
      </c>
      <c r="I770" t="s">
        <v>14688</v>
      </c>
      <c r="J770" t="s">
        <v>14689</v>
      </c>
      <c r="K770" t="s">
        <v>74</v>
      </c>
      <c r="L770" t="s">
        <v>74</v>
      </c>
      <c r="M770" t="s">
        <v>78</v>
      </c>
      <c r="N770" t="s">
        <v>79</v>
      </c>
      <c r="O770" t="s">
        <v>74</v>
      </c>
      <c r="P770" t="s">
        <v>74</v>
      </c>
      <c r="Q770" t="s">
        <v>74</v>
      </c>
      <c r="R770" t="s">
        <v>74</v>
      </c>
      <c r="S770" t="s">
        <v>74</v>
      </c>
      <c r="T770" t="s">
        <v>14690</v>
      </c>
      <c r="U770" t="s">
        <v>14691</v>
      </c>
      <c r="V770" t="s">
        <v>14692</v>
      </c>
      <c r="W770" t="s">
        <v>14693</v>
      </c>
      <c r="X770" t="s">
        <v>13188</v>
      </c>
      <c r="Y770" t="s">
        <v>14694</v>
      </c>
      <c r="Z770" t="s">
        <v>14695</v>
      </c>
      <c r="AA770" t="s">
        <v>74</v>
      </c>
      <c r="AB770" t="s">
        <v>74</v>
      </c>
      <c r="AC770" t="s">
        <v>74</v>
      </c>
      <c r="AD770" t="s">
        <v>74</v>
      </c>
      <c r="AE770" t="s">
        <v>74</v>
      </c>
      <c r="AF770" t="s">
        <v>74</v>
      </c>
      <c r="AG770">
        <v>39</v>
      </c>
      <c r="AH770">
        <v>0</v>
      </c>
      <c r="AI770">
        <v>0</v>
      </c>
      <c r="AJ770">
        <v>0</v>
      </c>
      <c r="AK770">
        <v>0</v>
      </c>
      <c r="AL770" t="s">
        <v>14696</v>
      </c>
      <c r="AM770" t="s">
        <v>14697</v>
      </c>
      <c r="AN770" t="s">
        <v>14698</v>
      </c>
      <c r="AO770" t="s">
        <v>14699</v>
      </c>
      <c r="AP770" t="s">
        <v>14700</v>
      </c>
      <c r="AQ770" t="s">
        <v>74</v>
      </c>
      <c r="AR770" t="s">
        <v>14701</v>
      </c>
      <c r="AS770" t="s">
        <v>14702</v>
      </c>
      <c r="AT770" t="s">
        <v>10415</v>
      </c>
      <c r="AU770">
        <v>2023</v>
      </c>
      <c r="AV770">
        <v>51</v>
      </c>
      <c r="AW770">
        <v>2</v>
      </c>
      <c r="AX770" t="s">
        <v>74</v>
      </c>
      <c r="AY770" t="s">
        <v>74</v>
      </c>
      <c r="AZ770" t="s">
        <v>74</v>
      </c>
      <c r="BA770" t="s">
        <v>74</v>
      </c>
      <c r="BB770">
        <v>181</v>
      </c>
      <c r="BC770">
        <v>185</v>
      </c>
      <c r="BD770" t="s">
        <v>74</v>
      </c>
      <c r="BE770" t="s">
        <v>74</v>
      </c>
      <c r="BF770" t="s">
        <v>74</v>
      </c>
      <c r="BG770" t="s">
        <v>74</v>
      </c>
      <c r="BH770" t="s">
        <v>74</v>
      </c>
      <c r="BI770">
        <v>5</v>
      </c>
      <c r="BJ770" t="s">
        <v>14703</v>
      </c>
      <c r="BK770" t="s">
        <v>100</v>
      </c>
      <c r="BL770" t="s">
        <v>1110</v>
      </c>
      <c r="BM770" t="s">
        <v>14704</v>
      </c>
      <c r="BN770" t="s">
        <v>74</v>
      </c>
      <c r="BO770" t="s">
        <v>74</v>
      </c>
      <c r="BP770" t="s">
        <v>74</v>
      </c>
      <c r="BQ770" t="s">
        <v>74</v>
      </c>
      <c r="BR770" t="s">
        <v>104</v>
      </c>
      <c r="BS770" t="s">
        <v>14705</v>
      </c>
      <c r="BT770" t="str">
        <f>HYPERLINK("https%3A%2F%2Fwww.webofscience.com%2Fwos%2Fwoscc%2Ffull-record%2FWOS:001181797800005","View Full Record in Web of Science")</f>
        <v>View Full Record in Web of Science</v>
      </c>
    </row>
    <row r="771" spans="1:72" x14ac:dyDescent="0.15">
      <c r="A771" t="s">
        <v>72</v>
      </c>
      <c r="B771" t="s">
        <v>14706</v>
      </c>
      <c r="C771" t="s">
        <v>74</v>
      </c>
      <c r="D771" t="s">
        <v>74</v>
      </c>
      <c r="E771" t="s">
        <v>74</v>
      </c>
      <c r="F771" t="s">
        <v>14707</v>
      </c>
      <c r="G771" t="s">
        <v>74</v>
      </c>
      <c r="H771" t="s">
        <v>74</v>
      </c>
      <c r="I771" t="s">
        <v>14708</v>
      </c>
      <c r="J771" t="s">
        <v>14689</v>
      </c>
      <c r="K771" t="s">
        <v>74</v>
      </c>
      <c r="L771" t="s">
        <v>74</v>
      </c>
      <c r="M771" t="s">
        <v>78</v>
      </c>
      <c r="N771" t="s">
        <v>79</v>
      </c>
      <c r="O771" t="s">
        <v>74</v>
      </c>
      <c r="P771" t="s">
        <v>74</v>
      </c>
      <c r="Q771" t="s">
        <v>74</v>
      </c>
      <c r="R771" t="s">
        <v>74</v>
      </c>
      <c r="S771" t="s">
        <v>74</v>
      </c>
      <c r="T771" t="s">
        <v>14709</v>
      </c>
      <c r="U771" t="s">
        <v>14710</v>
      </c>
      <c r="V771" t="s">
        <v>14711</v>
      </c>
      <c r="W771" t="s">
        <v>14712</v>
      </c>
      <c r="X771" t="s">
        <v>14713</v>
      </c>
      <c r="Y771" t="s">
        <v>14714</v>
      </c>
      <c r="Z771" t="s">
        <v>14715</v>
      </c>
      <c r="AA771" t="s">
        <v>74</v>
      </c>
      <c r="AB771" t="s">
        <v>14716</v>
      </c>
      <c r="AC771" t="s">
        <v>14717</v>
      </c>
      <c r="AD771" t="s">
        <v>14717</v>
      </c>
      <c r="AE771" t="s">
        <v>14718</v>
      </c>
      <c r="AF771" t="s">
        <v>74</v>
      </c>
      <c r="AG771">
        <v>22</v>
      </c>
      <c r="AH771">
        <v>0</v>
      </c>
      <c r="AI771">
        <v>0</v>
      </c>
      <c r="AJ771">
        <v>0</v>
      </c>
      <c r="AK771">
        <v>0</v>
      </c>
      <c r="AL771" t="s">
        <v>14696</v>
      </c>
      <c r="AM771" t="s">
        <v>14697</v>
      </c>
      <c r="AN771" t="s">
        <v>14698</v>
      </c>
      <c r="AO771" t="s">
        <v>14699</v>
      </c>
      <c r="AP771" t="s">
        <v>14700</v>
      </c>
      <c r="AQ771" t="s">
        <v>74</v>
      </c>
      <c r="AR771" t="s">
        <v>14701</v>
      </c>
      <c r="AS771" t="s">
        <v>14702</v>
      </c>
      <c r="AT771" t="s">
        <v>10415</v>
      </c>
      <c r="AU771">
        <v>2023</v>
      </c>
      <c r="AV771">
        <v>51</v>
      </c>
      <c r="AW771">
        <v>2</v>
      </c>
      <c r="AX771" t="s">
        <v>74</v>
      </c>
      <c r="AY771" t="s">
        <v>74</v>
      </c>
      <c r="AZ771" t="s">
        <v>74</v>
      </c>
      <c r="BA771" t="s">
        <v>74</v>
      </c>
      <c r="BB771">
        <v>243</v>
      </c>
      <c r="BC771">
        <v>252</v>
      </c>
      <c r="BD771" t="s">
        <v>74</v>
      </c>
      <c r="BE771" t="s">
        <v>74</v>
      </c>
      <c r="BF771" t="s">
        <v>74</v>
      </c>
      <c r="BG771" t="s">
        <v>74</v>
      </c>
      <c r="BH771" t="s">
        <v>74</v>
      </c>
      <c r="BI771">
        <v>10</v>
      </c>
      <c r="BJ771" t="s">
        <v>14703</v>
      </c>
      <c r="BK771" t="s">
        <v>100</v>
      </c>
      <c r="BL771" t="s">
        <v>1110</v>
      </c>
      <c r="BM771" t="s">
        <v>14704</v>
      </c>
      <c r="BN771" t="s">
        <v>74</v>
      </c>
      <c r="BO771" t="s">
        <v>74</v>
      </c>
      <c r="BP771" t="s">
        <v>74</v>
      </c>
      <c r="BQ771" t="s">
        <v>74</v>
      </c>
      <c r="BR771" t="s">
        <v>104</v>
      </c>
      <c r="BS771" t="s">
        <v>14719</v>
      </c>
      <c r="BT771" t="str">
        <f>HYPERLINK("https%3A%2F%2Fwww.webofscience.com%2Fwos%2Fwoscc%2Ffull-record%2FWOS:001181797800013","View Full Record in Web of Science")</f>
        <v>View Full Record in Web of Science</v>
      </c>
    </row>
    <row r="772" spans="1:72" x14ac:dyDescent="0.15">
      <c r="A772" t="s">
        <v>72</v>
      </c>
      <c r="B772" t="s">
        <v>14720</v>
      </c>
      <c r="C772" t="s">
        <v>74</v>
      </c>
      <c r="D772" t="s">
        <v>74</v>
      </c>
      <c r="E772" t="s">
        <v>74</v>
      </c>
      <c r="F772" t="s">
        <v>14721</v>
      </c>
      <c r="G772" t="s">
        <v>74</v>
      </c>
      <c r="H772" t="s">
        <v>74</v>
      </c>
      <c r="I772" t="s">
        <v>14722</v>
      </c>
      <c r="J772" t="s">
        <v>14689</v>
      </c>
      <c r="K772" t="s">
        <v>74</v>
      </c>
      <c r="L772" t="s">
        <v>74</v>
      </c>
      <c r="M772" t="s">
        <v>78</v>
      </c>
      <c r="N772" t="s">
        <v>79</v>
      </c>
      <c r="O772" t="s">
        <v>74</v>
      </c>
      <c r="P772" t="s">
        <v>74</v>
      </c>
      <c r="Q772" t="s">
        <v>74</v>
      </c>
      <c r="R772" t="s">
        <v>74</v>
      </c>
      <c r="S772" t="s">
        <v>74</v>
      </c>
      <c r="T772" t="s">
        <v>14723</v>
      </c>
      <c r="U772" t="s">
        <v>14724</v>
      </c>
      <c r="V772" t="s">
        <v>14725</v>
      </c>
      <c r="W772" t="s">
        <v>14726</v>
      </c>
      <c r="X772" t="s">
        <v>14727</v>
      </c>
      <c r="Y772" t="s">
        <v>14728</v>
      </c>
      <c r="Z772" t="s">
        <v>14729</v>
      </c>
      <c r="AA772" t="s">
        <v>14730</v>
      </c>
      <c r="AB772" t="s">
        <v>14731</v>
      </c>
      <c r="AC772" t="s">
        <v>14732</v>
      </c>
      <c r="AD772" t="s">
        <v>14733</v>
      </c>
      <c r="AE772" t="s">
        <v>14734</v>
      </c>
      <c r="AF772" t="s">
        <v>74</v>
      </c>
      <c r="AG772">
        <v>127</v>
      </c>
      <c r="AH772">
        <v>2</v>
      </c>
      <c r="AI772">
        <v>2</v>
      </c>
      <c r="AJ772">
        <v>1</v>
      </c>
      <c r="AK772">
        <v>1</v>
      </c>
      <c r="AL772" t="s">
        <v>14696</v>
      </c>
      <c r="AM772" t="s">
        <v>14697</v>
      </c>
      <c r="AN772" t="s">
        <v>14698</v>
      </c>
      <c r="AO772" t="s">
        <v>14699</v>
      </c>
      <c r="AP772" t="s">
        <v>14700</v>
      </c>
      <c r="AQ772" t="s">
        <v>74</v>
      </c>
      <c r="AR772" t="s">
        <v>14701</v>
      </c>
      <c r="AS772" t="s">
        <v>14702</v>
      </c>
      <c r="AT772" t="s">
        <v>10415</v>
      </c>
      <c r="AU772">
        <v>2023</v>
      </c>
      <c r="AV772">
        <v>51</v>
      </c>
      <c r="AW772">
        <v>2</v>
      </c>
      <c r="AX772" t="s">
        <v>74</v>
      </c>
      <c r="AY772" t="s">
        <v>74</v>
      </c>
      <c r="AZ772" t="s">
        <v>74</v>
      </c>
      <c r="BA772" t="s">
        <v>74</v>
      </c>
      <c r="BB772">
        <v>265</v>
      </c>
      <c r="BC772">
        <v>280</v>
      </c>
      <c r="BD772" t="s">
        <v>74</v>
      </c>
      <c r="BE772" t="s">
        <v>74</v>
      </c>
      <c r="BF772" t="s">
        <v>74</v>
      </c>
      <c r="BG772" t="s">
        <v>74</v>
      </c>
      <c r="BH772" t="s">
        <v>74</v>
      </c>
      <c r="BI772">
        <v>16</v>
      </c>
      <c r="BJ772" t="s">
        <v>14703</v>
      </c>
      <c r="BK772" t="s">
        <v>100</v>
      </c>
      <c r="BL772" t="s">
        <v>1110</v>
      </c>
      <c r="BM772" t="s">
        <v>14704</v>
      </c>
      <c r="BN772" t="s">
        <v>74</v>
      </c>
      <c r="BO772" t="s">
        <v>74</v>
      </c>
      <c r="BP772" t="s">
        <v>74</v>
      </c>
      <c r="BQ772" t="s">
        <v>74</v>
      </c>
      <c r="BR772" t="s">
        <v>104</v>
      </c>
      <c r="BS772" t="s">
        <v>14735</v>
      </c>
      <c r="BT772" t="str">
        <f>HYPERLINK("https%3A%2F%2Fwww.webofscience.com%2Fwos%2Fwoscc%2Ffull-record%2FWOS:001181797800017","View Full Record in Web of Science")</f>
        <v>View Full Record in Web of Science</v>
      </c>
    </row>
    <row r="773" spans="1:72" x14ac:dyDescent="0.15">
      <c r="A773" t="s">
        <v>72</v>
      </c>
      <c r="B773" t="s">
        <v>14736</v>
      </c>
      <c r="C773" t="s">
        <v>74</v>
      </c>
      <c r="D773" t="s">
        <v>74</v>
      </c>
      <c r="E773" t="s">
        <v>74</v>
      </c>
      <c r="F773" t="s">
        <v>14737</v>
      </c>
      <c r="G773" t="s">
        <v>74</v>
      </c>
      <c r="H773" t="s">
        <v>74</v>
      </c>
      <c r="I773" t="s">
        <v>14738</v>
      </c>
      <c r="J773" t="s">
        <v>14689</v>
      </c>
      <c r="K773" t="s">
        <v>74</v>
      </c>
      <c r="L773" t="s">
        <v>74</v>
      </c>
      <c r="M773" t="s">
        <v>78</v>
      </c>
      <c r="N773" t="s">
        <v>79</v>
      </c>
      <c r="O773" t="s">
        <v>74</v>
      </c>
      <c r="P773" t="s">
        <v>74</v>
      </c>
      <c r="Q773" t="s">
        <v>74</v>
      </c>
      <c r="R773" t="s">
        <v>74</v>
      </c>
      <c r="S773" t="s">
        <v>74</v>
      </c>
      <c r="T773" t="s">
        <v>14739</v>
      </c>
      <c r="U773" t="s">
        <v>14740</v>
      </c>
      <c r="V773" t="s">
        <v>14741</v>
      </c>
      <c r="W773" t="s">
        <v>14742</v>
      </c>
      <c r="X773" t="s">
        <v>14743</v>
      </c>
      <c r="Y773" t="s">
        <v>14744</v>
      </c>
      <c r="Z773" t="s">
        <v>14745</v>
      </c>
      <c r="AA773" t="s">
        <v>14746</v>
      </c>
      <c r="AB773" t="s">
        <v>14747</v>
      </c>
      <c r="AC773" t="s">
        <v>74</v>
      </c>
      <c r="AD773" t="s">
        <v>74</v>
      </c>
      <c r="AE773" t="s">
        <v>74</v>
      </c>
      <c r="AF773" t="s">
        <v>74</v>
      </c>
      <c r="AG773">
        <v>85</v>
      </c>
      <c r="AH773">
        <v>0</v>
      </c>
      <c r="AI773">
        <v>0</v>
      </c>
      <c r="AJ773">
        <v>0</v>
      </c>
      <c r="AK773">
        <v>0</v>
      </c>
      <c r="AL773" t="s">
        <v>14696</v>
      </c>
      <c r="AM773" t="s">
        <v>14697</v>
      </c>
      <c r="AN773" t="s">
        <v>14698</v>
      </c>
      <c r="AO773" t="s">
        <v>14699</v>
      </c>
      <c r="AP773" t="s">
        <v>14700</v>
      </c>
      <c r="AQ773" t="s">
        <v>74</v>
      </c>
      <c r="AR773" t="s">
        <v>14701</v>
      </c>
      <c r="AS773" t="s">
        <v>14702</v>
      </c>
      <c r="AT773" t="s">
        <v>10415</v>
      </c>
      <c r="AU773">
        <v>2023</v>
      </c>
      <c r="AV773">
        <v>51</v>
      </c>
      <c r="AW773">
        <v>2</v>
      </c>
      <c r="AX773" t="s">
        <v>74</v>
      </c>
      <c r="AY773" t="s">
        <v>74</v>
      </c>
      <c r="AZ773" t="s">
        <v>74</v>
      </c>
      <c r="BA773" t="s">
        <v>74</v>
      </c>
      <c r="BB773">
        <v>281</v>
      </c>
      <c r="BC773">
        <v>291</v>
      </c>
      <c r="BD773" t="s">
        <v>74</v>
      </c>
      <c r="BE773" t="s">
        <v>74</v>
      </c>
      <c r="BF773" t="s">
        <v>74</v>
      </c>
      <c r="BG773" t="s">
        <v>74</v>
      </c>
      <c r="BH773" t="s">
        <v>74</v>
      </c>
      <c r="BI773">
        <v>11</v>
      </c>
      <c r="BJ773" t="s">
        <v>14703</v>
      </c>
      <c r="BK773" t="s">
        <v>100</v>
      </c>
      <c r="BL773" t="s">
        <v>1110</v>
      </c>
      <c r="BM773" t="s">
        <v>14704</v>
      </c>
      <c r="BN773" t="s">
        <v>74</v>
      </c>
      <c r="BO773" t="s">
        <v>74</v>
      </c>
      <c r="BP773" t="s">
        <v>74</v>
      </c>
      <c r="BQ773" t="s">
        <v>74</v>
      </c>
      <c r="BR773" t="s">
        <v>104</v>
      </c>
      <c r="BS773" t="s">
        <v>14748</v>
      </c>
      <c r="BT773" t="str">
        <f>HYPERLINK("https%3A%2F%2Fwww.webofscience.com%2Fwos%2Fwoscc%2Ffull-record%2FWOS:001181797800018","View Full Record in Web of Science")</f>
        <v>View Full Record in Web of Science</v>
      </c>
    </row>
    <row r="774" spans="1:72" x14ac:dyDescent="0.15">
      <c r="A774" t="s">
        <v>72</v>
      </c>
      <c r="B774" t="s">
        <v>14749</v>
      </c>
      <c r="C774" t="s">
        <v>74</v>
      </c>
      <c r="D774" t="s">
        <v>74</v>
      </c>
      <c r="E774" t="s">
        <v>74</v>
      </c>
      <c r="F774" t="s">
        <v>14750</v>
      </c>
      <c r="G774" t="s">
        <v>74</v>
      </c>
      <c r="H774" t="s">
        <v>74</v>
      </c>
      <c r="I774" t="s">
        <v>14751</v>
      </c>
      <c r="J774" t="s">
        <v>5370</v>
      </c>
      <c r="K774" t="s">
        <v>74</v>
      </c>
      <c r="L774" t="s">
        <v>74</v>
      </c>
      <c r="M774" t="s">
        <v>78</v>
      </c>
      <c r="N774" t="s">
        <v>79</v>
      </c>
      <c r="O774" t="s">
        <v>74</v>
      </c>
      <c r="P774" t="s">
        <v>74</v>
      </c>
      <c r="Q774" t="s">
        <v>74</v>
      </c>
      <c r="R774" t="s">
        <v>74</v>
      </c>
      <c r="S774" t="s">
        <v>74</v>
      </c>
      <c r="T774" t="s">
        <v>74</v>
      </c>
      <c r="U774" t="s">
        <v>14752</v>
      </c>
      <c r="V774" t="s">
        <v>14753</v>
      </c>
      <c r="W774" t="s">
        <v>14754</v>
      </c>
      <c r="X774" t="s">
        <v>14755</v>
      </c>
      <c r="Y774" t="s">
        <v>14756</v>
      </c>
      <c r="Z774" t="s">
        <v>14757</v>
      </c>
      <c r="AA774" t="s">
        <v>74</v>
      </c>
      <c r="AB774" t="s">
        <v>74</v>
      </c>
      <c r="AC774" t="s">
        <v>14758</v>
      </c>
      <c r="AD774" t="s">
        <v>14759</v>
      </c>
      <c r="AE774" t="s">
        <v>14760</v>
      </c>
      <c r="AF774" t="s">
        <v>74</v>
      </c>
      <c r="AG774">
        <v>59</v>
      </c>
      <c r="AH774">
        <v>1</v>
      </c>
      <c r="AI774">
        <v>1</v>
      </c>
      <c r="AJ774">
        <v>1</v>
      </c>
      <c r="AK774">
        <v>1</v>
      </c>
      <c r="AL774" t="s">
        <v>5380</v>
      </c>
      <c r="AM774" t="s">
        <v>5381</v>
      </c>
      <c r="AN774" t="s">
        <v>5382</v>
      </c>
      <c r="AO774" t="s">
        <v>5383</v>
      </c>
      <c r="AP774" t="s">
        <v>74</v>
      </c>
      <c r="AQ774" t="s">
        <v>74</v>
      </c>
      <c r="AR774" t="s">
        <v>5370</v>
      </c>
      <c r="AS774" t="s">
        <v>5060</v>
      </c>
      <c r="AT774" t="s">
        <v>10415</v>
      </c>
      <c r="AU774">
        <v>2023</v>
      </c>
      <c r="AV774">
        <v>36</v>
      </c>
      <c r="AW774" t="s">
        <v>14761</v>
      </c>
      <c r="AX774" t="s">
        <v>74</v>
      </c>
      <c r="AY774" t="s">
        <v>74</v>
      </c>
      <c r="AZ774" t="s">
        <v>74</v>
      </c>
      <c r="BA774" t="s">
        <v>74</v>
      </c>
      <c r="BB774">
        <v>196</v>
      </c>
      <c r="BC774">
        <v>205</v>
      </c>
      <c r="BD774" t="s">
        <v>74</v>
      </c>
      <c r="BE774" t="s">
        <v>74</v>
      </c>
      <c r="BF774" t="s">
        <v>74</v>
      </c>
      <c r="BG774" t="s">
        <v>74</v>
      </c>
      <c r="BH774" t="s">
        <v>74</v>
      </c>
      <c r="BI774">
        <v>10</v>
      </c>
      <c r="BJ774" t="s">
        <v>5060</v>
      </c>
      <c r="BK774" t="s">
        <v>100</v>
      </c>
      <c r="BL774" t="s">
        <v>5060</v>
      </c>
      <c r="BM774" t="s">
        <v>14762</v>
      </c>
      <c r="BN774" t="s">
        <v>74</v>
      </c>
      <c r="BO774" t="s">
        <v>74</v>
      </c>
      <c r="BP774" t="s">
        <v>74</v>
      </c>
      <c r="BQ774" t="s">
        <v>74</v>
      </c>
      <c r="BR774" t="s">
        <v>104</v>
      </c>
      <c r="BS774" t="s">
        <v>14763</v>
      </c>
      <c r="BT774" t="str">
        <f>HYPERLINK("https%3A%2F%2Fwww.webofscience.com%2Fwos%2Fwoscc%2Ffull-record%2FWOS:001180035000027","View Full Record in Web of Science")</f>
        <v>View Full Record in Web of Science</v>
      </c>
    </row>
    <row r="775" spans="1:72" x14ac:dyDescent="0.15">
      <c r="A775" t="s">
        <v>72</v>
      </c>
      <c r="B775" t="s">
        <v>14764</v>
      </c>
      <c r="C775" t="s">
        <v>74</v>
      </c>
      <c r="D775" t="s">
        <v>74</v>
      </c>
      <c r="E775" t="s">
        <v>74</v>
      </c>
      <c r="F775" t="s">
        <v>14765</v>
      </c>
      <c r="G775" t="s">
        <v>74</v>
      </c>
      <c r="H775" t="s">
        <v>14766</v>
      </c>
      <c r="I775" t="s">
        <v>14767</v>
      </c>
      <c r="J775" t="s">
        <v>14768</v>
      </c>
      <c r="K775" t="s">
        <v>74</v>
      </c>
      <c r="L775" t="s">
        <v>74</v>
      </c>
      <c r="M775" t="s">
        <v>78</v>
      </c>
      <c r="N775" t="s">
        <v>79</v>
      </c>
      <c r="O775" t="s">
        <v>74</v>
      </c>
      <c r="P775" t="s">
        <v>74</v>
      </c>
      <c r="Q775" t="s">
        <v>74</v>
      </c>
      <c r="R775" t="s">
        <v>74</v>
      </c>
      <c r="S775" t="s">
        <v>74</v>
      </c>
      <c r="T775" t="s">
        <v>14769</v>
      </c>
      <c r="U775" t="s">
        <v>14770</v>
      </c>
      <c r="V775" t="s">
        <v>14771</v>
      </c>
      <c r="W775" t="s">
        <v>14772</v>
      </c>
      <c r="X775" t="s">
        <v>14773</v>
      </c>
      <c r="Y775" t="s">
        <v>14774</v>
      </c>
      <c r="Z775" t="s">
        <v>14775</v>
      </c>
      <c r="AA775" t="s">
        <v>74</v>
      </c>
      <c r="AB775" t="s">
        <v>14776</v>
      </c>
      <c r="AC775" t="s">
        <v>14777</v>
      </c>
      <c r="AD775" t="s">
        <v>14778</v>
      </c>
      <c r="AE775" t="s">
        <v>14779</v>
      </c>
      <c r="AF775" t="s">
        <v>74</v>
      </c>
      <c r="AG775">
        <v>46</v>
      </c>
      <c r="AH775">
        <v>0</v>
      </c>
      <c r="AI775">
        <v>0</v>
      </c>
      <c r="AJ775">
        <v>0</v>
      </c>
      <c r="AK775">
        <v>0</v>
      </c>
      <c r="AL775" t="s">
        <v>6807</v>
      </c>
      <c r="AM775" t="s">
        <v>6808</v>
      </c>
      <c r="AN775" t="s">
        <v>6809</v>
      </c>
      <c r="AO775" t="s">
        <v>14780</v>
      </c>
      <c r="AP775" t="s">
        <v>74</v>
      </c>
      <c r="AQ775" t="s">
        <v>74</v>
      </c>
      <c r="AR775" t="s">
        <v>14781</v>
      </c>
      <c r="AS775" t="s">
        <v>14782</v>
      </c>
      <c r="AT775" t="s">
        <v>10415</v>
      </c>
      <c r="AU775">
        <v>2023</v>
      </c>
      <c r="AV775" t="s">
        <v>74</v>
      </c>
      <c r="AW775">
        <v>10</v>
      </c>
      <c r="AX775" t="s">
        <v>74</v>
      </c>
      <c r="AY775" t="s">
        <v>74</v>
      </c>
      <c r="AZ775" t="s">
        <v>74</v>
      </c>
      <c r="BA775" t="s">
        <v>74</v>
      </c>
      <c r="BB775" t="s">
        <v>74</v>
      </c>
      <c r="BC775" t="s">
        <v>74</v>
      </c>
      <c r="BD775">
        <v>60</v>
      </c>
      <c r="BE775" t="s">
        <v>14783</v>
      </c>
      <c r="BF775" t="str">
        <f>HYPERLINK("http://dx.doi.org/10.1088/1475-7516/2023/10/060","http://dx.doi.org/10.1088/1475-7516/2023/10/060")</f>
        <v>http://dx.doi.org/10.1088/1475-7516/2023/10/060</v>
      </c>
      <c r="BG775" t="s">
        <v>74</v>
      </c>
      <c r="BH775" t="s">
        <v>74</v>
      </c>
      <c r="BI775">
        <v>30</v>
      </c>
      <c r="BJ775" t="s">
        <v>14784</v>
      </c>
      <c r="BK775" t="s">
        <v>100</v>
      </c>
      <c r="BL775" t="s">
        <v>14785</v>
      </c>
      <c r="BM775" t="s">
        <v>14786</v>
      </c>
      <c r="BN775" t="s">
        <v>74</v>
      </c>
      <c r="BO775" t="s">
        <v>14787</v>
      </c>
      <c r="BP775" t="s">
        <v>74</v>
      </c>
      <c r="BQ775" t="s">
        <v>74</v>
      </c>
      <c r="BR775" t="s">
        <v>104</v>
      </c>
      <c r="BS775" t="s">
        <v>14788</v>
      </c>
      <c r="BT775" t="str">
        <f>HYPERLINK("https%3A%2F%2Fwww.webofscience.com%2Fwos%2Fwoscc%2Ffull-record%2FWOS:001103974500002","View Full Record in Web of Science")</f>
        <v>View Full Record in Web of Science</v>
      </c>
    </row>
    <row r="776" spans="1:72" x14ac:dyDescent="0.15">
      <c r="A776" t="s">
        <v>72</v>
      </c>
      <c r="B776" t="s">
        <v>14789</v>
      </c>
      <c r="C776" t="s">
        <v>74</v>
      </c>
      <c r="D776" t="s">
        <v>74</v>
      </c>
      <c r="E776" t="s">
        <v>74</v>
      </c>
      <c r="F776" t="s">
        <v>14790</v>
      </c>
      <c r="G776" t="s">
        <v>74</v>
      </c>
      <c r="H776" t="s">
        <v>74</v>
      </c>
      <c r="I776" t="s">
        <v>14791</v>
      </c>
      <c r="J776" t="s">
        <v>14792</v>
      </c>
      <c r="K776" t="s">
        <v>74</v>
      </c>
      <c r="L776" t="s">
        <v>74</v>
      </c>
      <c r="M776" t="s">
        <v>5519</v>
      </c>
      <c r="N776" t="s">
        <v>79</v>
      </c>
      <c r="O776" t="s">
        <v>74</v>
      </c>
      <c r="P776" t="s">
        <v>74</v>
      </c>
      <c r="Q776" t="s">
        <v>74</v>
      </c>
      <c r="R776" t="s">
        <v>74</v>
      </c>
      <c r="S776" t="s">
        <v>74</v>
      </c>
      <c r="T776" t="s">
        <v>14793</v>
      </c>
      <c r="U776" t="s">
        <v>74</v>
      </c>
      <c r="V776" t="s">
        <v>14794</v>
      </c>
      <c r="W776" t="s">
        <v>14795</v>
      </c>
      <c r="X776" t="s">
        <v>14796</v>
      </c>
      <c r="Y776" t="s">
        <v>14797</v>
      </c>
      <c r="Z776" t="s">
        <v>14798</v>
      </c>
      <c r="AA776" t="s">
        <v>74</v>
      </c>
      <c r="AB776" t="s">
        <v>74</v>
      </c>
      <c r="AC776" t="s">
        <v>14799</v>
      </c>
      <c r="AD776" t="s">
        <v>511</v>
      </c>
      <c r="AE776" t="s">
        <v>14800</v>
      </c>
      <c r="AF776" t="s">
        <v>74</v>
      </c>
      <c r="AG776">
        <v>29</v>
      </c>
      <c r="AH776">
        <v>1</v>
      </c>
      <c r="AI776">
        <v>1</v>
      </c>
      <c r="AJ776">
        <v>7</v>
      </c>
      <c r="AK776">
        <v>7</v>
      </c>
      <c r="AL776" t="s">
        <v>6885</v>
      </c>
      <c r="AM776" t="s">
        <v>6886</v>
      </c>
      <c r="AN776" t="s">
        <v>6887</v>
      </c>
      <c r="AO776" t="s">
        <v>14801</v>
      </c>
      <c r="AP776" t="s">
        <v>74</v>
      </c>
      <c r="AQ776" t="s">
        <v>74</v>
      </c>
      <c r="AR776" t="s">
        <v>14802</v>
      </c>
      <c r="AS776" t="s">
        <v>14803</v>
      </c>
      <c r="AT776" t="s">
        <v>10415</v>
      </c>
      <c r="AU776">
        <v>2023</v>
      </c>
      <c r="AV776">
        <v>41</v>
      </c>
      <c r="AW776">
        <v>10</v>
      </c>
      <c r="AX776" t="s">
        <v>74</v>
      </c>
      <c r="AY776" t="s">
        <v>74</v>
      </c>
      <c r="AZ776" t="s">
        <v>74</v>
      </c>
      <c r="BA776" t="s">
        <v>74</v>
      </c>
      <c r="BB776">
        <v>921</v>
      </c>
      <c r="BC776">
        <v>928</v>
      </c>
      <c r="BD776" t="s">
        <v>74</v>
      </c>
      <c r="BE776" t="s">
        <v>14804</v>
      </c>
      <c r="BF776" t="str">
        <f>HYPERLINK("http://dx.doi.org/10.3724/SP.J.1123.2023.02011","http://dx.doi.org/10.3724/SP.J.1123.2023.02011")</f>
        <v>http://dx.doi.org/10.3724/SP.J.1123.2023.02011</v>
      </c>
      <c r="BG776" t="s">
        <v>74</v>
      </c>
      <c r="BH776" t="s">
        <v>74</v>
      </c>
      <c r="BI776">
        <v>8</v>
      </c>
      <c r="BJ776" t="s">
        <v>9819</v>
      </c>
      <c r="BK776" t="s">
        <v>912</v>
      </c>
      <c r="BL776" t="s">
        <v>8804</v>
      </c>
      <c r="BM776" t="s">
        <v>14805</v>
      </c>
      <c r="BN776">
        <v>37875414</v>
      </c>
      <c r="BO776" t="s">
        <v>1717</v>
      </c>
      <c r="BP776" t="s">
        <v>74</v>
      </c>
      <c r="BQ776" t="s">
        <v>74</v>
      </c>
      <c r="BR776" t="s">
        <v>104</v>
      </c>
      <c r="BS776" t="s">
        <v>14806</v>
      </c>
      <c r="BT776" t="str">
        <f>HYPERLINK("https%3A%2F%2Fwww.webofscience.com%2Fwos%2Fwoscc%2Ffull-record%2FWOS:001167957700010","View Full Record in Web of Science")</f>
        <v>View Full Record in Web of Science</v>
      </c>
    </row>
    <row r="777" spans="1:72" x14ac:dyDescent="0.15">
      <c r="A777" t="s">
        <v>72</v>
      </c>
      <c r="B777" t="s">
        <v>14807</v>
      </c>
      <c r="C777" t="s">
        <v>74</v>
      </c>
      <c r="D777" t="s">
        <v>74</v>
      </c>
      <c r="E777" t="s">
        <v>74</v>
      </c>
      <c r="F777" t="s">
        <v>14808</v>
      </c>
      <c r="G777" t="s">
        <v>74</v>
      </c>
      <c r="H777" t="s">
        <v>74</v>
      </c>
      <c r="I777" t="s">
        <v>14809</v>
      </c>
      <c r="J777" t="s">
        <v>5264</v>
      </c>
      <c r="K777" t="s">
        <v>74</v>
      </c>
      <c r="L777" t="s">
        <v>74</v>
      </c>
      <c r="M777" t="s">
        <v>78</v>
      </c>
      <c r="N777" t="s">
        <v>79</v>
      </c>
      <c r="O777" t="s">
        <v>74</v>
      </c>
      <c r="P777" t="s">
        <v>74</v>
      </c>
      <c r="Q777" t="s">
        <v>74</v>
      </c>
      <c r="R777" t="s">
        <v>74</v>
      </c>
      <c r="S777" t="s">
        <v>74</v>
      </c>
      <c r="T777" t="s">
        <v>14810</v>
      </c>
      <c r="U777" t="s">
        <v>14811</v>
      </c>
      <c r="V777" t="s">
        <v>14812</v>
      </c>
      <c r="W777" t="s">
        <v>14813</v>
      </c>
      <c r="X777" t="s">
        <v>14814</v>
      </c>
      <c r="Y777" t="s">
        <v>14815</v>
      </c>
      <c r="Z777" t="s">
        <v>14816</v>
      </c>
      <c r="AA777" t="s">
        <v>14817</v>
      </c>
      <c r="AB777" t="s">
        <v>14818</v>
      </c>
      <c r="AC777" t="s">
        <v>14819</v>
      </c>
      <c r="AD777" t="s">
        <v>14819</v>
      </c>
      <c r="AE777" t="s">
        <v>14820</v>
      </c>
      <c r="AF777" t="s">
        <v>74</v>
      </c>
      <c r="AG777">
        <v>90</v>
      </c>
      <c r="AH777">
        <v>5</v>
      </c>
      <c r="AI777">
        <v>5</v>
      </c>
      <c r="AJ777">
        <v>2</v>
      </c>
      <c r="AK777">
        <v>2</v>
      </c>
      <c r="AL777" t="s">
        <v>1208</v>
      </c>
      <c r="AM777" t="s">
        <v>1209</v>
      </c>
      <c r="AN777" t="s">
        <v>1210</v>
      </c>
      <c r="AO777" t="s">
        <v>74</v>
      </c>
      <c r="AP777" t="s">
        <v>5277</v>
      </c>
      <c r="AQ777" t="s">
        <v>74</v>
      </c>
      <c r="AR777" t="s">
        <v>5278</v>
      </c>
      <c r="AS777" t="s">
        <v>5279</v>
      </c>
      <c r="AT777" t="s">
        <v>10415</v>
      </c>
      <c r="AU777">
        <v>2023</v>
      </c>
      <c r="AV777">
        <v>15</v>
      </c>
      <c r="AW777">
        <v>10</v>
      </c>
      <c r="AX777" t="s">
        <v>74</v>
      </c>
      <c r="AY777" t="s">
        <v>74</v>
      </c>
      <c r="AZ777" t="s">
        <v>74</v>
      </c>
      <c r="BA777" t="s">
        <v>74</v>
      </c>
      <c r="BB777" t="s">
        <v>74</v>
      </c>
      <c r="BC777" t="s">
        <v>74</v>
      </c>
      <c r="BD777" t="s">
        <v>14821</v>
      </c>
      <c r="BE777" t="s">
        <v>14822</v>
      </c>
      <c r="BF777" t="str">
        <f>HYPERLINK("http://dx.doi.org/10.1029/2023MS003757","http://dx.doi.org/10.1029/2023MS003757")</f>
        <v>http://dx.doi.org/10.1029/2023MS003757</v>
      </c>
      <c r="BG777" t="s">
        <v>74</v>
      </c>
      <c r="BH777" t="s">
        <v>74</v>
      </c>
      <c r="BI777">
        <v>23</v>
      </c>
      <c r="BJ777" t="s">
        <v>1522</v>
      </c>
      <c r="BK777" t="s">
        <v>100</v>
      </c>
      <c r="BL777" t="s">
        <v>1522</v>
      </c>
      <c r="BM777" t="s">
        <v>14823</v>
      </c>
      <c r="BN777" t="s">
        <v>74</v>
      </c>
      <c r="BO777" t="s">
        <v>349</v>
      </c>
      <c r="BP777" t="s">
        <v>74</v>
      </c>
      <c r="BQ777" t="s">
        <v>74</v>
      </c>
      <c r="BR777" t="s">
        <v>104</v>
      </c>
      <c r="BS777" t="s">
        <v>14824</v>
      </c>
      <c r="BT777" t="str">
        <f>HYPERLINK("https%3A%2F%2Fwww.webofscience.com%2Fwos%2Fwoscc%2Ffull-record%2FWOS:001119189700001","View Full Record in Web of Science")</f>
        <v>View Full Record in Web of Science</v>
      </c>
    </row>
    <row r="778" spans="1:72" x14ac:dyDescent="0.15">
      <c r="A778" t="s">
        <v>72</v>
      </c>
      <c r="B778" t="s">
        <v>14825</v>
      </c>
      <c r="C778" t="s">
        <v>74</v>
      </c>
      <c r="D778" t="s">
        <v>74</v>
      </c>
      <c r="E778" t="s">
        <v>74</v>
      </c>
      <c r="F778" t="s">
        <v>14826</v>
      </c>
      <c r="G778" t="s">
        <v>74</v>
      </c>
      <c r="H778" t="s">
        <v>74</v>
      </c>
      <c r="I778" t="s">
        <v>14827</v>
      </c>
      <c r="J778" t="s">
        <v>4933</v>
      </c>
      <c r="K778" t="s">
        <v>74</v>
      </c>
      <c r="L778" t="s">
        <v>74</v>
      </c>
      <c r="M778" t="s">
        <v>78</v>
      </c>
      <c r="N778" t="s">
        <v>920</v>
      </c>
      <c r="O778" t="s">
        <v>74</v>
      </c>
      <c r="P778" t="s">
        <v>74</v>
      </c>
      <c r="Q778" t="s">
        <v>74</v>
      </c>
      <c r="R778" t="s">
        <v>74</v>
      </c>
      <c r="S778" t="s">
        <v>74</v>
      </c>
      <c r="T778" t="s">
        <v>74</v>
      </c>
      <c r="U778" t="s">
        <v>74</v>
      </c>
      <c r="V778" t="s">
        <v>14828</v>
      </c>
      <c r="W778" t="s">
        <v>14829</v>
      </c>
      <c r="X778" t="s">
        <v>14830</v>
      </c>
      <c r="Y778" t="s">
        <v>14831</v>
      </c>
      <c r="Z778" t="s">
        <v>14832</v>
      </c>
      <c r="AA778" t="s">
        <v>14833</v>
      </c>
      <c r="AB778" t="s">
        <v>14834</v>
      </c>
      <c r="AC778" t="s">
        <v>74</v>
      </c>
      <c r="AD778" t="s">
        <v>74</v>
      </c>
      <c r="AE778" t="s">
        <v>74</v>
      </c>
      <c r="AF778" t="s">
        <v>74</v>
      </c>
      <c r="AG778">
        <v>0</v>
      </c>
      <c r="AH778">
        <v>0</v>
      </c>
      <c r="AI778">
        <v>0</v>
      </c>
      <c r="AJ778">
        <v>1</v>
      </c>
      <c r="AK778">
        <v>1</v>
      </c>
      <c r="AL778" t="s">
        <v>3057</v>
      </c>
      <c r="AM778" t="s">
        <v>3058</v>
      </c>
      <c r="AN778" t="s">
        <v>3059</v>
      </c>
      <c r="AO778" t="s">
        <v>4945</v>
      </c>
      <c r="AP778" t="s">
        <v>4946</v>
      </c>
      <c r="AQ778" t="s">
        <v>74</v>
      </c>
      <c r="AR778" t="s">
        <v>4947</v>
      </c>
      <c r="AS778" t="s">
        <v>4948</v>
      </c>
      <c r="AT778" t="s">
        <v>10415</v>
      </c>
      <c r="AU778">
        <v>2023</v>
      </c>
      <c r="AV778">
        <v>13</v>
      </c>
      <c r="AW778">
        <v>10</v>
      </c>
      <c r="AX778" t="s">
        <v>74</v>
      </c>
      <c r="AY778" t="s">
        <v>74</v>
      </c>
      <c r="AZ778" t="s">
        <v>74</v>
      </c>
      <c r="BA778" t="s">
        <v>74</v>
      </c>
      <c r="BB778">
        <v>1010</v>
      </c>
      <c r="BC778">
        <v>1013</v>
      </c>
      <c r="BD778" t="s">
        <v>74</v>
      </c>
      <c r="BE778" t="s">
        <v>14835</v>
      </c>
      <c r="BF778" t="str">
        <f>HYPERLINK("http://dx.doi.org/10.1038/s41558-023-01819-w","http://dx.doi.org/10.1038/s41558-023-01819-w")</f>
        <v>http://dx.doi.org/10.1038/s41558-023-01819-w</v>
      </c>
      <c r="BG778" t="s">
        <v>74</v>
      </c>
      <c r="BH778" t="s">
        <v>74</v>
      </c>
      <c r="BI778">
        <v>4</v>
      </c>
      <c r="BJ778" t="s">
        <v>4951</v>
      </c>
      <c r="BK778" t="s">
        <v>456</v>
      </c>
      <c r="BL778" t="s">
        <v>2383</v>
      </c>
      <c r="BM778" t="s">
        <v>14836</v>
      </c>
      <c r="BN778" t="s">
        <v>74</v>
      </c>
      <c r="BO778" t="s">
        <v>74</v>
      </c>
      <c r="BP778" t="s">
        <v>74</v>
      </c>
      <c r="BQ778" t="s">
        <v>74</v>
      </c>
      <c r="BR778" t="s">
        <v>104</v>
      </c>
      <c r="BS778" t="s">
        <v>14837</v>
      </c>
      <c r="BT778" t="str">
        <f>HYPERLINK("https%3A%2F%2Fwww.webofscience.com%2Fwos%2Fwoscc%2Ffull-record%2FWOS:001157223900011","View Full Record in Web of Science")</f>
        <v>View Full Record in Web of Science</v>
      </c>
    </row>
    <row r="779" spans="1:72" x14ac:dyDescent="0.15">
      <c r="A779" t="s">
        <v>72</v>
      </c>
      <c r="B779" t="s">
        <v>14838</v>
      </c>
      <c r="C779" t="s">
        <v>74</v>
      </c>
      <c r="D779" t="s">
        <v>74</v>
      </c>
      <c r="E779" t="s">
        <v>74</v>
      </c>
      <c r="F779" t="s">
        <v>14839</v>
      </c>
      <c r="G779" t="s">
        <v>74</v>
      </c>
      <c r="H779" t="s">
        <v>74</v>
      </c>
      <c r="I779" t="s">
        <v>14840</v>
      </c>
      <c r="J779" t="s">
        <v>14841</v>
      </c>
      <c r="K779" t="s">
        <v>74</v>
      </c>
      <c r="L779" t="s">
        <v>74</v>
      </c>
      <c r="M779" t="s">
        <v>78</v>
      </c>
      <c r="N779" t="s">
        <v>79</v>
      </c>
      <c r="O779" t="s">
        <v>74</v>
      </c>
      <c r="P779" t="s">
        <v>74</v>
      </c>
      <c r="Q779" t="s">
        <v>74</v>
      </c>
      <c r="R779" t="s">
        <v>74</v>
      </c>
      <c r="S779" t="s">
        <v>74</v>
      </c>
      <c r="T779" t="s">
        <v>14842</v>
      </c>
      <c r="U779" t="s">
        <v>74</v>
      </c>
      <c r="V779" t="s">
        <v>14843</v>
      </c>
      <c r="W779" t="s">
        <v>14844</v>
      </c>
      <c r="X779" t="s">
        <v>14845</v>
      </c>
      <c r="Y779" t="s">
        <v>14846</v>
      </c>
      <c r="Z779" t="s">
        <v>14847</v>
      </c>
      <c r="AA779" t="s">
        <v>74</v>
      </c>
      <c r="AB779" t="s">
        <v>74</v>
      </c>
      <c r="AC779" t="s">
        <v>5413</v>
      </c>
      <c r="AD779" t="s">
        <v>1450</v>
      </c>
      <c r="AE779" t="s">
        <v>14848</v>
      </c>
      <c r="AF779" t="s">
        <v>74</v>
      </c>
      <c r="AG779">
        <v>9</v>
      </c>
      <c r="AH779">
        <v>0</v>
      </c>
      <c r="AI779">
        <v>0</v>
      </c>
      <c r="AJ779">
        <v>0</v>
      </c>
      <c r="AK779">
        <v>0</v>
      </c>
      <c r="AL779" t="s">
        <v>4990</v>
      </c>
      <c r="AM779" t="s">
        <v>4991</v>
      </c>
      <c r="AN779" t="s">
        <v>4992</v>
      </c>
      <c r="AO779" t="s">
        <v>14849</v>
      </c>
      <c r="AP779" t="s">
        <v>14850</v>
      </c>
      <c r="AQ779" t="s">
        <v>74</v>
      </c>
      <c r="AR779" t="s">
        <v>14851</v>
      </c>
      <c r="AS779" t="s">
        <v>14852</v>
      </c>
      <c r="AT779" t="s">
        <v>10415</v>
      </c>
      <c r="AU779">
        <v>2023</v>
      </c>
      <c r="AV779">
        <v>78</v>
      </c>
      <c r="AW779">
        <v>5</v>
      </c>
      <c r="AX779" t="s">
        <v>74</v>
      </c>
      <c r="AY779" t="s">
        <v>74</v>
      </c>
      <c r="AZ779" t="s">
        <v>74</v>
      </c>
      <c r="BA779" t="s">
        <v>74</v>
      </c>
      <c r="BB779">
        <v>557</v>
      </c>
      <c r="BC779">
        <v>564</v>
      </c>
      <c r="BD779" t="s">
        <v>74</v>
      </c>
      <c r="BE779" t="s">
        <v>14853</v>
      </c>
      <c r="BF779" t="str">
        <f>HYPERLINK("http://dx.doi.org/10.3103/S0145875223050113","http://dx.doi.org/10.3103/S0145875223050113")</f>
        <v>http://dx.doi.org/10.3103/S0145875223050113</v>
      </c>
      <c r="BG779" t="s">
        <v>74</v>
      </c>
      <c r="BH779" t="s">
        <v>74</v>
      </c>
      <c r="BI779">
        <v>8</v>
      </c>
      <c r="BJ779" t="s">
        <v>536</v>
      </c>
      <c r="BK779" t="s">
        <v>912</v>
      </c>
      <c r="BL779" t="s">
        <v>536</v>
      </c>
      <c r="BM779" t="s">
        <v>14854</v>
      </c>
      <c r="BN779" t="s">
        <v>74</v>
      </c>
      <c r="BO779" t="s">
        <v>74</v>
      </c>
      <c r="BP779" t="s">
        <v>74</v>
      </c>
      <c r="BQ779" t="s">
        <v>74</v>
      </c>
      <c r="BR779" t="s">
        <v>104</v>
      </c>
      <c r="BS779" t="s">
        <v>14855</v>
      </c>
      <c r="BT779" t="str">
        <f>HYPERLINK("https%3A%2F%2Fwww.webofscience.com%2Fwos%2Fwoscc%2Ffull-record%2FWOS:001158249600007","View Full Record in Web of Science")</f>
        <v>View Full Record in Web of Science</v>
      </c>
    </row>
    <row r="780" spans="1:72" x14ac:dyDescent="0.15">
      <c r="A780" t="s">
        <v>72</v>
      </c>
      <c r="B780" t="s">
        <v>14856</v>
      </c>
      <c r="C780" t="s">
        <v>74</v>
      </c>
      <c r="D780" t="s">
        <v>74</v>
      </c>
      <c r="E780" t="s">
        <v>74</v>
      </c>
      <c r="F780" t="s">
        <v>14857</v>
      </c>
      <c r="G780" t="s">
        <v>74</v>
      </c>
      <c r="H780" t="s">
        <v>74</v>
      </c>
      <c r="I780" t="s">
        <v>14858</v>
      </c>
      <c r="J780" t="s">
        <v>14859</v>
      </c>
      <c r="K780" t="s">
        <v>74</v>
      </c>
      <c r="L780" t="s">
        <v>74</v>
      </c>
      <c r="M780" t="s">
        <v>78</v>
      </c>
      <c r="N780" t="s">
        <v>79</v>
      </c>
      <c r="O780" t="s">
        <v>74</v>
      </c>
      <c r="P780" t="s">
        <v>74</v>
      </c>
      <c r="Q780" t="s">
        <v>74</v>
      </c>
      <c r="R780" t="s">
        <v>74</v>
      </c>
      <c r="S780" t="s">
        <v>74</v>
      </c>
      <c r="T780" t="s">
        <v>74</v>
      </c>
      <c r="U780" t="s">
        <v>74</v>
      </c>
      <c r="V780" t="s">
        <v>14860</v>
      </c>
      <c r="W780" t="s">
        <v>14861</v>
      </c>
      <c r="X780" t="s">
        <v>14862</v>
      </c>
      <c r="Y780" t="s">
        <v>14863</v>
      </c>
      <c r="Z780" t="s">
        <v>74</v>
      </c>
      <c r="AA780" t="s">
        <v>14864</v>
      </c>
      <c r="AB780" t="s">
        <v>14865</v>
      </c>
      <c r="AC780" t="s">
        <v>74</v>
      </c>
      <c r="AD780" t="s">
        <v>74</v>
      </c>
      <c r="AE780" t="s">
        <v>74</v>
      </c>
      <c r="AF780" t="s">
        <v>74</v>
      </c>
      <c r="AG780">
        <v>81</v>
      </c>
      <c r="AH780">
        <v>1</v>
      </c>
      <c r="AI780">
        <v>1</v>
      </c>
      <c r="AJ780">
        <v>1</v>
      </c>
      <c r="AK780">
        <v>1</v>
      </c>
      <c r="AL780" t="s">
        <v>1782</v>
      </c>
      <c r="AM780" t="s">
        <v>1783</v>
      </c>
      <c r="AN780" t="s">
        <v>1784</v>
      </c>
      <c r="AO780" t="s">
        <v>14866</v>
      </c>
      <c r="AP780" t="s">
        <v>14867</v>
      </c>
      <c r="AQ780" t="s">
        <v>74</v>
      </c>
      <c r="AR780" t="s">
        <v>14868</v>
      </c>
      <c r="AS780" t="s">
        <v>14869</v>
      </c>
      <c r="AT780" t="s">
        <v>10415</v>
      </c>
      <c r="AU780">
        <v>2023</v>
      </c>
      <c r="AV780">
        <v>117</v>
      </c>
      <c r="AW780">
        <v>4</v>
      </c>
      <c r="AX780" t="s">
        <v>74</v>
      </c>
      <c r="AY780" t="s">
        <v>74</v>
      </c>
      <c r="AZ780" t="s">
        <v>74</v>
      </c>
      <c r="BA780" t="s">
        <v>74</v>
      </c>
      <c r="BB780">
        <v>651</v>
      </c>
      <c r="BC780">
        <v>676</v>
      </c>
      <c r="BD780" t="s">
        <v>74</v>
      </c>
      <c r="BE780" t="s">
        <v>14870</v>
      </c>
      <c r="BF780" t="str">
        <f>HYPERLINK("http://dx.doi.org/10.1017/ajil.2023.34","http://dx.doi.org/10.1017/ajil.2023.34")</f>
        <v>http://dx.doi.org/10.1017/ajil.2023.34</v>
      </c>
      <c r="BG780" t="s">
        <v>74</v>
      </c>
      <c r="BH780" t="s">
        <v>74</v>
      </c>
      <c r="BI780">
        <v>26</v>
      </c>
      <c r="BJ780" t="s">
        <v>14871</v>
      </c>
      <c r="BK780" t="s">
        <v>1740</v>
      </c>
      <c r="BL780" t="s">
        <v>8620</v>
      </c>
      <c r="BM780" t="s">
        <v>14872</v>
      </c>
      <c r="BN780" t="s">
        <v>74</v>
      </c>
      <c r="BO780" t="s">
        <v>14873</v>
      </c>
      <c r="BP780" t="s">
        <v>74</v>
      </c>
      <c r="BQ780" t="s">
        <v>74</v>
      </c>
      <c r="BR780" t="s">
        <v>104</v>
      </c>
      <c r="BS780" t="s">
        <v>14874</v>
      </c>
      <c r="BT780" t="str">
        <f>HYPERLINK("https%3A%2F%2Fwww.webofscience.com%2Fwos%2Fwoscc%2Ffull-record%2FWOS:001099663500003","View Full Record in Web of Science")</f>
        <v>View Full Record in Web of Science</v>
      </c>
    </row>
    <row r="781" spans="1:72" x14ac:dyDescent="0.15">
      <c r="A781" t="s">
        <v>72</v>
      </c>
      <c r="B781" t="s">
        <v>14875</v>
      </c>
      <c r="C781" t="s">
        <v>74</v>
      </c>
      <c r="D781" t="s">
        <v>74</v>
      </c>
      <c r="E781" t="s">
        <v>74</v>
      </c>
      <c r="F781" t="s">
        <v>14876</v>
      </c>
      <c r="G781" t="s">
        <v>74</v>
      </c>
      <c r="H781" t="s">
        <v>74</v>
      </c>
      <c r="I781" t="s">
        <v>14877</v>
      </c>
      <c r="J781" t="s">
        <v>5749</v>
      </c>
      <c r="K781" t="s">
        <v>74</v>
      </c>
      <c r="L781" t="s">
        <v>74</v>
      </c>
      <c r="M781" t="s">
        <v>78</v>
      </c>
      <c r="N781" t="s">
        <v>79</v>
      </c>
      <c r="O781" t="s">
        <v>74</v>
      </c>
      <c r="P781" t="s">
        <v>74</v>
      </c>
      <c r="Q781" t="s">
        <v>74</v>
      </c>
      <c r="R781" t="s">
        <v>74</v>
      </c>
      <c r="S781" t="s">
        <v>74</v>
      </c>
      <c r="T781" t="s">
        <v>14878</v>
      </c>
      <c r="U781" t="s">
        <v>14879</v>
      </c>
      <c r="V781" t="s">
        <v>14880</v>
      </c>
      <c r="W781" t="s">
        <v>14881</v>
      </c>
      <c r="X781" t="s">
        <v>14882</v>
      </c>
      <c r="Y781" t="s">
        <v>14883</v>
      </c>
      <c r="Z781" t="s">
        <v>14884</v>
      </c>
      <c r="AA781" t="s">
        <v>14885</v>
      </c>
      <c r="AB781" t="s">
        <v>14886</v>
      </c>
      <c r="AC781" t="s">
        <v>14887</v>
      </c>
      <c r="AD781" t="s">
        <v>14888</v>
      </c>
      <c r="AE781" t="s">
        <v>14889</v>
      </c>
      <c r="AF781" t="s">
        <v>74</v>
      </c>
      <c r="AG781">
        <v>42</v>
      </c>
      <c r="AH781">
        <v>1</v>
      </c>
      <c r="AI781">
        <v>1</v>
      </c>
      <c r="AJ781">
        <v>1</v>
      </c>
      <c r="AK781">
        <v>1</v>
      </c>
      <c r="AL781" t="s">
        <v>1208</v>
      </c>
      <c r="AM781" t="s">
        <v>1209</v>
      </c>
      <c r="AN781" t="s">
        <v>1210</v>
      </c>
      <c r="AO781" t="s">
        <v>5762</v>
      </c>
      <c r="AP781" t="s">
        <v>5763</v>
      </c>
      <c r="AQ781" t="s">
        <v>74</v>
      </c>
      <c r="AR781" t="s">
        <v>5764</v>
      </c>
      <c r="AS781" t="s">
        <v>5765</v>
      </c>
      <c r="AT781" t="s">
        <v>10415</v>
      </c>
      <c r="AU781">
        <v>2023</v>
      </c>
      <c r="AV781">
        <v>128</v>
      </c>
      <c r="AW781">
        <v>10</v>
      </c>
      <c r="AX781" t="s">
        <v>74</v>
      </c>
      <c r="AY781" t="s">
        <v>74</v>
      </c>
      <c r="AZ781" t="s">
        <v>74</v>
      </c>
      <c r="BA781" t="s">
        <v>74</v>
      </c>
      <c r="BB781" t="s">
        <v>74</v>
      </c>
      <c r="BC781" t="s">
        <v>74</v>
      </c>
      <c r="BD781" t="s">
        <v>14890</v>
      </c>
      <c r="BE781" t="s">
        <v>14891</v>
      </c>
      <c r="BF781" t="str">
        <f>HYPERLINK("http://dx.doi.org/10.1029/2023JC019948","http://dx.doi.org/10.1029/2023JC019948")</f>
        <v>http://dx.doi.org/10.1029/2023JC019948</v>
      </c>
      <c r="BG781" t="s">
        <v>74</v>
      </c>
      <c r="BH781" t="s">
        <v>74</v>
      </c>
      <c r="BI781">
        <v>14</v>
      </c>
      <c r="BJ781" t="s">
        <v>5060</v>
      </c>
      <c r="BK781" t="s">
        <v>100</v>
      </c>
      <c r="BL781" t="s">
        <v>5060</v>
      </c>
      <c r="BM781" t="s">
        <v>14892</v>
      </c>
      <c r="BN781" t="s">
        <v>74</v>
      </c>
      <c r="BO781" t="s">
        <v>1356</v>
      </c>
      <c r="BP781" t="s">
        <v>74</v>
      </c>
      <c r="BQ781" t="s">
        <v>74</v>
      </c>
      <c r="BR781" t="s">
        <v>104</v>
      </c>
      <c r="BS781" t="s">
        <v>14893</v>
      </c>
      <c r="BT781" t="str">
        <f>HYPERLINK("https%3A%2F%2Fwww.webofscience.com%2Fwos%2Fwoscc%2Ffull-record%2FWOS:001074945700001","View Full Record in Web of Science")</f>
        <v>View Full Record in Web of Science</v>
      </c>
    </row>
    <row r="782" spans="1:72" x14ac:dyDescent="0.15">
      <c r="A782" t="s">
        <v>72</v>
      </c>
      <c r="B782" t="s">
        <v>14894</v>
      </c>
      <c r="C782" t="s">
        <v>74</v>
      </c>
      <c r="D782" t="s">
        <v>74</v>
      </c>
      <c r="E782" t="s">
        <v>74</v>
      </c>
      <c r="F782" t="s">
        <v>14895</v>
      </c>
      <c r="G782" t="s">
        <v>74</v>
      </c>
      <c r="H782" t="s">
        <v>74</v>
      </c>
      <c r="I782" t="s">
        <v>14896</v>
      </c>
      <c r="J782" t="s">
        <v>5106</v>
      </c>
      <c r="K782" t="s">
        <v>74</v>
      </c>
      <c r="L782" t="s">
        <v>74</v>
      </c>
      <c r="M782" t="s">
        <v>78</v>
      </c>
      <c r="N782" t="s">
        <v>79</v>
      </c>
      <c r="O782" t="s">
        <v>74</v>
      </c>
      <c r="P782" t="s">
        <v>74</v>
      </c>
      <c r="Q782" t="s">
        <v>74</v>
      </c>
      <c r="R782" t="s">
        <v>74</v>
      </c>
      <c r="S782" t="s">
        <v>74</v>
      </c>
      <c r="T782" t="s">
        <v>14897</v>
      </c>
      <c r="U782" t="s">
        <v>14898</v>
      </c>
      <c r="V782" t="s">
        <v>14899</v>
      </c>
      <c r="W782" t="s">
        <v>14900</v>
      </c>
      <c r="X782" t="s">
        <v>14901</v>
      </c>
      <c r="Y782" t="s">
        <v>14902</v>
      </c>
      <c r="Z782" t="s">
        <v>14903</v>
      </c>
      <c r="AA782" t="s">
        <v>3205</v>
      </c>
      <c r="AB782" t="s">
        <v>14904</v>
      </c>
      <c r="AC782" t="s">
        <v>14905</v>
      </c>
      <c r="AD782" t="s">
        <v>14906</v>
      </c>
      <c r="AE782" t="s">
        <v>14907</v>
      </c>
      <c r="AF782" t="s">
        <v>74</v>
      </c>
      <c r="AG782">
        <v>74</v>
      </c>
      <c r="AH782">
        <v>1</v>
      </c>
      <c r="AI782">
        <v>1</v>
      </c>
      <c r="AJ782">
        <v>1</v>
      </c>
      <c r="AK782">
        <v>1</v>
      </c>
      <c r="AL782" t="s">
        <v>5117</v>
      </c>
      <c r="AM782" t="s">
        <v>5118</v>
      </c>
      <c r="AN782" t="s">
        <v>5119</v>
      </c>
      <c r="AO782" t="s">
        <v>5120</v>
      </c>
      <c r="AP782" t="s">
        <v>5121</v>
      </c>
      <c r="AQ782" t="s">
        <v>74</v>
      </c>
      <c r="AR782" t="s">
        <v>5122</v>
      </c>
      <c r="AS782" t="s">
        <v>5123</v>
      </c>
      <c r="AT782" t="s">
        <v>10415</v>
      </c>
      <c r="AU782">
        <v>2023</v>
      </c>
      <c r="AV782">
        <v>36</v>
      </c>
      <c r="AW782">
        <v>20</v>
      </c>
      <c r="AX782" t="s">
        <v>74</v>
      </c>
      <c r="AY782" t="s">
        <v>74</v>
      </c>
      <c r="AZ782" t="s">
        <v>74</v>
      </c>
      <c r="BA782" t="s">
        <v>74</v>
      </c>
      <c r="BB782">
        <v>7025</v>
      </c>
      <c r="BC782">
        <v>7039</v>
      </c>
      <c r="BD782" t="s">
        <v>74</v>
      </c>
      <c r="BE782" t="s">
        <v>14908</v>
      </c>
      <c r="BF782" t="str">
        <f>HYPERLINK("http://dx.doi.org/10.1175/JCLI-D-22-0501.1","http://dx.doi.org/10.1175/JCLI-D-22-0501.1")</f>
        <v>http://dx.doi.org/10.1175/JCLI-D-22-0501.1</v>
      </c>
      <c r="BG782" t="s">
        <v>74</v>
      </c>
      <c r="BH782" t="s">
        <v>74</v>
      </c>
      <c r="BI782">
        <v>15</v>
      </c>
      <c r="BJ782" t="s">
        <v>1522</v>
      </c>
      <c r="BK782" t="s">
        <v>100</v>
      </c>
      <c r="BL782" t="s">
        <v>1522</v>
      </c>
      <c r="BM782" t="s">
        <v>14909</v>
      </c>
      <c r="BN782" t="s">
        <v>74</v>
      </c>
      <c r="BO782" t="s">
        <v>1794</v>
      </c>
      <c r="BP782" t="s">
        <v>74</v>
      </c>
      <c r="BQ782" t="s">
        <v>74</v>
      </c>
      <c r="BR782" t="s">
        <v>104</v>
      </c>
      <c r="BS782" t="s">
        <v>14910</v>
      </c>
      <c r="BT782" t="str">
        <f>HYPERLINK("https%3A%2F%2Fwww.webofscience.com%2Fwos%2Fwoscc%2Ffull-record%2FWOS:001150576000002","View Full Record in Web of Science")</f>
        <v>View Full Record in Web of Science</v>
      </c>
    </row>
    <row r="783" spans="1:72" x14ac:dyDescent="0.15">
      <c r="A783" t="s">
        <v>72</v>
      </c>
      <c r="B783" t="s">
        <v>14911</v>
      </c>
      <c r="C783" t="s">
        <v>74</v>
      </c>
      <c r="D783" t="s">
        <v>74</v>
      </c>
      <c r="E783" t="s">
        <v>74</v>
      </c>
      <c r="F783" t="s">
        <v>14912</v>
      </c>
      <c r="G783" t="s">
        <v>74</v>
      </c>
      <c r="H783" t="s">
        <v>74</v>
      </c>
      <c r="I783" t="s">
        <v>14913</v>
      </c>
      <c r="J783" t="s">
        <v>5706</v>
      </c>
      <c r="K783" t="s">
        <v>74</v>
      </c>
      <c r="L783" t="s">
        <v>74</v>
      </c>
      <c r="M783" t="s">
        <v>78</v>
      </c>
      <c r="N783" t="s">
        <v>441</v>
      </c>
      <c r="O783" t="s">
        <v>74</v>
      </c>
      <c r="P783" t="s">
        <v>74</v>
      </c>
      <c r="Q783" t="s">
        <v>74</v>
      </c>
      <c r="R783" t="s">
        <v>74</v>
      </c>
      <c r="S783" t="s">
        <v>74</v>
      </c>
      <c r="T783" t="s">
        <v>14914</v>
      </c>
      <c r="U783" t="s">
        <v>14915</v>
      </c>
      <c r="V783" t="s">
        <v>14916</v>
      </c>
      <c r="W783" t="s">
        <v>14917</v>
      </c>
      <c r="X783" t="s">
        <v>2773</v>
      </c>
      <c r="Y783" t="s">
        <v>14918</v>
      </c>
      <c r="Z783" t="s">
        <v>14919</v>
      </c>
      <c r="AA783" t="s">
        <v>14920</v>
      </c>
      <c r="AB783" t="s">
        <v>14921</v>
      </c>
      <c r="AC783" t="s">
        <v>14922</v>
      </c>
      <c r="AD783" t="s">
        <v>14923</v>
      </c>
      <c r="AE783" t="s">
        <v>14924</v>
      </c>
      <c r="AF783" t="s">
        <v>74</v>
      </c>
      <c r="AG783">
        <v>226</v>
      </c>
      <c r="AH783">
        <v>0</v>
      </c>
      <c r="AI783">
        <v>0</v>
      </c>
      <c r="AJ783">
        <v>5</v>
      </c>
      <c r="AK783">
        <v>5</v>
      </c>
      <c r="AL783" t="s">
        <v>5695</v>
      </c>
      <c r="AM783" t="s">
        <v>5696</v>
      </c>
      <c r="AN783" t="s">
        <v>5697</v>
      </c>
      <c r="AO783" t="s">
        <v>74</v>
      </c>
      <c r="AP783" t="s">
        <v>5719</v>
      </c>
      <c r="AQ783" t="s">
        <v>74</v>
      </c>
      <c r="AR783" t="s">
        <v>5720</v>
      </c>
      <c r="AS783" t="s">
        <v>5721</v>
      </c>
      <c r="AT783" t="s">
        <v>10415</v>
      </c>
      <c r="AU783">
        <v>2023</v>
      </c>
      <c r="AV783">
        <v>15</v>
      </c>
      <c r="AW783">
        <v>19</v>
      </c>
      <c r="AX783" t="s">
        <v>74</v>
      </c>
      <c r="AY783" t="s">
        <v>74</v>
      </c>
      <c r="AZ783" t="s">
        <v>74</v>
      </c>
      <c r="BA783" t="s">
        <v>74</v>
      </c>
      <c r="BB783" t="s">
        <v>74</v>
      </c>
      <c r="BC783" t="s">
        <v>74</v>
      </c>
      <c r="BD783">
        <v>4866</v>
      </c>
      <c r="BE783" t="s">
        <v>14925</v>
      </c>
      <c r="BF783" t="str">
        <f>HYPERLINK("http://dx.doi.org/10.3390/rs15194866","http://dx.doi.org/10.3390/rs15194866")</f>
        <v>http://dx.doi.org/10.3390/rs15194866</v>
      </c>
      <c r="BG783" t="s">
        <v>74</v>
      </c>
      <c r="BH783" t="s">
        <v>74</v>
      </c>
      <c r="BI783">
        <v>33</v>
      </c>
      <c r="BJ783" t="s">
        <v>5723</v>
      </c>
      <c r="BK783" t="s">
        <v>100</v>
      </c>
      <c r="BL783" t="s">
        <v>5724</v>
      </c>
      <c r="BM783" t="s">
        <v>14926</v>
      </c>
      <c r="BN783" t="s">
        <v>74</v>
      </c>
      <c r="BO783" t="s">
        <v>131</v>
      </c>
      <c r="BP783" t="s">
        <v>74</v>
      </c>
      <c r="BQ783" t="s">
        <v>74</v>
      </c>
      <c r="BR783" t="s">
        <v>104</v>
      </c>
      <c r="BS783" t="s">
        <v>14927</v>
      </c>
      <c r="BT783" t="str">
        <f>HYPERLINK("https%3A%2F%2Fwww.webofscience.com%2Fwos%2Fwoscc%2Ffull-record%2FWOS:001145625800001","View Full Record in Web of Science")</f>
        <v>View Full Record in Web of Science</v>
      </c>
    </row>
    <row r="784" spans="1:72" x14ac:dyDescent="0.15">
      <c r="A784" t="s">
        <v>72</v>
      </c>
      <c r="B784" t="s">
        <v>14928</v>
      </c>
      <c r="C784" t="s">
        <v>74</v>
      </c>
      <c r="D784" t="s">
        <v>74</v>
      </c>
      <c r="E784" t="s">
        <v>74</v>
      </c>
      <c r="F784" t="s">
        <v>14929</v>
      </c>
      <c r="G784" t="s">
        <v>74</v>
      </c>
      <c r="H784" t="s">
        <v>74</v>
      </c>
      <c r="I784" t="s">
        <v>14930</v>
      </c>
      <c r="J784" t="s">
        <v>14931</v>
      </c>
      <c r="K784" t="s">
        <v>74</v>
      </c>
      <c r="L784" t="s">
        <v>74</v>
      </c>
      <c r="M784" t="s">
        <v>78</v>
      </c>
      <c r="N784" t="s">
        <v>79</v>
      </c>
      <c r="O784" t="s">
        <v>74</v>
      </c>
      <c r="P784" t="s">
        <v>74</v>
      </c>
      <c r="Q784" t="s">
        <v>74</v>
      </c>
      <c r="R784" t="s">
        <v>74</v>
      </c>
      <c r="S784" t="s">
        <v>74</v>
      </c>
      <c r="T784" t="s">
        <v>14932</v>
      </c>
      <c r="U784" t="s">
        <v>14933</v>
      </c>
      <c r="V784" t="s">
        <v>14934</v>
      </c>
      <c r="W784" t="s">
        <v>14935</v>
      </c>
      <c r="X784" t="s">
        <v>5180</v>
      </c>
      <c r="Y784" t="s">
        <v>14936</v>
      </c>
      <c r="Z784" t="s">
        <v>14937</v>
      </c>
      <c r="AA784" t="s">
        <v>14938</v>
      </c>
      <c r="AB784" t="s">
        <v>14939</v>
      </c>
      <c r="AC784" t="s">
        <v>14940</v>
      </c>
      <c r="AD784" t="s">
        <v>1450</v>
      </c>
      <c r="AE784" t="s">
        <v>14941</v>
      </c>
      <c r="AF784" t="s">
        <v>74</v>
      </c>
      <c r="AG784">
        <v>23</v>
      </c>
      <c r="AH784">
        <v>0</v>
      </c>
      <c r="AI784">
        <v>0</v>
      </c>
      <c r="AJ784">
        <v>1</v>
      </c>
      <c r="AK784">
        <v>1</v>
      </c>
      <c r="AL784" t="s">
        <v>5050</v>
      </c>
      <c r="AM784" t="s">
        <v>1076</v>
      </c>
      <c r="AN784" t="s">
        <v>5051</v>
      </c>
      <c r="AO784" t="s">
        <v>14942</v>
      </c>
      <c r="AP784" t="s">
        <v>14943</v>
      </c>
      <c r="AQ784" t="s">
        <v>74</v>
      </c>
      <c r="AR784" t="s">
        <v>14944</v>
      </c>
      <c r="AS784" t="s">
        <v>14945</v>
      </c>
      <c r="AT784" t="s">
        <v>10415</v>
      </c>
      <c r="AU784">
        <v>2023</v>
      </c>
      <c r="AV784">
        <v>65</v>
      </c>
      <c r="AW784">
        <v>5</v>
      </c>
      <c r="AX784" t="s">
        <v>74</v>
      </c>
      <c r="AY784" t="s">
        <v>74</v>
      </c>
      <c r="AZ784" t="s">
        <v>74</v>
      </c>
      <c r="BA784" t="s">
        <v>74</v>
      </c>
      <c r="BB784">
        <v>585</v>
      </c>
      <c r="BC784">
        <v>591</v>
      </c>
      <c r="BD784" t="s">
        <v>74</v>
      </c>
      <c r="BE784" t="s">
        <v>14946</v>
      </c>
      <c r="BF784" t="str">
        <f>HYPERLINK("http://dx.doi.org/10.1134/S1066362223050090","http://dx.doi.org/10.1134/S1066362223050090")</f>
        <v>http://dx.doi.org/10.1134/S1066362223050090</v>
      </c>
      <c r="BG784" t="s">
        <v>74</v>
      </c>
      <c r="BH784" t="s">
        <v>74</v>
      </c>
      <c r="BI784">
        <v>7</v>
      </c>
      <c r="BJ784" t="s">
        <v>14947</v>
      </c>
      <c r="BK784" t="s">
        <v>912</v>
      </c>
      <c r="BL784" t="s">
        <v>8804</v>
      </c>
      <c r="BM784" t="s">
        <v>14948</v>
      </c>
      <c r="BN784" t="s">
        <v>74</v>
      </c>
      <c r="BO784" t="s">
        <v>74</v>
      </c>
      <c r="BP784" t="s">
        <v>74</v>
      </c>
      <c r="BQ784" t="s">
        <v>74</v>
      </c>
      <c r="BR784" t="s">
        <v>104</v>
      </c>
      <c r="BS784" t="s">
        <v>14949</v>
      </c>
      <c r="BT784" t="str">
        <f>HYPERLINK("https%3A%2F%2Fwww.webofscience.com%2Fwos%2Fwoscc%2Ffull-record%2FWOS:001122197000008","View Full Record in Web of Science")</f>
        <v>View Full Record in Web of Science</v>
      </c>
    </row>
    <row r="785" spans="1:72" x14ac:dyDescent="0.15">
      <c r="A785" t="s">
        <v>72</v>
      </c>
      <c r="B785" t="s">
        <v>14950</v>
      </c>
      <c r="C785" t="s">
        <v>74</v>
      </c>
      <c r="D785" t="s">
        <v>74</v>
      </c>
      <c r="E785" t="s">
        <v>74</v>
      </c>
      <c r="F785" t="s">
        <v>14951</v>
      </c>
      <c r="G785" t="s">
        <v>74</v>
      </c>
      <c r="H785" t="s">
        <v>74</v>
      </c>
      <c r="I785" t="s">
        <v>14952</v>
      </c>
      <c r="J785" t="s">
        <v>3706</v>
      </c>
      <c r="K785" t="s">
        <v>74</v>
      </c>
      <c r="L785" t="s">
        <v>74</v>
      </c>
      <c r="M785" t="s">
        <v>78</v>
      </c>
      <c r="N785" t="s">
        <v>79</v>
      </c>
      <c r="O785" t="s">
        <v>74</v>
      </c>
      <c r="P785" t="s">
        <v>74</v>
      </c>
      <c r="Q785" t="s">
        <v>74</v>
      </c>
      <c r="R785" t="s">
        <v>74</v>
      </c>
      <c r="S785" t="s">
        <v>74</v>
      </c>
      <c r="T785" t="s">
        <v>14953</v>
      </c>
      <c r="U785" t="s">
        <v>74</v>
      </c>
      <c r="V785" t="s">
        <v>14954</v>
      </c>
      <c r="W785" t="s">
        <v>14955</v>
      </c>
      <c r="X785" t="s">
        <v>14956</v>
      </c>
      <c r="Y785" t="s">
        <v>14957</v>
      </c>
      <c r="Z785" t="s">
        <v>14958</v>
      </c>
      <c r="AA785" t="s">
        <v>14959</v>
      </c>
      <c r="AB785" t="s">
        <v>14960</v>
      </c>
      <c r="AC785" t="s">
        <v>14961</v>
      </c>
      <c r="AD785" t="s">
        <v>14962</v>
      </c>
      <c r="AE785" t="s">
        <v>14963</v>
      </c>
      <c r="AF785" t="s">
        <v>74</v>
      </c>
      <c r="AG785">
        <v>41</v>
      </c>
      <c r="AH785">
        <v>1</v>
      </c>
      <c r="AI785">
        <v>1</v>
      </c>
      <c r="AJ785">
        <v>7</v>
      </c>
      <c r="AK785">
        <v>7</v>
      </c>
      <c r="AL785" t="s">
        <v>3719</v>
      </c>
      <c r="AM785" t="s">
        <v>1209</v>
      </c>
      <c r="AN785" t="s">
        <v>3720</v>
      </c>
      <c r="AO785" t="s">
        <v>3721</v>
      </c>
      <c r="AP785" t="s">
        <v>74</v>
      </c>
      <c r="AQ785" t="s">
        <v>74</v>
      </c>
      <c r="AR785" t="s">
        <v>3722</v>
      </c>
      <c r="AS785" t="s">
        <v>3723</v>
      </c>
      <c r="AT785" t="s">
        <v>10415</v>
      </c>
      <c r="AU785">
        <v>2023</v>
      </c>
      <c r="AV785">
        <v>11</v>
      </c>
      <c r="AW785">
        <v>5</v>
      </c>
      <c r="AX785" t="s">
        <v>74</v>
      </c>
      <c r="AY785" t="s">
        <v>74</v>
      </c>
      <c r="AZ785" t="s">
        <v>74</v>
      </c>
      <c r="BA785" t="s">
        <v>74</v>
      </c>
      <c r="BB785" t="s">
        <v>74</v>
      </c>
      <c r="BC785" t="s">
        <v>74</v>
      </c>
      <c r="BD785" t="s">
        <v>14964</v>
      </c>
      <c r="BE785" t="s">
        <v>14965</v>
      </c>
      <c r="BF785" t="str">
        <f>HYPERLINK("http://dx.doi.org/10.1128/spectrum.05237-22","http://dx.doi.org/10.1128/spectrum.05237-22")</f>
        <v>http://dx.doi.org/10.1128/spectrum.05237-22</v>
      </c>
      <c r="BG785" t="s">
        <v>74</v>
      </c>
      <c r="BH785" t="s">
        <v>74</v>
      </c>
      <c r="BI785">
        <v>17</v>
      </c>
      <c r="BJ785" t="s">
        <v>1084</v>
      </c>
      <c r="BK785" t="s">
        <v>100</v>
      </c>
      <c r="BL785" t="s">
        <v>1084</v>
      </c>
      <c r="BM785" t="s">
        <v>14966</v>
      </c>
      <c r="BN785">
        <v>37695074</v>
      </c>
      <c r="BO785" t="s">
        <v>9546</v>
      </c>
      <c r="BP785" t="s">
        <v>74</v>
      </c>
      <c r="BQ785" t="s">
        <v>74</v>
      </c>
      <c r="BR785" t="s">
        <v>104</v>
      </c>
      <c r="BS785" t="s">
        <v>14967</v>
      </c>
      <c r="BT785" t="str">
        <f>HYPERLINK("https%3A%2F%2Fwww.webofscience.com%2Fwos%2Fwoscc%2Ffull-record%2FWOS:001107303900244","View Full Record in Web of Science")</f>
        <v>View Full Record in Web of Science</v>
      </c>
    </row>
    <row r="786" spans="1:72" x14ac:dyDescent="0.15">
      <c r="A786" t="s">
        <v>72</v>
      </c>
      <c r="B786" t="s">
        <v>14968</v>
      </c>
      <c r="C786" t="s">
        <v>74</v>
      </c>
      <c r="D786" t="s">
        <v>74</v>
      </c>
      <c r="E786" t="s">
        <v>74</v>
      </c>
      <c r="F786" t="s">
        <v>14969</v>
      </c>
      <c r="G786" t="s">
        <v>74</v>
      </c>
      <c r="H786" t="s">
        <v>74</v>
      </c>
      <c r="I786" t="s">
        <v>14970</v>
      </c>
      <c r="J786" t="s">
        <v>3706</v>
      </c>
      <c r="K786" t="s">
        <v>74</v>
      </c>
      <c r="L786" t="s">
        <v>74</v>
      </c>
      <c r="M786" t="s">
        <v>78</v>
      </c>
      <c r="N786" t="s">
        <v>79</v>
      </c>
      <c r="O786" t="s">
        <v>74</v>
      </c>
      <c r="P786" t="s">
        <v>74</v>
      </c>
      <c r="Q786" t="s">
        <v>74</v>
      </c>
      <c r="R786" t="s">
        <v>74</v>
      </c>
      <c r="S786" t="s">
        <v>74</v>
      </c>
      <c r="T786" t="s">
        <v>14971</v>
      </c>
      <c r="U786" t="s">
        <v>14972</v>
      </c>
      <c r="V786" t="s">
        <v>14973</v>
      </c>
      <c r="W786" t="s">
        <v>14974</v>
      </c>
      <c r="X786" t="s">
        <v>14975</v>
      </c>
      <c r="Y786" t="s">
        <v>14976</v>
      </c>
      <c r="Z786" t="s">
        <v>8464</v>
      </c>
      <c r="AA786" t="s">
        <v>74</v>
      </c>
      <c r="AB786" t="s">
        <v>74</v>
      </c>
      <c r="AC786" t="s">
        <v>14977</v>
      </c>
      <c r="AD786" t="s">
        <v>14978</v>
      </c>
      <c r="AE786" t="s">
        <v>14979</v>
      </c>
      <c r="AF786" t="s">
        <v>74</v>
      </c>
      <c r="AG786">
        <v>72</v>
      </c>
      <c r="AH786">
        <v>1</v>
      </c>
      <c r="AI786">
        <v>1</v>
      </c>
      <c r="AJ786">
        <v>8</v>
      </c>
      <c r="AK786">
        <v>8</v>
      </c>
      <c r="AL786" t="s">
        <v>3719</v>
      </c>
      <c r="AM786" t="s">
        <v>1209</v>
      </c>
      <c r="AN786" t="s">
        <v>3720</v>
      </c>
      <c r="AO786" t="s">
        <v>3721</v>
      </c>
      <c r="AP786" t="s">
        <v>74</v>
      </c>
      <c r="AQ786" t="s">
        <v>74</v>
      </c>
      <c r="AR786" t="s">
        <v>3722</v>
      </c>
      <c r="AS786" t="s">
        <v>3723</v>
      </c>
      <c r="AT786" t="s">
        <v>10415</v>
      </c>
      <c r="AU786">
        <v>2023</v>
      </c>
      <c r="AV786">
        <v>11</v>
      </c>
      <c r="AW786">
        <v>5</v>
      </c>
      <c r="AX786" t="s">
        <v>74</v>
      </c>
      <c r="AY786" t="s">
        <v>74</v>
      </c>
      <c r="AZ786" t="s">
        <v>74</v>
      </c>
      <c r="BA786" t="s">
        <v>74</v>
      </c>
      <c r="BB786" t="s">
        <v>74</v>
      </c>
      <c r="BC786" t="s">
        <v>74</v>
      </c>
      <c r="BD786" t="s">
        <v>14980</v>
      </c>
      <c r="BE786" t="s">
        <v>14981</v>
      </c>
      <c r="BF786" t="str">
        <f>HYPERLINK("http://dx.doi.org/10.1128/spectrum.01912-23","http://dx.doi.org/10.1128/spectrum.01912-23")</f>
        <v>http://dx.doi.org/10.1128/spectrum.01912-23</v>
      </c>
      <c r="BG786" t="s">
        <v>74</v>
      </c>
      <c r="BH786" t="s">
        <v>74</v>
      </c>
      <c r="BI786">
        <v>15</v>
      </c>
      <c r="BJ786" t="s">
        <v>1084</v>
      </c>
      <c r="BK786" t="s">
        <v>100</v>
      </c>
      <c r="BL786" t="s">
        <v>1084</v>
      </c>
      <c r="BM786" t="s">
        <v>14966</v>
      </c>
      <c r="BN786" t="s">
        <v>74</v>
      </c>
      <c r="BO786" t="s">
        <v>200</v>
      </c>
      <c r="BP786" t="s">
        <v>74</v>
      </c>
      <c r="BQ786" t="s">
        <v>74</v>
      </c>
      <c r="BR786" t="s">
        <v>104</v>
      </c>
      <c r="BS786" t="s">
        <v>14982</v>
      </c>
      <c r="BT786" t="str">
        <f>HYPERLINK("https%3A%2F%2Fwww.webofscience.com%2Fwos%2Fwoscc%2Ffull-record%2FWOS:001107303900149","View Full Record in Web of Science")</f>
        <v>View Full Record in Web of Science</v>
      </c>
    </row>
    <row r="787" spans="1:72" x14ac:dyDescent="0.15">
      <c r="A787" t="s">
        <v>72</v>
      </c>
      <c r="B787" t="s">
        <v>14983</v>
      </c>
      <c r="C787" t="s">
        <v>74</v>
      </c>
      <c r="D787" t="s">
        <v>74</v>
      </c>
      <c r="E787" t="s">
        <v>74</v>
      </c>
      <c r="F787" t="s">
        <v>14984</v>
      </c>
      <c r="G787" t="s">
        <v>74</v>
      </c>
      <c r="H787" t="s">
        <v>74</v>
      </c>
      <c r="I787" t="s">
        <v>14985</v>
      </c>
      <c r="J787" t="s">
        <v>1770</v>
      </c>
      <c r="K787" t="s">
        <v>74</v>
      </c>
      <c r="L787" t="s">
        <v>74</v>
      </c>
      <c r="M787" t="s">
        <v>78</v>
      </c>
      <c r="N787" t="s">
        <v>920</v>
      </c>
      <c r="O787" t="s">
        <v>74</v>
      </c>
      <c r="P787" t="s">
        <v>74</v>
      </c>
      <c r="Q787" t="s">
        <v>74</v>
      </c>
      <c r="R787" t="s">
        <v>74</v>
      </c>
      <c r="S787" t="s">
        <v>74</v>
      </c>
      <c r="T787" t="s">
        <v>74</v>
      </c>
      <c r="U787" t="s">
        <v>74</v>
      </c>
      <c r="V787" t="s">
        <v>74</v>
      </c>
      <c r="W787" t="s">
        <v>14986</v>
      </c>
      <c r="X787" t="s">
        <v>13188</v>
      </c>
      <c r="Y787" t="s">
        <v>14987</v>
      </c>
      <c r="Z787" t="s">
        <v>74</v>
      </c>
      <c r="AA787" t="s">
        <v>74</v>
      </c>
      <c r="AB787" t="s">
        <v>74</v>
      </c>
      <c r="AC787" t="s">
        <v>74</v>
      </c>
      <c r="AD787" t="s">
        <v>74</v>
      </c>
      <c r="AE787" t="s">
        <v>74</v>
      </c>
      <c r="AF787" t="s">
        <v>74</v>
      </c>
      <c r="AG787">
        <v>1</v>
      </c>
      <c r="AH787">
        <v>0</v>
      </c>
      <c r="AI787">
        <v>0</v>
      </c>
      <c r="AJ787">
        <v>1</v>
      </c>
      <c r="AK787">
        <v>1</v>
      </c>
      <c r="AL787" t="s">
        <v>1782</v>
      </c>
      <c r="AM787" t="s">
        <v>1783</v>
      </c>
      <c r="AN787" t="s">
        <v>1784</v>
      </c>
      <c r="AO787" t="s">
        <v>1785</v>
      </c>
      <c r="AP787" t="s">
        <v>1786</v>
      </c>
      <c r="AQ787" t="s">
        <v>74</v>
      </c>
      <c r="AR787" t="s">
        <v>1787</v>
      </c>
      <c r="AS787" t="s">
        <v>1788</v>
      </c>
      <c r="AT787" t="s">
        <v>10415</v>
      </c>
      <c r="AU787">
        <v>2023</v>
      </c>
      <c r="AV787">
        <v>35</v>
      </c>
      <c r="AW787">
        <v>5</v>
      </c>
      <c r="AX787" t="s">
        <v>74</v>
      </c>
      <c r="AY787" t="s">
        <v>74</v>
      </c>
      <c r="AZ787" t="s">
        <v>74</v>
      </c>
      <c r="BA787" t="s">
        <v>74</v>
      </c>
      <c r="BB787">
        <v>317</v>
      </c>
      <c r="BC787">
        <v>318</v>
      </c>
      <c r="BD787" t="s">
        <v>74</v>
      </c>
      <c r="BE787" t="s">
        <v>14988</v>
      </c>
      <c r="BF787" t="str">
        <f>HYPERLINK("http://dx.doi.org/10.1017/S0954102023000299","http://dx.doi.org/10.1017/S0954102023000299")</f>
        <v>http://dx.doi.org/10.1017/S0954102023000299</v>
      </c>
      <c r="BG787" t="s">
        <v>74</v>
      </c>
      <c r="BH787" t="s">
        <v>74</v>
      </c>
      <c r="BI787">
        <v>2</v>
      </c>
      <c r="BJ787" t="s">
        <v>1791</v>
      </c>
      <c r="BK787" t="s">
        <v>100</v>
      </c>
      <c r="BL787" t="s">
        <v>1792</v>
      </c>
      <c r="BM787" t="s">
        <v>14150</v>
      </c>
      <c r="BN787" t="s">
        <v>74</v>
      </c>
      <c r="BO787" t="s">
        <v>74</v>
      </c>
      <c r="BP787" t="s">
        <v>74</v>
      </c>
      <c r="BQ787" t="s">
        <v>74</v>
      </c>
      <c r="BR787" t="s">
        <v>104</v>
      </c>
      <c r="BS787" t="s">
        <v>14989</v>
      </c>
      <c r="BT787" t="str">
        <f>HYPERLINK("https%3A%2F%2Fwww.webofscience.com%2Fwos%2Fwoscc%2Ffull-record%2FWOS:001093926400001","View Full Record in Web of Science")</f>
        <v>View Full Record in Web of Science</v>
      </c>
    </row>
    <row r="788" spans="1:72" x14ac:dyDescent="0.15">
      <c r="A788" t="s">
        <v>72</v>
      </c>
      <c r="B788" t="s">
        <v>14990</v>
      </c>
      <c r="C788" t="s">
        <v>74</v>
      </c>
      <c r="D788" t="s">
        <v>74</v>
      </c>
      <c r="E788" t="s">
        <v>74</v>
      </c>
      <c r="F788" t="s">
        <v>14991</v>
      </c>
      <c r="G788" t="s">
        <v>74</v>
      </c>
      <c r="H788" t="s">
        <v>74</v>
      </c>
      <c r="I788" t="s">
        <v>14992</v>
      </c>
      <c r="J788" t="s">
        <v>1770</v>
      </c>
      <c r="K788" t="s">
        <v>74</v>
      </c>
      <c r="L788" t="s">
        <v>74</v>
      </c>
      <c r="M788" t="s">
        <v>78</v>
      </c>
      <c r="N788" t="s">
        <v>79</v>
      </c>
      <c r="O788" t="s">
        <v>74</v>
      </c>
      <c r="P788" t="s">
        <v>74</v>
      </c>
      <c r="Q788" t="s">
        <v>74</v>
      </c>
      <c r="R788" t="s">
        <v>74</v>
      </c>
      <c r="S788" t="s">
        <v>74</v>
      </c>
      <c r="T788" t="s">
        <v>14993</v>
      </c>
      <c r="U788" t="s">
        <v>14994</v>
      </c>
      <c r="V788" t="s">
        <v>14995</v>
      </c>
      <c r="W788" t="s">
        <v>14996</v>
      </c>
      <c r="X788" t="s">
        <v>14997</v>
      </c>
      <c r="Y788" t="s">
        <v>14998</v>
      </c>
      <c r="Z788" t="s">
        <v>14999</v>
      </c>
      <c r="AA788" t="s">
        <v>15000</v>
      </c>
      <c r="AB788" t="s">
        <v>15001</v>
      </c>
      <c r="AC788" t="s">
        <v>15002</v>
      </c>
      <c r="AD788" t="s">
        <v>15003</v>
      </c>
      <c r="AE788" t="s">
        <v>15004</v>
      </c>
      <c r="AF788" t="s">
        <v>74</v>
      </c>
      <c r="AG788">
        <v>24</v>
      </c>
      <c r="AH788">
        <v>0</v>
      </c>
      <c r="AI788">
        <v>0</v>
      </c>
      <c r="AJ788">
        <v>7</v>
      </c>
      <c r="AK788">
        <v>7</v>
      </c>
      <c r="AL788" t="s">
        <v>1782</v>
      </c>
      <c r="AM788" t="s">
        <v>1783</v>
      </c>
      <c r="AN788" t="s">
        <v>1784</v>
      </c>
      <c r="AO788" t="s">
        <v>1785</v>
      </c>
      <c r="AP788" t="s">
        <v>1786</v>
      </c>
      <c r="AQ788" t="s">
        <v>74</v>
      </c>
      <c r="AR788" t="s">
        <v>1787</v>
      </c>
      <c r="AS788" t="s">
        <v>1788</v>
      </c>
      <c r="AT788" t="s">
        <v>10415</v>
      </c>
      <c r="AU788">
        <v>2023</v>
      </c>
      <c r="AV788">
        <v>35</v>
      </c>
      <c r="AW788">
        <v>5</v>
      </c>
      <c r="AX788" t="s">
        <v>74</v>
      </c>
      <c r="AY788" t="s">
        <v>74</v>
      </c>
      <c r="AZ788" t="s">
        <v>74</v>
      </c>
      <c r="BA788" t="s">
        <v>74</v>
      </c>
      <c r="BB788">
        <v>319</v>
      </c>
      <c r="BC788">
        <v>327</v>
      </c>
      <c r="BD788" t="s">
        <v>74</v>
      </c>
      <c r="BE788" t="s">
        <v>15005</v>
      </c>
      <c r="BF788" t="str">
        <f>HYPERLINK("http://dx.doi.org/10.1017/S0954102023000238","http://dx.doi.org/10.1017/S0954102023000238")</f>
        <v>http://dx.doi.org/10.1017/S0954102023000238</v>
      </c>
      <c r="BG788" t="s">
        <v>74</v>
      </c>
      <c r="BH788" t="s">
        <v>74</v>
      </c>
      <c r="BI788">
        <v>9</v>
      </c>
      <c r="BJ788" t="s">
        <v>1791</v>
      </c>
      <c r="BK788" t="s">
        <v>100</v>
      </c>
      <c r="BL788" t="s">
        <v>1792</v>
      </c>
      <c r="BM788" t="s">
        <v>14150</v>
      </c>
      <c r="BN788" t="s">
        <v>74</v>
      </c>
      <c r="BO788" t="s">
        <v>74</v>
      </c>
      <c r="BP788" t="s">
        <v>74</v>
      </c>
      <c r="BQ788" t="s">
        <v>74</v>
      </c>
      <c r="BR788" t="s">
        <v>104</v>
      </c>
      <c r="BS788" t="s">
        <v>15006</v>
      </c>
      <c r="BT788" t="str">
        <f>HYPERLINK("https%3A%2F%2Fwww.webofscience.com%2Fwos%2Fwoscc%2Ffull-record%2FWOS:001093926400002","View Full Record in Web of Science")</f>
        <v>View Full Record in Web of Science</v>
      </c>
    </row>
    <row r="789" spans="1:72" x14ac:dyDescent="0.15">
      <c r="A789" t="s">
        <v>72</v>
      </c>
      <c r="B789" t="s">
        <v>15007</v>
      </c>
      <c r="C789" t="s">
        <v>74</v>
      </c>
      <c r="D789" t="s">
        <v>74</v>
      </c>
      <c r="E789" t="s">
        <v>74</v>
      </c>
      <c r="F789" t="s">
        <v>15008</v>
      </c>
      <c r="G789" t="s">
        <v>74</v>
      </c>
      <c r="H789" t="s">
        <v>74</v>
      </c>
      <c r="I789" t="s">
        <v>15009</v>
      </c>
      <c r="J789" t="s">
        <v>5106</v>
      </c>
      <c r="K789" t="s">
        <v>74</v>
      </c>
      <c r="L789" t="s">
        <v>74</v>
      </c>
      <c r="M789" t="s">
        <v>78</v>
      </c>
      <c r="N789" t="s">
        <v>79</v>
      </c>
      <c r="O789" t="s">
        <v>74</v>
      </c>
      <c r="P789" t="s">
        <v>74</v>
      </c>
      <c r="Q789" t="s">
        <v>74</v>
      </c>
      <c r="R789" t="s">
        <v>74</v>
      </c>
      <c r="S789" t="s">
        <v>74</v>
      </c>
      <c r="T789" t="s">
        <v>15010</v>
      </c>
      <c r="U789" t="s">
        <v>15011</v>
      </c>
      <c r="V789" t="s">
        <v>15012</v>
      </c>
      <c r="W789" t="s">
        <v>15013</v>
      </c>
      <c r="X789" t="s">
        <v>15014</v>
      </c>
      <c r="Y789" t="s">
        <v>15015</v>
      </c>
      <c r="Z789" t="s">
        <v>15016</v>
      </c>
      <c r="AA789" t="s">
        <v>74</v>
      </c>
      <c r="AB789" t="s">
        <v>15017</v>
      </c>
      <c r="AC789" t="s">
        <v>15018</v>
      </c>
      <c r="AD789" t="s">
        <v>15019</v>
      </c>
      <c r="AE789" t="s">
        <v>15020</v>
      </c>
      <c r="AF789" t="s">
        <v>74</v>
      </c>
      <c r="AG789">
        <v>107</v>
      </c>
      <c r="AH789">
        <v>0</v>
      </c>
      <c r="AI789">
        <v>0</v>
      </c>
      <c r="AJ789">
        <v>6</v>
      </c>
      <c r="AK789">
        <v>6</v>
      </c>
      <c r="AL789" t="s">
        <v>5117</v>
      </c>
      <c r="AM789" t="s">
        <v>5118</v>
      </c>
      <c r="AN789" t="s">
        <v>5119</v>
      </c>
      <c r="AO789" t="s">
        <v>5120</v>
      </c>
      <c r="AP789" t="s">
        <v>5121</v>
      </c>
      <c r="AQ789" t="s">
        <v>74</v>
      </c>
      <c r="AR789" t="s">
        <v>5122</v>
      </c>
      <c r="AS789" t="s">
        <v>5123</v>
      </c>
      <c r="AT789" t="s">
        <v>10415</v>
      </c>
      <c r="AU789">
        <v>2023</v>
      </c>
      <c r="AV789">
        <v>36</v>
      </c>
      <c r="AW789">
        <v>19</v>
      </c>
      <c r="AX789" t="s">
        <v>74</v>
      </c>
      <c r="AY789" t="s">
        <v>74</v>
      </c>
      <c r="AZ789" t="s">
        <v>74</v>
      </c>
      <c r="BA789" t="s">
        <v>74</v>
      </c>
      <c r="BB789">
        <v>6729</v>
      </c>
      <c r="BC789">
        <v>6748</v>
      </c>
      <c r="BD789" t="s">
        <v>74</v>
      </c>
      <c r="BE789" t="s">
        <v>15021</v>
      </c>
      <c r="BF789" t="str">
        <f>HYPERLINK("http://dx.doi.org/10.1175/JCLI-D-22-0731.1","http://dx.doi.org/10.1175/JCLI-D-22-0731.1")</f>
        <v>http://dx.doi.org/10.1175/JCLI-D-22-0731.1</v>
      </c>
      <c r="BG789" t="s">
        <v>74</v>
      </c>
      <c r="BH789" t="s">
        <v>74</v>
      </c>
      <c r="BI789">
        <v>20</v>
      </c>
      <c r="BJ789" t="s">
        <v>1522</v>
      </c>
      <c r="BK789" t="s">
        <v>100</v>
      </c>
      <c r="BL789" t="s">
        <v>1522</v>
      </c>
      <c r="BM789" t="s">
        <v>15022</v>
      </c>
      <c r="BN789" t="s">
        <v>74</v>
      </c>
      <c r="BO789" t="s">
        <v>1794</v>
      </c>
      <c r="BP789" t="s">
        <v>74</v>
      </c>
      <c r="BQ789" t="s">
        <v>74</v>
      </c>
      <c r="BR789" t="s">
        <v>104</v>
      </c>
      <c r="BS789" t="s">
        <v>15023</v>
      </c>
      <c r="BT789" t="str">
        <f>HYPERLINK("https%3A%2F%2Fwww.webofscience.com%2Fwos%2Fwoscc%2Ffull-record%2FWOS:001106772300001","View Full Record in Web of Science")</f>
        <v>View Full Record in Web of Science</v>
      </c>
    </row>
    <row r="790" spans="1:72" x14ac:dyDescent="0.15">
      <c r="A790" t="s">
        <v>72</v>
      </c>
      <c r="B790" t="s">
        <v>15024</v>
      </c>
      <c r="C790" t="s">
        <v>74</v>
      </c>
      <c r="D790" t="s">
        <v>74</v>
      </c>
      <c r="E790" t="s">
        <v>74</v>
      </c>
      <c r="F790" t="s">
        <v>15025</v>
      </c>
      <c r="G790" t="s">
        <v>74</v>
      </c>
      <c r="H790" t="s">
        <v>74</v>
      </c>
      <c r="I790" t="s">
        <v>15026</v>
      </c>
      <c r="J790" t="s">
        <v>15027</v>
      </c>
      <c r="K790" t="s">
        <v>74</v>
      </c>
      <c r="L790" t="s">
        <v>74</v>
      </c>
      <c r="M790" t="s">
        <v>78</v>
      </c>
      <c r="N790" t="s">
        <v>79</v>
      </c>
      <c r="O790" t="s">
        <v>74</v>
      </c>
      <c r="P790" t="s">
        <v>74</v>
      </c>
      <c r="Q790" t="s">
        <v>74</v>
      </c>
      <c r="R790" t="s">
        <v>74</v>
      </c>
      <c r="S790" t="s">
        <v>74</v>
      </c>
      <c r="T790" t="s">
        <v>15028</v>
      </c>
      <c r="U790" t="s">
        <v>15029</v>
      </c>
      <c r="V790" t="s">
        <v>15030</v>
      </c>
      <c r="W790" t="s">
        <v>15031</v>
      </c>
      <c r="X790" t="s">
        <v>15032</v>
      </c>
      <c r="Y790" t="s">
        <v>15033</v>
      </c>
      <c r="Z790" t="s">
        <v>11369</v>
      </c>
      <c r="AA790" t="s">
        <v>11370</v>
      </c>
      <c r="AB790" t="s">
        <v>15034</v>
      </c>
      <c r="AC790" t="s">
        <v>15035</v>
      </c>
      <c r="AD790" t="s">
        <v>15036</v>
      </c>
      <c r="AE790" t="s">
        <v>15037</v>
      </c>
      <c r="AF790" t="s">
        <v>74</v>
      </c>
      <c r="AG790">
        <v>70</v>
      </c>
      <c r="AH790">
        <v>1</v>
      </c>
      <c r="AI790">
        <v>1</v>
      </c>
      <c r="AJ790">
        <v>8</v>
      </c>
      <c r="AK790">
        <v>8</v>
      </c>
      <c r="AL790" t="s">
        <v>11330</v>
      </c>
      <c r="AM790" t="s">
        <v>6886</v>
      </c>
      <c r="AN790" t="s">
        <v>11331</v>
      </c>
      <c r="AO790" t="s">
        <v>15038</v>
      </c>
      <c r="AP790" t="s">
        <v>74</v>
      </c>
      <c r="AQ790" t="s">
        <v>74</v>
      </c>
      <c r="AR790" t="s">
        <v>15039</v>
      </c>
      <c r="AS790" t="s">
        <v>15040</v>
      </c>
      <c r="AT790" t="s">
        <v>10415</v>
      </c>
      <c r="AU790">
        <v>2023</v>
      </c>
      <c r="AV790">
        <v>14</v>
      </c>
      <c r="AW790">
        <v>5</v>
      </c>
      <c r="AX790" t="s">
        <v>74</v>
      </c>
      <c r="AY790" t="s">
        <v>74</v>
      </c>
      <c r="AZ790" t="s">
        <v>74</v>
      </c>
      <c r="BA790" t="s">
        <v>74</v>
      </c>
      <c r="BB790">
        <v>732</v>
      </c>
      <c r="BC790">
        <v>745</v>
      </c>
      <c r="BD790" t="s">
        <v>74</v>
      </c>
      <c r="BE790" t="s">
        <v>15041</v>
      </c>
      <c r="BF790" t="str">
        <f>HYPERLINK("http://dx.doi.org/10.1016/j.accre.2023.09.013","http://dx.doi.org/10.1016/j.accre.2023.09.013")</f>
        <v>http://dx.doi.org/10.1016/j.accre.2023.09.013</v>
      </c>
      <c r="BG790" t="s">
        <v>74</v>
      </c>
      <c r="BH790" t="s">
        <v>74</v>
      </c>
      <c r="BI790">
        <v>14</v>
      </c>
      <c r="BJ790" t="s">
        <v>2382</v>
      </c>
      <c r="BK790" t="s">
        <v>100</v>
      </c>
      <c r="BL790" t="s">
        <v>2383</v>
      </c>
      <c r="BM790" t="s">
        <v>15042</v>
      </c>
      <c r="BN790" t="s">
        <v>74</v>
      </c>
      <c r="BO790" t="s">
        <v>131</v>
      </c>
      <c r="BP790" t="s">
        <v>74</v>
      </c>
      <c r="BQ790" t="s">
        <v>74</v>
      </c>
      <c r="BR790" t="s">
        <v>104</v>
      </c>
      <c r="BS790" t="s">
        <v>15043</v>
      </c>
      <c r="BT790" t="str">
        <f>HYPERLINK("https%3A%2F%2Fwww.webofscience.com%2Fwos%2Fwoscc%2Ffull-record%2FWOS:001107465500001","View Full Record in Web of Science")</f>
        <v>View Full Record in Web of Science</v>
      </c>
    </row>
    <row r="791" spans="1:72" x14ac:dyDescent="0.15">
      <c r="A791" t="s">
        <v>72</v>
      </c>
      <c r="B791" t="s">
        <v>15044</v>
      </c>
      <c r="C791" t="s">
        <v>74</v>
      </c>
      <c r="D791" t="s">
        <v>74</v>
      </c>
      <c r="E791" t="s">
        <v>74</v>
      </c>
      <c r="F791" t="s">
        <v>15045</v>
      </c>
      <c r="G791" t="s">
        <v>74</v>
      </c>
      <c r="H791" t="s">
        <v>74</v>
      </c>
      <c r="I791" t="s">
        <v>15046</v>
      </c>
      <c r="J791" t="s">
        <v>15047</v>
      </c>
      <c r="K791" t="s">
        <v>74</v>
      </c>
      <c r="L791" t="s">
        <v>74</v>
      </c>
      <c r="M791" t="s">
        <v>78</v>
      </c>
      <c r="N791" t="s">
        <v>79</v>
      </c>
      <c r="O791" t="s">
        <v>74</v>
      </c>
      <c r="P791" t="s">
        <v>74</v>
      </c>
      <c r="Q791" t="s">
        <v>74</v>
      </c>
      <c r="R791" t="s">
        <v>74</v>
      </c>
      <c r="S791" t="s">
        <v>74</v>
      </c>
      <c r="T791" t="s">
        <v>15048</v>
      </c>
      <c r="U791" t="s">
        <v>15049</v>
      </c>
      <c r="V791" t="s">
        <v>15050</v>
      </c>
      <c r="W791" t="s">
        <v>15051</v>
      </c>
      <c r="X791" t="s">
        <v>15052</v>
      </c>
      <c r="Y791" t="s">
        <v>15053</v>
      </c>
      <c r="Z791" t="s">
        <v>15054</v>
      </c>
      <c r="AA791" t="s">
        <v>15055</v>
      </c>
      <c r="AB791" t="s">
        <v>15056</v>
      </c>
      <c r="AC791" t="s">
        <v>15057</v>
      </c>
      <c r="AD791" t="s">
        <v>15058</v>
      </c>
      <c r="AE791" t="s">
        <v>15059</v>
      </c>
      <c r="AF791" t="s">
        <v>74</v>
      </c>
      <c r="AG791">
        <v>39</v>
      </c>
      <c r="AH791">
        <v>1</v>
      </c>
      <c r="AI791">
        <v>1</v>
      </c>
      <c r="AJ791">
        <v>2</v>
      </c>
      <c r="AK791">
        <v>2</v>
      </c>
      <c r="AL791" t="s">
        <v>5695</v>
      </c>
      <c r="AM791" t="s">
        <v>5696</v>
      </c>
      <c r="AN791" t="s">
        <v>5697</v>
      </c>
      <c r="AO791" t="s">
        <v>15060</v>
      </c>
      <c r="AP791" t="s">
        <v>74</v>
      </c>
      <c r="AQ791" t="s">
        <v>74</v>
      </c>
      <c r="AR791" t="s">
        <v>15047</v>
      </c>
      <c r="AS791" t="s">
        <v>15061</v>
      </c>
      <c r="AT791" t="s">
        <v>10415</v>
      </c>
      <c r="AU791">
        <v>2023</v>
      </c>
      <c r="AV791">
        <v>12</v>
      </c>
      <c r="AW791">
        <v>10</v>
      </c>
      <c r="AX791" t="s">
        <v>74</v>
      </c>
      <c r="AY791" t="s">
        <v>74</v>
      </c>
      <c r="AZ791" t="s">
        <v>74</v>
      </c>
      <c r="BA791" t="s">
        <v>74</v>
      </c>
      <c r="BB791" t="s">
        <v>74</v>
      </c>
      <c r="BC791" t="s">
        <v>74</v>
      </c>
      <c r="BD791">
        <v>1556</v>
      </c>
      <c r="BE791" t="s">
        <v>15062</v>
      </c>
      <c r="BF791" t="str">
        <f>HYPERLINK("http://dx.doi.org/10.3390/antibiotics12101556","http://dx.doi.org/10.3390/antibiotics12101556")</f>
        <v>http://dx.doi.org/10.3390/antibiotics12101556</v>
      </c>
      <c r="BG791" t="s">
        <v>74</v>
      </c>
      <c r="BH791" t="s">
        <v>74</v>
      </c>
      <c r="BI791">
        <v>24</v>
      </c>
      <c r="BJ791" t="s">
        <v>15063</v>
      </c>
      <c r="BK791" t="s">
        <v>100</v>
      </c>
      <c r="BL791" t="s">
        <v>15063</v>
      </c>
      <c r="BM791" t="s">
        <v>15064</v>
      </c>
      <c r="BN791">
        <v>37887257</v>
      </c>
      <c r="BO791" t="s">
        <v>265</v>
      </c>
      <c r="BP791" t="s">
        <v>74</v>
      </c>
      <c r="BQ791" t="s">
        <v>74</v>
      </c>
      <c r="BR791" t="s">
        <v>104</v>
      </c>
      <c r="BS791" t="s">
        <v>15065</v>
      </c>
      <c r="BT791" t="str">
        <f>HYPERLINK("https%3A%2F%2Fwww.webofscience.com%2Fwos%2Fwoscc%2Ffull-record%2FWOS:001099602800001","View Full Record in Web of Science")</f>
        <v>View Full Record in Web of Science</v>
      </c>
    </row>
    <row r="792" spans="1:72" x14ac:dyDescent="0.15">
      <c r="A792" t="s">
        <v>72</v>
      </c>
      <c r="B792" t="s">
        <v>15066</v>
      </c>
      <c r="C792" t="s">
        <v>74</v>
      </c>
      <c r="D792" t="s">
        <v>74</v>
      </c>
      <c r="E792" t="s">
        <v>74</v>
      </c>
      <c r="F792" t="s">
        <v>15067</v>
      </c>
      <c r="G792" t="s">
        <v>74</v>
      </c>
      <c r="H792" t="s">
        <v>74</v>
      </c>
      <c r="I792" t="s">
        <v>15068</v>
      </c>
      <c r="J792" t="s">
        <v>5773</v>
      </c>
      <c r="K792" t="s">
        <v>74</v>
      </c>
      <c r="L792" t="s">
        <v>74</v>
      </c>
      <c r="M792" t="s">
        <v>78</v>
      </c>
      <c r="N792" t="s">
        <v>79</v>
      </c>
      <c r="O792" t="s">
        <v>74</v>
      </c>
      <c r="P792" t="s">
        <v>74</v>
      </c>
      <c r="Q792" t="s">
        <v>74</v>
      </c>
      <c r="R792" t="s">
        <v>74</v>
      </c>
      <c r="S792" t="s">
        <v>74</v>
      </c>
      <c r="T792" t="s">
        <v>15069</v>
      </c>
      <c r="U792" t="s">
        <v>15070</v>
      </c>
      <c r="V792" t="s">
        <v>15071</v>
      </c>
      <c r="W792" t="s">
        <v>15072</v>
      </c>
      <c r="X792" t="s">
        <v>15073</v>
      </c>
      <c r="Y792" t="s">
        <v>15074</v>
      </c>
      <c r="Z792" t="s">
        <v>15075</v>
      </c>
      <c r="AA792" t="s">
        <v>15076</v>
      </c>
      <c r="AB792" t="s">
        <v>15077</v>
      </c>
      <c r="AC792" t="s">
        <v>15078</v>
      </c>
      <c r="AD792" t="s">
        <v>15078</v>
      </c>
      <c r="AE792" t="s">
        <v>15079</v>
      </c>
      <c r="AF792" t="s">
        <v>74</v>
      </c>
      <c r="AG792">
        <v>58</v>
      </c>
      <c r="AH792">
        <v>0</v>
      </c>
      <c r="AI792">
        <v>0</v>
      </c>
      <c r="AJ792">
        <v>2</v>
      </c>
      <c r="AK792">
        <v>2</v>
      </c>
      <c r="AL792" t="s">
        <v>5695</v>
      </c>
      <c r="AM792" t="s">
        <v>5696</v>
      </c>
      <c r="AN792" t="s">
        <v>5697</v>
      </c>
      <c r="AO792" t="s">
        <v>74</v>
      </c>
      <c r="AP792" t="s">
        <v>5784</v>
      </c>
      <c r="AQ792" t="s">
        <v>74</v>
      </c>
      <c r="AR792" t="s">
        <v>5785</v>
      </c>
      <c r="AS792" t="s">
        <v>5786</v>
      </c>
      <c r="AT792" t="s">
        <v>10415</v>
      </c>
      <c r="AU792">
        <v>2023</v>
      </c>
      <c r="AV792">
        <v>11</v>
      </c>
      <c r="AW792">
        <v>10</v>
      </c>
      <c r="AX792" t="s">
        <v>74</v>
      </c>
      <c r="AY792" t="s">
        <v>74</v>
      </c>
      <c r="AZ792" t="s">
        <v>74</v>
      </c>
      <c r="BA792" t="s">
        <v>74</v>
      </c>
      <c r="BB792" t="s">
        <v>74</v>
      </c>
      <c r="BC792" t="s">
        <v>74</v>
      </c>
      <c r="BD792">
        <v>1912</v>
      </c>
      <c r="BE792" t="s">
        <v>15080</v>
      </c>
      <c r="BF792" t="str">
        <f>HYPERLINK("http://dx.doi.org/10.3390/jmse11101912","http://dx.doi.org/10.3390/jmse11101912")</f>
        <v>http://dx.doi.org/10.3390/jmse11101912</v>
      </c>
      <c r="BG792" t="s">
        <v>74</v>
      </c>
      <c r="BH792" t="s">
        <v>74</v>
      </c>
      <c r="BI792">
        <v>13</v>
      </c>
      <c r="BJ792" t="s">
        <v>5788</v>
      </c>
      <c r="BK792" t="s">
        <v>100</v>
      </c>
      <c r="BL792" t="s">
        <v>5789</v>
      </c>
      <c r="BM792" t="s">
        <v>15081</v>
      </c>
      <c r="BN792" t="s">
        <v>74</v>
      </c>
      <c r="BO792" t="s">
        <v>131</v>
      </c>
      <c r="BP792" t="s">
        <v>74</v>
      </c>
      <c r="BQ792" t="s">
        <v>74</v>
      </c>
      <c r="BR792" t="s">
        <v>104</v>
      </c>
      <c r="BS792" t="s">
        <v>15082</v>
      </c>
      <c r="BT792" t="str">
        <f>HYPERLINK("https%3A%2F%2Fwww.webofscience.com%2Fwos%2Fwoscc%2Ffull-record%2FWOS:001097990600001","View Full Record in Web of Science")</f>
        <v>View Full Record in Web of Science</v>
      </c>
    </row>
    <row r="793" spans="1:72" x14ac:dyDescent="0.15">
      <c r="A793" t="s">
        <v>72</v>
      </c>
      <c r="B793" t="s">
        <v>15083</v>
      </c>
      <c r="C793" t="s">
        <v>74</v>
      </c>
      <c r="D793" t="s">
        <v>74</v>
      </c>
      <c r="E793" t="s">
        <v>74</v>
      </c>
      <c r="F793" t="s">
        <v>15084</v>
      </c>
      <c r="G793" t="s">
        <v>74</v>
      </c>
      <c r="H793" t="s">
        <v>74</v>
      </c>
      <c r="I793" t="s">
        <v>15085</v>
      </c>
      <c r="J793" t="s">
        <v>6632</v>
      </c>
      <c r="K793" t="s">
        <v>74</v>
      </c>
      <c r="L793" t="s">
        <v>74</v>
      </c>
      <c r="M793" t="s">
        <v>78</v>
      </c>
      <c r="N793" t="s">
        <v>79</v>
      </c>
      <c r="O793" t="s">
        <v>74</v>
      </c>
      <c r="P793" t="s">
        <v>74</v>
      </c>
      <c r="Q793" t="s">
        <v>74</v>
      </c>
      <c r="R793" t="s">
        <v>74</v>
      </c>
      <c r="S793" t="s">
        <v>74</v>
      </c>
      <c r="T793" t="s">
        <v>15086</v>
      </c>
      <c r="U793" t="s">
        <v>15087</v>
      </c>
      <c r="V793" t="s">
        <v>15088</v>
      </c>
      <c r="W793" t="s">
        <v>15089</v>
      </c>
      <c r="X793" t="s">
        <v>15090</v>
      </c>
      <c r="Y793" t="s">
        <v>15091</v>
      </c>
      <c r="Z793" t="s">
        <v>15092</v>
      </c>
      <c r="AA793" t="s">
        <v>5030</v>
      </c>
      <c r="AB793" t="s">
        <v>5031</v>
      </c>
      <c r="AC793" t="s">
        <v>15093</v>
      </c>
      <c r="AD793" t="s">
        <v>15094</v>
      </c>
      <c r="AE793" t="s">
        <v>15095</v>
      </c>
      <c r="AF793" t="s">
        <v>74</v>
      </c>
      <c r="AG793">
        <v>78</v>
      </c>
      <c r="AH793">
        <v>0</v>
      </c>
      <c r="AI793">
        <v>0</v>
      </c>
      <c r="AJ793">
        <v>6</v>
      </c>
      <c r="AK793">
        <v>6</v>
      </c>
      <c r="AL793" t="s">
        <v>1208</v>
      </c>
      <c r="AM793" t="s">
        <v>1209</v>
      </c>
      <c r="AN793" t="s">
        <v>1210</v>
      </c>
      <c r="AO793" t="s">
        <v>6645</v>
      </c>
      <c r="AP793" t="s">
        <v>6646</v>
      </c>
      <c r="AQ793" t="s">
        <v>74</v>
      </c>
      <c r="AR793" t="s">
        <v>6647</v>
      </c>
      <c r="AS793" t="s">
        <v>6648</v>
      </c>
      <c r="AT793" t="s">
        <v>10415</v>
      </c>
      <c r="AU793">
        <v>2023</v>
      </c>
      <c r="AV793">
        <v>128</v>
      </c>
      <c r="AW793">
        <v>10</v>
      </c>
      <c r="AX793" t="s">
        <v>74</v>
      </c>
      <c r="AY793" t="s">
        <v>74</v>
      </c>
      <c r="AZ793" t="s">
        <v>74</v>
      </c>
      <c r="BA793" t="s">
        <v>74</v>
      </c>
      <c r="BB793" t="s">
        <v>74</v>
      </c>
      <c r="BC793" t="s">
        <v>74</v>
      </c>
      <c r="BD793" t="s">
        <v>15096</v>
      </c>
      <c r="BE793" t="s">
        <v>15097</v>
      </c>
      <c r="BF793" t="str">
        <f>HYPERLINK("http://dx.doi.org/10.1029/2023JB026685","http://dx.doi.org/10.1029/2023JB026685")</f>
        <v>http://dx.doi.org/10.1029/2023JB026685</v>
      </c>
      <c r="BG793" t="s">
        <v>74</v>
      </c>
      <c r="BH793" t="s">
        <v>74</v>
      </c>
      <c r="BI793">
        <v>19</v>
      </c>
      <c r="BJ793" t="s">
        <v>4252</v>
      </c>
      <c r="BK793" t="s">
        <v>100</v>
      </c>
      <c r="BL793" t="s">
        <v>4252</v>
      </c>
      <c r="BM793" t="s">
        <v>15098</v>
      </c>
      <c r="BN793" t="s">
        <v>74</v>
      </c>
      <c r="BO793" t="s">
        <v>103</v>
      </c>
      <c r="BP793" t="s">
        <v>74</v>
      </c>
      <c r="BQ793" t="s">
        <v>74</v>
      </c>
      <c r="BR793" t="s">
        <v>104</v>
      </c>
      <c r="BS793" t="s">
        <v>15099</v>
      </c>
      <c r="BT793" t="str">
        <f>HYPERLINK("https%3A%2F%2Fwww.webofscience.com%2Fwos%2Fwoscc%2Ffull-record%2FWOS:001095067700001","View Full Record in Web of Science")</f>
        <v>View Full Record in Web of Science</v>
      </c>
    </row>
    <row r="794" spans="1:72" x14ac:dyDescent="0.15">
      <c r="A794" t="s">
        <v>72</v>
      </c>
      <c r="B794" t="s">
        <v>15100</v>
      </c>
      <c r="C794" t="s">
        <v>74</v>
      </c>
      <c r="D794" t="s">
        <v>74</v>
      </c>
      <c r="E794" t="s">
        <v>74</v>
      </c>
      <c r="F794" t="s">
        <v>15101</v>
      </c>
      <c r="G794" t="s">
        <v>74</v>
      </c>
      <c r="H794" t="s">
        <v>74</v>
      </c>
      <c r="I794" t="s">
        <v>15102</v>
      </c>
      <c r="J794" t="s">
        <v>10849</v>
      </c>
      <c r="K794" t="s">
        <v>74</v>
      </c>
      <c r="L794" t="s">
        <v>74</v>
      </c>
      <c r="M794" t="s">
        <v>78</v>
      </c>
      <c r="N794" t="s">
        <v>79</v>
      </c>
      <c r="O794" t="s">
        <v>74</v>
      </c>
      <c r="P794" t="s">
        <v>74</v>
      </c>
      <c r="Q794" t="s">
        <v>74</v>
      </c>
      <c r="R794" t="s">
        <v>74</v>
      </c>
      <c r="S794" t="s">
        <v>74</v>
      </c>
      <c r="T794" t="s">
        <v>15103</v>
      </c>
      <c r="U794" t="s">
        <v>15104</v>
      </c>
      <c r="V794" t="s">
        <v>15105</v>
      </c>
      <c r="W794" t="s">
        <v>15106</v>
      </c>
      <c r="X794" t="s">
        <v>15107</v>
      </c>
      <c r="Y794" t="s">
        <v>15108</v>
      </c>
      <c r="Z794" t="s">
        <v>15109</v>
      </c>
      <c r="AA794" t="s">
        <v>74</v>
      </c>
      <c r="AB794" t="s">
        <v>74</v>
      </c>
      <c r="AC794" t="s">
        <v>15110</v>
      </c>
      <c r="AD794" t="s">
        <v>511</v>
      </c>
      <c r="AE794" t="s">
        <v>15111</v>
      </c>
      <c r="AF794" t="s">
        <v>74</v>
      </c>
      <c r="AG794">
        <v>38</v>
      </c>
      <c r="AH794">
        <v>0</v>
      </c>
      <c r="AI794">
        <v>0</v>
      </c>
      <c r="AJ794">
        <v>2</v>
      </c>
      <c r="AK794">
        <v>2</v>
      </c>
      <c r="AL794" t="s">
        <v>5695</v>
      </c>
      <c r="AM794" t="s">
        <v>5696</v>
      </c>
      <c r="AN794" t="s">
        <v>5697</v>
      </c>
      <c r="AO794" t="s">
        <v>74</v>
      </c>
      <c r="AP794" t="s">
        <v>10860</v>
      </c>
      <c r="AQ794" t="s">
        <v>74</v>
      </c>
      <c r="AR794" t="s">
        <v>10861</v>
      </c>
      <c r="AS794" t="s">
        <v>10862</v>
      </c>
      <c r="AT794" t="s">
        <v>10415</v>
      </c>
      <c r="AU794">
        <v>2023</v>
      </c>
      <c r="AV794">
        <v>21</v>
      </c>
      <c r="AW794">
        <v>10</v>
      </c>
      <c r="AX794" t="s">
        <v>74</v>
      </c>
      <c r="AY794" t="s">
        <v>74</v>
      </c>
      <c r="AZ794" t="s">
        <v>74</v>
      </c>
      <c r="BA794" t="s">
        <v>74</v>
      </c>
      <c r="BB794" t="s">
        <v>74</v>
      </c>
      <c r="BC794" t="s">
        <v>74</v>
      </c>
      <c r="BD794">
        <v>521</v>
      </c>
      <c r="BE794" t="s">
        <v>15112</v>
      </c>
      <c r="BF794" t="str">
        <f>HYPERLINK("http://dx.doi.org/10.3390/md21100521","http://dx.doi.org/10.3390/md21100521")</f>
        <v>http://dx.doi.org/10.3390/md21100521</v>
      </c>
      <c r="BG794" t="s">
        <v>74</v>
      </c>
      <c r="BH794" t="s">
        <v>74</v>
      </c>
      <c r="BI794">
        <v>13</v>
      </c>
      <c r="BJ794" t="s">
        <v>10864</v>
      </c>
      <c r="BK794" t="s">
        <v>100</v>
      </c>
      <c r="BL794" t="s">
        <v>6934</v>
      </c>
      <c r="BM794" t="s">
        <v>15113</v>
      </c>
      <c r="BN794">
        <v>37888456</v>
      </c>
      <c r="BO794" t="s">
        <v>200</v>
      </c>
      <c r="BP794" t="s">
        <v>74</v>
      </c>
      <c r="BQ794" t="s">
        <v>74</v>
      </c>
      <c r="BR794" t="s">
        <v>104</v>
      </c>
      <c r="BS794" t="s">
        <v>15114</v>
      </c>
      <c r="BT794" t="str">
        <f>HYPERLINK("https%3A%2F%2Fwww.webofscience.com%2Fwos%2Fwoscc%2Ffull-record%2FWOS:001099384900001","View Full Record in Web of Science")</f>
        <v>View Full Record in Web of Science</v>
      </c>
    </row>
    <row r="795" spans="1:72" x14ac:dyDescent="0.15">
      <c r="A795" t="s">
        <v>72</v>
      </c>
      <c r="B795" t="s">
        <v>15115</v>
      </c>
      <c r="C795" t="s">
        <v>74</v>
      </c>
      <c r="D795" t="s">
        <v>74</v>
      </c>
      <c r="E795" t="s">
        <v>74</v>
      </c>
      <c r="F795" t="s">
        <v>15116</v>
      </c>
      <c r="G795" t="s">
        <v>74</v>
      </c>
      <c r="H795" t="s">
        <v>74</v>
      </c>
      <c r="I795" t="s">
        <v>15117</v>
      </c>
      <c r="J795" t="s">
        <v>5706</v>
      </c>
      <c r="K795" t="s">
        <v>74</v>
      </c>
      <c r="L795" t="s">
        <v>74</v>
      </c>
      <c r="M795" t="s">
        <v>78</v>
      </c>
      <c r="N795" t="s">
        <v>79</v>
      </c>
      <c r="O795" t="s">
        <v>74</v>
      </c>
      <c r="P795" t="s">
        <v>74</v>
      </c>
      <c r="Q795" t="s">
        <v>74</v>
      </c>
      <c r="R795" t="s">
        <v>74</v>
      </c>
      <c r="S795" t="s">
        <v>74</v>
      </c>
      <c r="T795" t="s">
        <v>15118</v>
      </c>
      <c r="U795" t="s">
        <v>15119</v>
      </c>
      <c r="V795" t="s">
        <v>15120</v>
      </c>
      <c r="W795" t="s">
        <v>15121</v>
      </c>
      <c r="X795" t="s">
        <v>1640</v>
      </c>
      <c r="Y795" t="s">
        <v>1641</v>
      </c>
      <c r="Z795" t="s">
        <v>15122</v>
      </c>
      <c r="AA795" t="s">
        <v>74</v>
      </c>
      <c r="AB795" t="s">
        <v>15123</v>
      </c>
      <c r="AC795" t="s">
        <v>15124</v>
      </c>
      <c r="AD795" t="s">
        <v>1643</v>
      </c>
      <c r="AE795" t="s">
        <v>15125</v>
      </c>
      <c r="AF795" t="s">
        <v>74</v>
      </c>
      <c r="AG795">
        <v>68</v>
      </c>
      <c r="AH795">
        <v>0</v>
      </c>
      <c r="AI795">
        <v>0</v>
      </c>
      <c r="AJ795">
        <v>24</v>
      </c>
      <c r="AK795">
        <v>24</v>
      </c>
      <c r="AL795" t="s">
        <v>5695</v>
      </c>
      <c r="AM795" t="s">
        <v>5696</v>
      </c>
      <c r="AN795" t="s">
        <v>5697</v>
      </c>
      <c r="AO795" t="s">
        <v>74</v>
      </c>
      <c r="AP795" t="s">
        <v>5719</v>
      </c>
      <c r="AQ795" t="s">
        <v>74</v>
      </c>
      <c r="AR795" t="s">
        <v>5720</v>
      </c>
      <c r="AS795" t="s">
        <v>5721</v>
      </c>
      <c r="AT795" t="s">
        <v>10415</v>
      </c>
      <c r="AU795">
        <v>2023</v>
      </c>
      <c r="AV795">
        <v>15</v>
      </c>
      <c r="AW795">
        <v>20</v>
      </c>
      <c r="AX795" t="s">
        <v>74</v>
      </c>
      <c r="AY795" t="s">
        <v>74</v>
      </c>
      <c r="AZ795" t="s">
        <v>74</v>
      </c>
      <c r="BA795" t="s">
        <v>74</v>
      </c>
      <c r="BB795" t="s">
        <v>74</v>
      </c>
      <c r="BC795" t="s">
        <v>74</v>
      </c>
      <c r="BD795">
        <v>4940</v>
      </c>
      <c r="BE795" t="s">
        <v>15126</v>
      </c>
      <c r="BF795" t="str">
        <f>HYPERLINK("http://dx.doi.org/10.3390/rs15204940","http://dx.doi.org/10.3390/rs15204940")</f>
        <v>http://dx.doi.org/10.3390/rs15204940</v>
      </c>
      <c r="BG795" t="s">
        <v>74</v>
      </c>
      <c r="BH795" t="s">
        <v>74</v>
      </c>
      <c r="BI795">
        <v>18</v>
      </c>
      <c r="BJ795" t="s">
        <v>5723</v>
      </c>
      <c r="BK795" t="s">
        <v>100</v>
      </c>
      <c r="BL795" t="s">
        <v>5724</v>
      </c>
      <c r="BM795" t="s">
        <v>15127</v>
      </c>
      <c r="BN795" t="s">
        <v>74</v>
      </c>
      <c r="BO795" t="s">
        <v>131</v>
      </c>
      <c r="BP795" t="s">
        <v>74</v>
      </c>
      <c r="BQ795" t="s">
        <v>74</v>
      </c>
      <c r="BR795" t="s">
        <v>104</v>
      </c>
      <c r="BS795" t="s">
        <v>15128</v>
      </c>
      <c r="BT795" t="str">
        <f>HYPERLINK("https%3A%2F%2Fwww.webofscience.com%2Fwos%2Fwoscc%2Ffull-record%2FWOS:001095406800001","View Full Record in Web of Science")</f>
        <v>View Full Record in Web of Science</v>
      </c>
    </row>
    <row r="796" spans="1:72" x14ac:dyDescent="0.15">
      <c r="A796" t="s">
        <v>72</v>
      </c>
      <c r="B796" t="s">
        <v>15129</v>
      </c>
      <c r="C796" t="s">
        <v>74</v>
      </c>
      <c r="D796" t="s">
        <v>74</v>
      </c>
      <c r="E796" t="s">
        <v>74</v>
      </c>
      <c r="F796" t="s">
        <v>15130</v>
      </c>
      <c r="G796" t="s">
        <v>74</v>
      </c>
      <c r="H796" t="s">
        <v>74</v>
      </c>
      <c r="I796" t="s">
        <v>15131</v>
      </c>
      <c r="J796" t="s">
        <v>5795</v>
      </c>
      <c r="K796" t="s">
        <v>74</v>
      </c>
      <c r="L796" t="s">
        <v>74</v>
      </c>
      <c r="M796" t="s">
        <v>78</v>
      </c>
      <c r="N796" t="s">
        <v>79</v>
      </c>
      <c r="O796" t="s">
        <v>74</v>
      </c>
      <c r="P796" t="s">
        <v>74</v>
      </c>
      <c r="Q796" t="s">
        <v>74</v>
      </c>
      <c r="R796" t="s">
        <v>74</v>
      </c>
      <c r="S796" t="s">
        <v>74</v>
      </c>
      <c r="T796" t="s">
        <v>15132</v>
      </c>
      <c r="U796" t="s">
        <v>15133</v>
      </c>
      <c r="V796" t="s">
        <v>15134</v>
      </c>
      <c r="W796" t="s">
        <v>15135</v>
      </c>
      <c r="X796" t="s">
        <v>15136</v>
      </c>
      <c r="Y796" t="s">
        <v>15137</v>
      </c>
      <c r="Z796" t="s">
        <v>15138</v>
      </c>
      <c r="AA796" t="s">
        <v>74</v>
      </c>
      <c r="AB796" t="s">
        <v>74</v>
      </c>
      <c r="AC796" t="s">
        <v>15139</v>
      </c>
      <c r="AD796" t="s">
        <v>15139</v>
      </c>
      <c r="AE796" t="s">
        <v>15139</v>
      </c>
      <c r="AF796" t="s">
        <v>74</v>
      </c>
      <c r="AG796">
        <v>27</v>
      </c>
      <c r="AH796">
        <v>0</v>
      </c>
      <c r="AI796">
        <v>0</v>
      </c>
      <c r="AJ796">
        <v>3</v>
      </c>
      <c r="AK796">
        <v>3</v>
      </c>
      <c r="AL796" t="s">
        <v>5695</v>
      </c>
      <c r="AM796" t="s">
        <v>5696</v>
      </c>
      <c r="AN796" t="s">
        <v>5697</v>
      </c>
      <c r="AO796" t="s">
        <v>74</v>
      </c>
      <c r="AP796" t="s">
        <v>5805</v>
      </c>
      <c r="AQ796" t="s">
        <v>74</v>
      </c>
      <c r="AR796" t="s">
        <v>5806</v>
      </c>
      <c r="AS796" t="s">
        <v>5807</v>
      </c>
      <c r="AT796" t="s">
        <v>10415</v>
      </c>
      <c r="AU796">
        <v>2023</v>
      </c>
      <c r="AV796">
        <v>14</v>
      </c>
      <c r="AW796">
        <v>10</v>
      </c>
      <c r="AX796" t="s">
        <v>74</v>
      </c>
      <c r="AY796" t="s">
        <v>74</v>
      </c>
      <c r="AZ796" t="s">
        <v>74</v>
      </c>
      <c r="BA796" t="s">
        <v>74</v>
      </c>
      <c r="BB796" t="s">
        <v>74</v>
      </c>
      <c r="BC796" t="s">
        <v>74</v>
      </c>
      <c r="BD796">
        <v>1564</v>
      </c>
      <c r="BE796" t="s">
        <v>15140</v>
      </c>
      <c r="BF796" t="str">
        <f>HYPERLINK("http://dx.doi.org/10.3390/atmos14101564","http://dx.doi.org/10.3390/atmos14101564")</f>
        <v>http://dx.doi.org/10.3390/atmos14101564</v>
      </c>
      <c r="BG796" t="s">
        <v>74</v>
      </c>
      <c r="BH796" t="s">
        <v>74</v>
      </c>
      <c r="BI796">
        <v>9</v>
      </c>
      <c r="BJ796" t="s">
        <v>2382</v>
      </c>
      <c r="BK796" t="s">
        <v>100</v>
      </c>
      <c r="BL796" t="s">
        <v>2383</v>
      </c>
      <c r="BM796" t="s">
        <v>15141</v>
      </c>
      <c r="BN796" t="s">
        <v>74</v>
      </c>
      <c r="BO796" t="s">
        <v>131</v>
      </c>
      <c r="BP796" t="s">
        <v>74</v>
      </c>
      <c r="BQ796" t="s">
        <v>74</v>
      </c>
      <c r="BR796" t="s">
        <v>104</v>
      </c>
      <c r="BS796" t="s">
        <v>15142</v>
      </c>
      <c r="BT796" t="str">
        <f>HYPERLINK("https%3A%2F%2Fwww.webofscience.com%2Fwos%2Fwoscc%2Ffull-record%2FWOS:001093974000001","View Full Record in Web of Science")</f>
        <v>View Full Record in Web of Science</v>
      </c>
    </row>
    <row r="797" spans="1:72" x14ac:dyDescent="0.15">
      <c r="A797" t="s">
        <v>72</v>
      </c>
      <c r="B797" t="s">
        <v>15143</v>
      </c>
      <c r="C797" t="s">
        <v>74</v>
      </c>
      <c r="D797" t="s">
        <v>74</v>
      </c>
      <c r="E797" t="s">
        <v>74</v>
      </c>
      <c r="F797" t="s">
        <v>15144</v>
      </c>
      <c r="G797" t="s">
        <v>74</v>
      </c>
      <c r="H797" t="s">
        <v>74</v>
      </c>
      <c r="I797" t="s">
        <v>15145</v>
      </c>
      <c r="J797" t="s">
        <v>10849</v>
      </c>
      <c r="K797" t="s">
        <v>74</v>
      </c>
      <c r="L797" t="s">
        <v>74</v>
      </c>
      <c r="M797" t="s">
        <v>78</v>
      </c>
      <c r="N797" t="s">
        <v>79</v>
      </c>
      <c r="O797" t="s">
        <v>74</v>
      </c>
      <c r="P797" t="s">
        <v>74</v>
      </c>
      <c r="Q797" t="s">
        <v>74</v>
      </c>
      <c r="R797" t="s">
        <v>74</v>
      </c>
      <c r="S797" t="s">
        <v>74</v>
      </c>
      <c r="T797" t="s">
        <v>15146</v>
      </c>
      <c r="U797" t="s">
        <v>15147</v>
      </c>
      <c r="V797" t="s">
        <v>15148</v>
      </c>
      <c r="W797" t="s">
        <v>15149</v>
      </c>
      <c r="X797" t="s">
        <v>15150</v>
      </c>
      <c r="Y797" t="s">
        <v>15151</v>
      </c>
      <c r="Z797" t="s">
        <v>15152</v>
      </c>
      <c r="AA797" t="s">
        <v>74</v>
      </c>
      <c r="AB797" t="s">
        <v>15153</v>
      </c>
      <c r="AC797" t="s">
        <v>15154</v>
      </c>
      <c r="AD797" t="s">
        <v>15155</v>
      </c>
      <c r="AE797" t="s">
        <v>15156</v>
      </c>
      <c r="AF797" t="s">
        <v>74</v>
      </c>
      <c r="AG797">
        <v>59</v>
      </c>
      <c r="AH797">
        <v>0</v>
      </c>
      <c r="AI797">
        <v>0</v>
      </c>
      <c r="AJ797">
        <v>5</v>
      </c>
      <c r="AK797">
        <v>5</v>
      </c>
      <c r="AL797" t="s">
        <v>5695</v>
      </c>
      <c r="AM797" t="s">
        <v>5696</v>
      </c>
      <c r="AN797" t="s">
        <v>5697</v>
      </c>
      <c r="AO797" t="s">
        <v>74</v>
      </c>
      <c r="AP797" t="s">
        <v>10860</v>
      </c>
      <c r="AQ797" t="s">
        <v>74</v>
      </c>
      <c r="AR797" t="s">
        <v>10861</v>
      </c>
      <c r="AS797" t="s">
        <v>10862</v>
      </c>
      <c r="AT797" t="s">
        <v>10415</v>
      </c>
      <c r="AU797">
        <v>2023</v>
      </c>
      <c r="AV797">
        <v>21</v>
      </c>
      <c r="AW797">
        <v>10</v>
      </c>
      <c r="AX797" t="s">
        <v>74</v>
      </c>
      <c r="AY797" t="s">
        <v>74</v>
      </c>
      <c r="AZ797" t="s">
        <v>74</v>
      </c>
      <c r="BA797" t="s">
        <v>74</v>
      </c>
      <c r="BB797" t="s">
        <v>74</v>
      </c>
      <c r="BC797" t="s">
        <v>74</v>
      </c>
      <c r="BD797">
        <v>513</v>
      </c>
      <c r="BE797" t="s">
        <v>15157</v>
      </c>
      <c r="BF797" t="str">
        <f>HYPERLINK("http://dx.doi.org/10.3390/md21100513","http://dx.doi.org/10.3390/md21100513")</f>
        <v>http://dx.doi.org/10.3390/md21100513</v>
      </c>
      <c r="BG797" t="s">
        <v>74</v>
      </c>
      <c r="BH797" t="s">
        <v>74</v>
      </c>
      <c r="BI797">
        <v>20</v>
      </c>
      <c r="BJ797" t="s">
        <v>10864</v>
      </c>
      <c r="BK797" t="s">
        <v>100</v>
      </c>
      <c r="BL797" t="s">
        <v>6934</v>
      </c>
      <c r="BM797" t="s">
        <v>15158</v>
      </c>
      <c r="BN797">
        <v>37888448</v>
      </c>
      <c r="BO797" t="s">
        <v>265</v>
      </c>
      <c r="BP797" t="s">
        <v>74</v>
      </c>
      <c r="BQ797" t="s">
        <v>74</v>
      </c>
      <c r="BR797" t="s">
        <v>104</v>
      </c>
      <c r="BS797" t="s">
        <v>15159</v>
      </c>
      <c r="BT797" t="str">
        <f>HYPERLINK("https%3A%2F%2Fwww.webofscience.com%2Fwos%2Fwoscc%2Ffull-record%2FWOS:001095408300001","View Full Record in Web of Science")</f>
        <v>View Full Record in Web of Science</v>
      </c>
    </row>
    <row r="798" spans="1:72" x14ac:dyDescent="0.15">
      <c r="A798" t="s">
        <v>72</v>
      </c>
      <c r="B798" t="s">
        <v>15160</v>
      </c>
      <c r="C798" t="s">
        <v>74</v>
      </c>
      <c r="D798" t="s">
        <v>74</v>
      </c>
      <c r="E798" t="s">
        <v>74</v>
      </c>
      <c r="F798" t="s">
        <v>15161</v>
      </c>
      <c r="G798" t="s">
        <v>74</v>
      </c>
      <c r="H798" t="s">
        <v>74</v>
      </c>
      <c r="I798" t="s">
        <v>15162</v>
      </c>
      <c r="J798" t="s">
        <v>5706</v>
      </c>
      <c r="K798" t="s">
        <v>74</v>
      </c>
      <c r="L798" t="s">
        <v>74</v>
      </c>
      <c r="M798" t="s">
        <v>78</v>
      </c>
      <c r="N798" t="s">
        <v>79</v>
      </c>
      <c r="O798" t="s">
        <v>74</v>
      </c>
      <c r="P798" t="s">
        <v>74</v>
      </c>
      <c r="Q798" t="s">
        <v>74</v>
      </c>
      <c r="R798" t="s">
        <v>74</v>
      </c>
      <c r="S798" t="s">
        <v>74</v>
      </c>
      <c r="T798" t="s">
        <v>15163</v>
      </c>
      <c r="U798" t="s">
        <v>15164</v>
      </c>
      <c r="V798" t="s">
        <v>15165</v>
      </c>
      <c r="W798" t="s">
        <v>15166</v>
      </c>
      <c r="X798" t="s">
        <v>15167</v>
      </c>
      <c r="Y798" t="s">
        <v>15168</v>
      </c>
      <c r="Z798" t="s">
        <v>15169</v>
      </c>
      <c r="AA798" t="s">
        <v>74</v>
      </c>
      <c r="AB798" t="s">
        <v>15170</v>
      </c>
      <c r="AC798" t="s">
        <v>15171</v>
      </c>
      <c r="AD798" t="s">
        <v>15171</v>
      </c>
      <c r="AE798" t="s">
        <v>15172</v>
      </c>
      <c r="AF798" t="s">
        <v>74</v>
      </c>
      <c r="AG798">
        <v>37</v>
      </c>
      <c r="AH798">
        <v>0</v>
      </c>
      <c r="AI798">
        <v>0</v>
      </c>
      <c r="AJ798">
        <v>11</v>
      </c>
      <c r="AK798">
        <v>11</v>
      </c>
      <c r="AL798" t="s">
        <v>5695</v>
      </c>
      <c r="AM798" t="s">
        <v>5696</v>
      </c>
      <c r="AN798" t="s">
        <v>5697</v>
      </c>
      <c r="AO798" t="s">
        <v>74</v>
      </c>
      <c r="AP798" t="s">
        <v>5719</v>
      </c>
      <c r="AQ798" t="s">
        <v>74</v>
      </c>
      <c r="AR798" t="s">
        <v>5720</v>
      </c>
      <c r="AS798" t="s">
        <v>5721</v>
      </c>
      <c r="AT798" t="s">
        <v>10415</v>
      </c>
      <c r="AU798">
        <v>2023</v>
      </c>
      <c r="AV798">
        <v>15</v>
      </c>
      <c r="AW798">
        <v>20</v>
      </c>
      <c r="AX798" t="s">
        <v>74</v>
      </c>
      <c r="AY798" t="s">
        <v>74</v>
      </c>
      <c r="AZ798" t="s">
        <v>74</v>
      </c>
      <c r="BA798" t="s">
        <v>74</v>
      </c>
      <c r="BB798" t="s">
        <v>74</v>
      </c>
      <c r="BC798" t="s">
        <v>74</v>
      </c>
      <c r="BD798">
        <v>4933</v>
      </c>
      <c r="BE798" t="s">
        <v>15173</v>
      </c>
      <c r="BF798" t="str">
        <f>HYPERLINK("http://dx.doi.org/10.3390/rs15204933","http://dx.doi.org/10.3390/rs15204933")</f>
        <v>http://dx.doi.org/10.3390/rs15204933</v>
      </c>
      <c r="BG798" t="s">
        <v>74</v>
      </c>
      <c r="BH798" t="s">
        <v>74</v>
      </c>
      <c r="BI798">
        <v>19</v>
      </c>
      <c r="BJ798" t="s">
        <v>5723</v>
      </c>
      <c r="BK798" t="s">
        <v>100</v>
      </c>
      <c r="BL798" t="s">
        <v>5724</v>
      </c>
      <c r="BM798" t="s">
        <v>15174</v>
      </c>
      <c r="BN798" t="s">
        <v>74</v>
      </c>
      <c r="BO798" t="s">
        <v>131</v>
      </c>
      <c r="BP798" t="s">
        <v>74</v>
      </c>
      <c r="BQ798" t="s">
        <v>74</v>
      </c>
      <c r="BR798" t="s">
        <v>104</v>
      </c>
      <c r="BS798" t="s">
        <v>15175</v>
      </c>
      <c r="BT798" t="str">
        <f>HYPERLINK("https%3A%2F%2Fwww.webofscience.com%2Fwos%2Fwoscc%2Ffull-record%2FWOS:001093652100001","View Full Record in Web of Science")</f>
        <v>View Full Record in Web of Science</v>
      </c>
    </row>
    <row r="799" spans="1:72" x14ac:dyDescent="0.15">
      <c r="A799" t="s">
        <v>72</v>
      </c>
      <c r="B799" t="s">
        <v>15176</v>
      </c>
      <c r="C799" t="s">
        <v>74</v>
      </c>
      <c r="D799" t="s">
        <v>74</v>
      </c>
      <c r="E799" t="s">
        <v>74</v>
      </c>
      <c r="F799" t="s">
        <v>15177</v>
      </c>
      <c r="G799" t="s">
        <v>74</v>
      </c>
      <c r="H799" t="s">
        <v>74</v>
      </c>
      <c r="I799" t="s">
        <v>15178</v>
      </c>
      <c r="J799" t="s">
        <v>10870</v>
      </c>
      <c r="K799" t="s">
        <v>74</v>
      </c>
      <c r="L799" t="s">
        <v>74</v>
      </c>
      <c r="M799" t="s">
        <v>78</v>
      </c>
      <c r="N799" t="s">
        <v>79</v>
      </c>
      <c r="O799" t="s">
        <v>74</v>
      </c>
      <c r="P799" t="s">
        <v>74</v>
      </c>
      <c r="Q799" t="s">
        <v>74</v>
      </c>
      <c r="R799" t="s">
        <v>74</v>
      </c>
      <c r="S799" t="s">
        <v>74</v>
      </c>
      <c r="T799" t="s">
        <v>74</v>
      </c>
      <c r="U799" t="s">
        <v>15179</v>
      </c>
      <c r="V799" t="s">
        <v>15180</v>
      </c>
      <c r="W799" t="s">
        <v>15181</v>
      </c>
      <c r="X799" t="s">
        <v>15182</v>
      </c>
      <c r="Y799" t="s">
        <v>15183</v>
      </c>
      <c r="Z799" t="s">
        <v>15184</v>
      </c>
      <c r="AA799" t="s">
        <v>15185</v>
      </c>
      <c r="AB799" t="s">
        <v>15186</v>
      </c>
      <c r="AC799" t="s">
        <v>15187</v>
      </c>
      <c r="AD799" t="s">
        <v>15188</v>
      </c>
      <c r="AE799" t="s">
        <v>15189</v>
      </c>
      <c r="AF799" t="s">
        <v>74</v>
      </c>
      <c r="AG799">
        <v>135</v>
      </c>
      <c r="AH799">
        <v>1</v>
      </c>
      <c r="AI799">
        <v>1</v>
      </c>
      <c r="AJ799">
        <v>1</v>
      </c>
      <c r="AK799">
        <v>1</v>
      </c>
      <c r="AL799" t="s">
        <v>10882</v>
      </c>
      <c r="AM799" t="s">
        <v>10883</v>
      </c>
      <c r="AN799" t="s">
        <v>10884</v>
      </c>
      <c r="AO799" t="s">
        <v>10885</v>
      </c>
      <c r="AP799" t="s">
        <v>10886</v>
      </c>
      <c r="AQ799" t="s">
        <v>74</v>
      </c>
      <c r="AR799" t="s">
        <v>10887</v>
      </c>
      <c r="AS799" t="s">
        <v>10888</v>
      </c>
      <c r="AT799" t="s">
        <v>10415</v>
      </c>
      <c r="AU799">
        <v>2023</v>
      </c>
      <c r="AV799">
        <v>154</v>
      </c>
      <c r="AW799">
        <v>4</v>
      </c>
      <c r="AX799" t="s">
        <v>74</v>
      </c>
      <c r="AY799" t="s">
        <v>74</v>
      </c>
      <c r="AZ799" t="s">
        <v>74</v>
      </c>
      <c r="BA799" t="s">
        <v>74</v>
      </c>
      <c r="BB799">
        <v>2305</v>
      </c>
      <c r="BC799">
        <v>2320</v>
      </c>
      <c r="BD799" t="s">
        <v>74</v>
      </c>
      <c r="BE799" t="s">
        <v>15190</v>
      </c>
      <c r="BF799" t="str">
        <f>HYPERLINK("http://dx.doi.org/10.1121/10.0021330","http://dx.doi.org/10.1121/10.0021330")</f>
        <v>http://dx.doi.org/10.1121/10.0021330</v>
      </c>
      <c r="BG799" t="s">
        <v>74</v>
      </c>
      <c r="BH799" t="s">
        <v>74</v>
      </c>
      <c r="BI799">
        <v>16</v>
      </c>
      <c r="BJ799" t="s">
        <v>10890</v>
      </c>
      <c r="BK799" t="s">
        <v>100</v>
      </c>
      <c r="BL799" t="s">
        <v>10890</v>
      </c>
      <c r="BM799" t="s">
        <v>15191</v>
      </c>
      <c r="BN799" t="s">
        <v>74</v>
      </c>
      <c r="BO799" t="s">
        <v>103</v>
      </c>
      <c r="BP799" t="s">
        <v>74</v>
      </c>
      <c r="BQ799" t="s">
        <v>74</v>
      </c>
      <c r="BR799" t="s">
        <v>104</v>
      </c>
      <c r="BS799" t="s">
        <v>15192</v>
      </c>
      <c r="BT799" t="str">
        <f>HYPERLINK("https%3A%2F%2Fwww.webofscience.com%2Fwos%2Fwoscc%2Ffull-record%2FWOS:001085116800002","View Full Record in Web of Science")</f>
        <v>View Full Record in Web of Science</v>
      </c>
    </row>
    <row r="800" spans="1:72" x14ac:dyDescent="0.15">
      <c r="A800" t="s">
        <v>72</v>
      </c>
      <c r="B800" t="s">
        <v>15193</v>
      </c>
      <c r="C800" t="s">
        <v>74</v>
      </c>
      <c r="D800" t="s">
        <v>74</v>
      </c>
      <c r="E800" t="s">
        <v>74</v>
      </c>
      <c r="F800" t="s">
        <v>15194</v>
      </c>
      <c r="G800" t="s">
        <v>74</v>
      </c>
      <c r="H800" t="s">
        <v>74</v>
      </c>
      <c r="I800" t="s">
        <v>15195</v>
      </c>
      <c r="J800" t="s">
        <v>15196</v>
      </c>
      <c r="K800" t="s">
        <v>74</v>
      </c>
      <c r="L800" t="s">
        <v>74</v>
      </c>
      <c r="M800" t="s">
        <v>78</v>
      </c>
      <c r="N800" t="s">
        <v>79</v>
      </c>
      <c r="O800" t="s">
        <v>74</v>
      </c>
      <c r="P800" t="s">
        <v>74</v>
      </c>
      <c r="Q800" t="s">
        <v>74</v>
      </c>
      <c r="R800" t="s">
        <v>74</v>
      </c>
      <c r="S800" t="s">
        <v>74</v>
      </c>
      <c r="T800" t="s">
        <v>15197</v>
      </c>
      <c r="U800" t="s">
        <v>15198</v>
      </c>
      <c r="V800" t="s">
        <v>15199</v>
      </c>
      <c r="W800" t="s">
        <v>15200</v>
      </c>
      <c r="X800" t="s">
        <v>9864</v>
      </c>
      <c r="Y800" t="s">
        <v>15201</v>
      </c>
      <c r="Z800" t="s">
        <v>15202</v>
      </c>
      <c r="AA800" t="s">
        <v>15203</v>
      </c>
      <c r="AB800" t="s">
        <v>15204</v>
      </c>
      <c r="AC800" t="s">
        <v>15205</v>
      </c>
      <c r="AD800" t="s">
        <v>15205</v>
      </c>
      <c r="AE800" t="s">
        <v>15206</v>
      </c>
      <c r="AF800" t="s">
        <v>74</v>
      </c>
      <c r="AG800">
        <v>75</v>
      </c>
      <c r="AH800">
        <v>0</v>
      </c>
      <c r="AI800">
        <v>0</v>
      </c>
      <c r="AJ800">
        <v>3</v>
      </c>
      <c r="AK800">
        <v>3</v>
      </c>
      <c r="AL800" t="s">
        <v>5695</v>
      </c>
      <c r="AM800" t="s">
        <v>5696</v>
      </c>
      <c r="AN800" t="s">
        <v>5697</v>
      </c>
      <c r="AO800" t="s">
        <v>74</v>
      </c>
      <c r="AP800" t="s">
        <v>15207</v>
      </c>
      <c r="AQ800" t="s">
        <v>74</v>
      </c>
      <c r="AR800" t="s">
        <v>15196</v>
      </c>
      <c r="AS800" t="s">
        <v>15208</v>
      </c>
      <c r="AT800" t="s">
        <v>10415</v>
      </c>
      <c r="AU800">
        <v>2023</v>
      </c>
      <c r="AV800">
        <v>13</v>
      </c>
      <c r="AW800">
        <v>10</v>
      </c>
      <c r="AX800" t="s">
        <v>74</v>
      </c>
      <c r="AY800" t="s">
        <v>74</v>
      </c>
      <c r="AZ800" t="s">
        <v>74</v>
      </c>
      <c r="BA800" t="s">
        <v>74</v>
      </c>
      <c r="BB800" t="s">
        <v>74</v>
      </c>
      <c r="BC800" t="s">
        <v>74</v>
      </c>
      <c r="BD800">
        <v>1507</v>
      </c>
      <c r="BE800" t="s">
        <v>15209</v>
      </c>
      <c r="BF800" t="str">
        <f>HYPERLINK("http://dx.doi.org/10.3390/biom13101507","http://dx.doi.org/10.3390/biom13101507")</f>
        <v>http://dx.doi.org/10.3390/biom13101507</v>
      </c>
      <c r="BG800" t="s">
        <v>74</v>
      </c>
      <c r="BH800" t="s">
        <v>74</v>
      </c>
      <c r="BI800">
        <v>17</v>
      </c>
      <c r="BJ800" t="s">
        <v>930</v>
      </c>
      <c r="BK800" t="s">
        <v>100</v>
      </c>
      <c r="BL800" t="s">
        <v>930</v>
      </c>
      <c r="BM800" t="s">
        <v>15210</v>
      </c>
      <c r="BN800">
        <v>37892189</v>
      </c>
      <c r="BO800" t="s">
        <v>200</v>
      </c>
      <c r="BP800" t="s">
        <v>74</v>
      </c>
      <c r="BQ800" t="s">
        <v>74</v>
      </c>
      <c r="BR800" t="s">
        <v>104</v>
      </c>
      <c r="BS800" t="s">
        <v>15211</v>
      </c>
      <c r="BT800" t="str">
        <f>HYPERLINK("https%3A%2F%2Fwww.webofscience.com%2Fwos%2Fwoscc%2Ffull-record%2FWOS:001094081300001","View Full Record in Web of Science")</f>
        <v>View Full Record in Web of Science</v>
      </c>
    </row>
    <row r="801" spans="1:72" x14ac:dyDescent="0.15">
      <c r="A801" t="s">
        <v>72</v>
      </c>
      <c r="B801" t="s">
        <v>15212</v>
      </c>
      <c r="C801" t="s">
        <v>74</v>
      </c>
      <c r="D801" t="s">
        <v>74</v>
      </c>
      <c r="E801" t="s">
        <v>74</v>
      </c>
      <c r="F801" t="s">
        <v>15213</v>
      </c>
      <c r="G801" t="s">
        <v>74</v>
      </c>
      <c r="H801" t="s">
        <v>74</v>
      </c>
      <c r="I801" t="s">
        <v>15214</v>
      </c>
      <c r="J801" t="s">
        <v>6148</v>
      </c>
      <c r="K801" t="s">
        <v>74</v>
      </c>
      <c r="L801" t="s">
        <v>74</v>
      </c>
      <c r="M801" t="s">
        <v>78</v>
      </c>
      <c r="N801" t="s">
        <v>79</v>
      </c>
      <c r="O801" t="s">
        <v>74</v>
      </c>
      <c r="P801" t="s">
        <v>74</v>
      </c>
      <c r="Q801" t="s">
        <v>74</v>
      </c>
      <c r="R801" t="s">
        <v>74</v>
      </c>
      <c r="S801" t="s">
        <v>74</v>
      </c>
      <c r="T801" t="s">
        <v>15215</v>
      </c>
      <c r="U801" t="s">
        <v>15216</v>
      </c>
      <c r="V801" t="s">
        <v>15217</v>
      </c>
      <c r="W801" t="s">
        <v>15218</v>
      </c>
      <c r="X801" t="s">
        <v>15219</v>
      </c>
      <c r="Y801" t="s">
        <v>15220</v>
      </c>
      <c r="Z801" t="s">
        <v>15221</v>
      </c>
      <c r="AA801" t="s">
        <v>15222</v>
      </c>
      <c r="AB801" t="s">
        <v>15223</v>
      </c>
      <c r="AC801" t="s">
        <v>15224</v>
      </c>
      <c r="AD801" t="s">
        <v>15224</v>
      </c>
      <c r="AE801" t="s">
        <v>15225</v>
      </c>
      <c r="AF801" t="s">
        <v>74</v>
      </c>
      <c r="AG801">
        <v>57</v>
      </c>
      <c r="AH801">
        <v>1</v>
      </c>
      <c r="AI801">
        <v>1</v>
      </c>
      <c r="AJ801">
        <v>9</v>
      </c>
      <c r="AK801">
        <v>9</v>
      </c>
      <c r="AL801" t="s">
        <v>5695</v>
      </c>
      <c r="AM801" t="s">
        <v>5696</v>
      </c>
      <c r="AN801" t="s">
        <v>5697</v>
      </c>
      <c r="AO801" t="s">
        <v>6158</v>
      </c>
      <c r="AP801" t="s">
        <v>6159</v>
      </c>
      <c r="AQ801" t="s">
        <v>74</v>
      </c>
      <c r="AR801" t="s">
        <v>6160</v>
      </c>
      <c r="AS801" t="s">
        <v>6161</v>
      </c>
      <c r="AT801" t="s">
        <v>10415</v>
      </c>
      <c r="AU801">
        <v>2023</v>
      </c>
      <c r="AV801">
        <v>24</v>
      </c>
      <c r="AW801">
        <v>20</v>
      </c>
      <c r="AX801" t="s">
        <v>74</v>
      </c>
      <c r="AY801" t="s">
        <v>74</v>
      </c>
      <c r="AZ801" t="s">
        <v>74</v>
      </c>
      <c r="BA801" t="s">
        <v>74</v>
      </c>
      <c r="BB801" t="s">
        <v>74</v>
      </c>
      <c r="BC801" t="s">
        <v>74</v>
      </c>
      <c r="BD801">
        <v>15055</v>
      </c>
      <c r="BE801" t="s">
        <v>15226</v>
      </c>
      <c r="BF801" t="str">
        <f>HYPERLINK("http://dx.doi.org/10.3390/ijms242015055","http://dx.doi.org/10.3390/ijms242015055")</f>
        <v>http://dx.doi.org/10.3390/ijms242015055</v>
      </c>
      <c r="BG801" t="s">
        <v>74</v>
      </c>
      <c r="BH801" t="s">
        <v>74</v>
      </c>
      <c r="BI801">
        <v>14</v>
      </c>
      <c r="BJ801" t="s">
        <v>6163</v>
      </c>
      <c r="BK801" t="s">
        <v>100</v>
      </c>
      <c r="BL801" t="s">
        <v>6164</v>
      </c>
      <c r="BM801" t="s">
        <v>15227</v>
      </c>
      <c r="BN801">
        <v>37894736</v>
      </c>
      <c r="BO801" t="s">
        <v>200</v>
      </c>
      <c r="BP801" t="s">
        <v>74</v>
      </c>
      <c r="BQ801" t="s">
        <v>74</v>
      </c>
      <c r="BR801" t="s">
        <v>104</v>
      </c>
      <c r="BS801" t="s">
        <v>15228</v>
      </c>
      <c r="BT801" t="str">
        <f>HYPERLINK("https%3A%2F%2Fwww.webofscience.com%2Fwos%2Fwoscc%2Ffull-record%2FWOS:001093704400001","View Full Record in Web of Science")</f>
        <v>View Full Record in Web of Science</v>
      </c>
    </row>
    <row r="802" spans="1:72" x14ac:dyDescent="0.15">
      <c r="A802" t="s">
        <v>72</v>
      </c>
      <c r="B802" t="s">
        <v>15229</v>
      </c>
      <c r="C802" t="s">
        <v>74</v>
      </c>
      <c r="D802" t="s">
        <v>74</v>
      </c>
      <c r="E802" t="s">
        <v>74</v>
      </c>
      <c r="F802" t="s">
        <v>15230</v>
      </c>
      <c r="G802" t="s">
        <v>74</v>
      </c>
      <c r="H802" t="s">
        <v>74</v>
      </c>
      <c r="I802" t="s">
        <v>15231</v>
      </c>
      <c r="J802" t="s">
        <v>2915</v>
      </c>
      <c r="K802" t="s">
        <v>74</v>
      </c>
      <c r="L802" t="s">
        <v>74</v>
      </c>
      <c r="M802" t="s">
        <v>78</v>
      </c>
      <c r="N802" t="s">
        <v>79</v>
      </c>
      <c r="O802" t="s">
        <v>74</v>
      </c>
      <c r="P802" t="s">
        <v>74</v>
      </c>
      <c r="Q802" t="s">
        <v>74</v>
      </c>
      <c r="R802" t="s">
        <v>74</v>
      </c>
      <c r="S802" t="s">
        <v>74</v>
      </c>
      <c r="T802" t="s">
        <v>15232</v>
      </c>
      <c r="U802" t="s">
        <v>15233</v>
      </c>
      <c r="V802" t="s">
        <v>15234</v>
      </c>
      <c r="W802" t="s">
        <v>15235</v>
      </c>
      <c r="X802" t="s">
        <v>15236</v>
      </c>
      <c r="Y802" t="s">
        <v>15237</v>
      </c>
      <c r="Z802" t="s">
        <v>15238</v>
      </c>
      <c r="AA802" t="s">
        <v>15239</v>
      </c>
      <c r="AB802" t="s">
        <v>15240</v>
      </c>
      <c r="AC802" t="s">
        <v>15241</v>
      </c>
      <c r="AD802" t="s">
        <v>15242</v>
      </c>
      <c r="AE802" t="s">
        <v>15243</v>
      </c>
      <c r="AF802" t="s">
        <v>74</v>
      </c>
      <c r="AG802">
        <v>93</v>
      </c>
      <c r="AH802">
        <v>1</v>
      </c>
      <c r="AI802">
        <v>1</v>
      </c>
      <c r="AJ802">
        <v>7</v>
      </c>
      <c r="AK802">
        <v>7</v>
      </c>
      <c r="AL802" t="s">
        <v>1782</v>
      </c>
      <c r="AM802" t="s">
        <v>1783</v>
      </c>
      <c r="AN802" t="s">
        <v>1784</v>
      </c>
      <c r="AO802" t="s">
        <v>2928</v>
      </c>
      <c r="AP802" t="s">
        <v>2929</v>
      </c>
      <c r="AQ802" t="s">
        <v>74</v>
      </c>
      <c r="AR802" t="s">
        <v>2930</v>
      </c>
      <c r="AS802" t="s">
        <v>2931</v>
      </c>
      <c r="AT802" t="s">
        <v>10415</v>
      </c>
      <c r="AU802">
        <v>2023</v>
      </c>
      <c r="AV802">
        <v>69</v>
      </c>
      <c r="AW802">
        <v>277</v>
      </c>
      <c r="AX802" t="s">
        <v>74</v>
      </c>
      <c r="AY802" t="s">
        <v>74</v>
      </c>
      <c r="AZ802" t="s">
        <v>74</v>
      </c>
      <c r="BA802" t="s">
        <v>74</v>
      </c>
      <c r="BB802">
        <v>1466</v>
      </c>
      <c r="BC802">
        <v>1482</v>
      </c>
      <c r="BD802" t="s">
        <v>74</v>
      </c>
      <c r="BE802" t="s">
        <v>15244</v>
      </c>
      <c r="BF802" t="str">
        <f>HYPERLINK("http://dx.doi.org/10.1017/jog.2023.36","http://dx.doi.org/10.1017/jog.2023.36")</f>
        <v>http://dx.doi.org/10.1017/jog.2023.36</v>
      </c>
      <c r="BG802" t="s">
        <v>74</v>
      </c>
      <c r="BH802" t="s">
        <v>74</v>
      </c>
      <c r="BI802">
        <v>17</v>
      </c>
      <c r="BJ802" t="s">
        <v>984</v>
      </c>
      <c r="BK802" t="s">
        <v>100</v>
      </c>
      <c r="BL802" t="s">
        <v>985</v>
      </c>
      <c r="BM802" t="s">
        <v>15245</v>
      </c>
      <c r="BN802" t="s">
        <v>74</v>
      </c>
      <c r="BO802" t="s">
        <v>131</v>
      </c>
      <c r="BP802" t="s">
        <v>74</v>
      </c>
      <c r="BQ802" t="s">
        <v>74</v>
      </c>
      <c r="BR802" t="s">
        <v>104</v>
      </c>
      <c r="BS802" t="s">
        <v>15246</v>
      </c>
      <c r="BT802" t="str">
        <f>HYPERLINK("https%3A%2F%2Fwww.webofscience.com%2Fwos%2Fwoscc%2Ffull-record%2FWOS:001088364900026","View Full Record in Web of Science")</f>
        <v>View Full Record in Web of Science</v>
      </c>
    </row>
    <row r="803" spans="1:72" x14ac:dyDescent="0.15">
      <c r="A803" t="s">
        <v>72</v>
      </c>
      <c r="B803" t="s">
        <v>15247</v>
      </c>
      <c r="C803" t="s">
        <v>74</v>
      </c>
      <c r="D803" t="s">
        <v>74</v>
      </c>
      <c r="E803" t="s">
        <v>74</v>
      </c>
      <c r="F803" t="s">
        <v>15248</v>
      </c>
      <c r="G803" t="s">
        <v>74</v>
      </c>
      <c r="H803" t="s">
        <v>74</v>
      </c>
      <c r="I803" t="s">
        <v>15249</v>
      </c>
      <c r="J803" t="s">
        <v>2915</v>
      </c>
      <c r="K803" t="s">
        <v>74</v>
      </c>
      <c r="L803" t="s">
        <v>74</v>
      </c>
      <c r="M803" t="s">
        <v>78</v>
      </c>
      <c r="N803" t="s">
        <v>79</v>
      </c>
      <c r="O803" t="s">
        <v>74</v>
      </c>
      <c r="P803" t="s">
        <v>74</v>
      </c>
      <c r="Q803" t="s">
        <v>74</v>
      </c>
      <c r="R803" t="s">
        <v>74</v>
      </c>
      <c r="S803" t="s">
        <v>74</v>
      </c>
      <c r="T803" t="s">
        <v>15250</v>
      </c>
      <c r="U803" t="s">
        <v>15251</v>
      </c>
      <c r="V803" t="s">
        <v>15252</v>
      </c>
      <c r="W803" t="s">
        <v>15253</v>
      </c>
      <c r="X803" t="s">
        <v>15254</v>
      </c>
      <c r="Y803" t="s">
        <v>15255</v>
      </c>
      <c r="Z803" t="s">
        <v>15256</v>
      </c>
      <c r="AA803" t="s">
        <v>15257</v>
      </c>
      <c r="AB803" t="s">
        <v>15258</v>
      </c>
      <c r="AC803" t="s">
        <v>15259</v>
      </c>
      <c r="AD803" t="s">
        <v>15260</v>
      </c>
      <c r="AE803" t="s">
        <v>15261</v>
      </c>
      <c r="AF803" t="s">
        <v>74</v>
      </c>
      <c r="AG803">
        <v>27</v>
      </c>
      <c r="AH803">
        <v>0</v>
      </c>
      <c r="AI803">
        <v>0</v>
      </c>
      <c r="AJ803">
        <v>8</v>
      </c>
      <c r="AK803">
        <v>8</v>
      </c>
      <c r="AL803" t="s">
        <v>1782</v>
      </c>
      <c r="AM803" t="s">
        <v>1783</v>
      </c>
      <c r="AN803" t="s">
        <v>1784</v>
      </c>
      <c r="AO803" t="s">
        <v>2928</v>
      </c>
      <c r="AP803" t="s">
        <v>2929</v>
      </c>
      <c r="AQ803" t="s">
        <v>74</v>
      </c>
      <c r="AR803" t="s">
        <v>2930</v>
      </c>
      <c r="AS803" t="s">
        <v>2931</v>
      </c>
      <c r="AT803" t="s">
        <v>10415</v>
      </c>
      <c r="AU803">
        <v>2023</v>
      </c>
      <c r="AV803">
        <v>69</v>
      </c>
      <c r="AW803">
        <v>277</v>
      </c>
      <c r="AX803" t="s">
        <v>74</v>
      </c>
      <c r="AY803" t="s">
        <v>74</v>
      </c>
      <c r="AZ803" t="s">
        <v>74</v>
      </c>
      <c r="BA803" t="s">
        <v>74</v>
      </c>
      <c r="BB803">
        <v>1524</v>
      </c>
      <c r="BC803">
        <v>1528</v>
      </c>
      <c r="BD803" t="s">
        <v>74</v>
      </c>
      <c r="BE803" t="s">
        <v>15262</v>
      </c>
      <c r="BF803" t="str">
        <f>HYPERLINK("http://dx.doi.org/10.1017/jog.2023.43","http://dx.doi.org/10.1017/jog.2023.43")</f>
        <v>http://dx.doi.org/10.1017/jog.2023.43</v>
      </c>
      <c r="BG803" t="s">
        <v>74</v>
      </c>
      <c r="BH803" t="s">
        <v>74</v>
      </c>
      <c r="BI803">
        <v>5</v>
      </c>
      <c r="BJ803" t="s">
        <v>984</v>
      </c>
      <c r="BK803" t="s">
        <v>100</v>
      </c>
      <c r="BL803" t="s">
        <v>985</v>
      </c>
      <c r="BM803" t="s">
        <v>15245</v>
      </c>
      <c r="BN803" t="s">
        <v>74</v>
      </c>
      <c r="BO803" t="s">
        <v>131</v>
      </c>
      <c r="BP803" t="s">
        <v>74</v>
      </c>
      <c r="BQ803" t="s">
        <v>74</v>
      </c>
      <c r="BR803" t="s">
        <v>104</v>
      </c>
      <c r="BS803" t="s">
        <v>15263</v>
      </c>
      <c r="BT803" t="str">
        <f>HYPERLINK("https%3A%2F%2Fwww.webofscience.com%2Fwos%2Fwoscc%2Ffull-record%2FWOS:001088364900030","View Full Record in Web of Science")</f>
        <v>View Full Record in Web of Science</v>
      </c>
    </row>
    <row r="804" spans="1:72" x14ac:dyDescent="0.15">
      <c r="A804" t="s">
        <v>72</v>
      </c>
      <c r="B804" t="s">
        <v>15264</v>
      </c>
      <c r="C804" t="s">
        <v>74</v>
      </c>
      <c r="D804" t="s">
        <v>74</v>
      </c>
      <c r="E804" t="s">
        <v>74</v>
      </c>
      <c r="F804" t="s">
        <v>15265</v>
      </c>
      <c r="G804" t="s">
        <v>74</v>
      </c>
      <c r="H804" t="s">
        <v>74</v>
      </c>
      <c r="I804" t="s">
        <v>15266</v>
      </c>
      <c r="J804" t="s">
        <v>15267</v>
      </c>
      <c r="K804" t="s">
        <v>74</v>
      </c>
      <c r="L804" t="s">
        <v>74</v>
      </c>
      <c r="M804" t="s">
        <v>78</v>
      </c>
      <c r="N804" t="s">
        <v>79</v>
      </c>
      <c r="O804" t="s">
        <v>74</v>
      </c>
      <c r="P804" t="s">
        <v>74</v>
      </c>
      <c r="Q804" t="s">
        <v>74</v>
      </c>
      <c r="R804" t="s">
        <v>74</v>
      </c>
      <c r="S804" t="s">
        <v>74</v>
      </c>
      <c r="T804" t="s">
        <v>15268</v>
      </c>
      <c r="U804" t="s">
        <v>15269</v>
      </c>
      <c r="V804" t="s">
        <v>15270</v>
      </c>
      <c r="W804" t="s">
        <v>15271</v>
      </c>
      <c r="X804" t="s">
        <v>15272</v>
      </c>
      <c r="Y804" t="s">
        <v>15273</v>
      </c>
      <c r="Z804" t="s">
        <v>15274</v>
      </c>
      <c r="AA804" t="s">
        <v>15275</v>
      </c>
      <c r="AB804" t="s">
        <v>15276</v>
      </c>
      <c r="AC804" t="s">
        <v>15277</v>
      </c>
      <c r="AD804" t="s">
        <v>15278</v>
      </c>
      <c r="AE804" t="s">
        <v>15279</v>
      </c>
      <c r="AF804" t="s">
        <v>74</v>
      </c>
      <c r="AG804">
        <v>41</v>
      </c>
      <c r="AH804">
        <v>0</v>
      </c>
      <c r="AI804">
        <v>0</v>
      </c>
      <c r="AJ804">
        <v>9</v>
      </c>
      <c r="AK804">
        <v>9</v>
      </c>
      <c r="AL804" t="s">
        <v>5695</v>
      </c>
      <c r="AM804" t="s">
        <v>5696</v>
      </c>
      <c r="AN804" t="s">
        <v>5697</v>
      </c>
      <c r="AO804" t="s">
        <v>74</v>
      </c>
      <c r="AP804" t="s">
        <v>15280</v>
      </c>
      <c r="AQ804" t="s">
        <v>74</v>
      </c>
      <c r="AR804" t="s">
        <v>15267</v>
      </c>
      <c r="AS804" t="s">
        <v>15281</v>
      </c>
      <c r="AT804" t="s">
        <v>10415</v>
      </c>
      <c r="AU804">
        <v>2023</v>
      </c>
      <c r="AV804">
        <v>11</v>
      </c>
      <c r="AW804">
        <v>10</v>
      </c>
      <c r="AX804" t="s">
        <v>74</v>
      </c>
      <c r="AY804" t="s">
        <v>74</v>
      </c>
      <c r="AZ804" t="s">
        <v>74</v>
      </c>
      <c r="BA804" t="s">
        <v>74</v>
      </c>
      <c r="BB804" t="s">
        <v>74</v>
      </c>
      <c r="BC804" t="s">
        <v>74</v>
      </c>
      <c r="BD804">
        <v>2517</v>
      </c>
      <c r="BE804" t="s">
        <v>15282</v>
      </c>
      <c r="BF804" t="str">
        <f>HYPERLINK("http://dx.doi.org/10.3390/microorganisms11102517","http://dx.doi.org/10.3390/microorganisms11102517")</f>
        <v>http://dx.doi.org/10.3390/microorganisms11102517</v>
      </c>
      <c r="BG804" t="s">
        <v>74</v>
      </c>
      <c r="BH804" t="s">
        <v>74</v>
      </c>
      <c r="BI804">
        <v>17</v>
      </c>
      <c r="BJ804" t="s">
        <v>1084</v>
      </c>
      <c r="BK804" t="s">
        <v>100</v>
      </c>
      <c r="BL804" t="s">
        <v>1084</v>
      </c>
      <c r="BM804" t="s">
        <v>15283</v>
      </c>
      <c r="BN804">
        <v>37894176</v>
      </c>
      <c r="BO804" t="s">
        <v>265</v>
      </c>
      <c r="BP804" t="s">
        <v>74</v>
      </c>
      <c r="BQ804" t="s">
        <v>74</v>
      </c>
      <c r="BR804" t="s">
        <v>104</v>
      </c>
      <c r="BS804" t="s">
        <v>15284</v>
      </c>
      <c r="BT804" t="str">
        <f>HYPERLINK("https%3A%2F%2Fwww.webofscience.com%2Fwos%2Fwoscc%2Ffull-record%2FWOS:001089833600001","View Full Record in Web of Science")</f>
        <v>View Full Record in Web of Science</v>
      </c>
    </row>
    <row r="805" spans="1:72" x14ac:dyDescent="0.15">
      <c r="A805" t="s">
        <v>72</v>
      </c>
      <c r="B805" t="s">
        <v>15285</v>
      </c>
      <c r="C805" t="s">
        <v>74</v>
      </c>
      <c r="D805" t="s">
        <v>74</v>
      </c>
      <c r="E805" t="s">
        <v>74</v>
      </c>
      <c r="F805" t="s">
        <v>15286</v>
      </c>
      <c r="G805" t="s">
        <v>74</v>
      </c>
      <c r="H805" t="s">
        <v>74</v>
      </c>
      <c r="I805" t="s">
        <v>15287</v>
      </c>
      <c r="J805" t="s">
        <v>6371</v>
      </c>
      <c r="K805" t="s">
        <v>74</v>
      </c>
      <c r="L805" t="s">
        <v>74</v>
      </c>
      <c r="M805" t="s">
        <v>78</v>
      </c>
      <c r="N805" t="s">
        <v>79</v>
      </c>
      <c r="O805" t="s">
        <v>74</v>
      </c>
      <c r="P805" t="s">
        <v>74</v>
      </c>
      <c r="Q805" t="s">
        <v>74</v>
      </c>
      <c r="R805" t="s">
        <v>74</v>
      </c>
      <c r="S805" t="s">
        <v>74</v>
      </c>
      <c r="T805" t="s">
        <v>15288</v>
      </c>
      <c r="U805" t="s">
        <v>15289</v>
      </c>
      <c r="V805" t="s">
        <v>15290</v>
      </c>
      <c r="W805" t="s">
        <v>15291</v>
      </c>
      <c r="X805" t="s">
        <v>2696</v>
      </c>
      <c r="Y805" t="s">
        <v>15292</v>
      </c>
      <c r="Z805" t="s">
        <v>15293</v>
      </c>
      <c r="AA805" t="s">
        <v>15294</v>
      </c>
      <c r="AB805" t="s">
        <v>15295</v>
      </c>
      <c r="AC805" t="s">
        <v>15296</v>
      </c>
      <c r="AD805" t="s">
        <v>15297</v>
      </c>
      <c r="AE805" t="s">
        <v>15296</v>
      </c>
      <c r="AF805" t="s">
        <v>74</v>
      </c>
      <c r="AG805">
        <v>73</v>
      </c>
      <c r="AH805">
        <v>0</v>
      </c>
      <c r="AI805">
        <v>0</v>
      </c>
      <c r="AJ805">
        <v>1</v>
      </c>
      <c r="AK805">
        <v>1</v>
      </c>
      <c r="AL805" t="s">
        <v>1101</v>
      </c>
      <c r="AM805" t="s">
        <v>1102</v>
      </c>
      <c r="AN805" t="s">
        <v>1103</v>
      </c>
      <c r="AO805" t="s">
        <v>6384</v>
      </c>
      <c r="AP805" t="s">
        <v>74</v>
      </c>
      <c r="AQ805" t="s">
        <v>74</v>
      </c>
      <c r="AR805" t="s">
        <v>6385</v>
      </c>
      <c r="AS805" t="s">
        <v>6386</v>
      </c>
      <c r="AT805" t="s">
        <v>10415</v>
      </c>
      <c r="AU805">
        <v>2023</v>
      </c>
      <c r="AV805">
        <v>13</v>
      </c>
      <c r="AW805">
        <v>10</v>
      </c>
      <c r="AX805" t="s">
        <v>74</v>
      </c>
      <c r="AY805" t="s">
        <v>74</v>
      </c>
      <c r="AZ805" t="s">
        <v>74</v>
      </c>
      <c r="BA805" t="s">
        <v>74</v>
      </c>
      <c r="BB805" t="s">
        <v>74</v>
      </c>
      <c r="BC805" t="s">
        <v>74</v>
      </c>
      <c r="BD805" t="s">
        <v>15298</v>
      </c>
      <c r="BE805" t="s">
        <v>15299</v>
      </c>
      <c r="BF805" t="str">
        <f>HYPERLINK("http://dx.doi.org/10.1002/ece3.10644","http://dx.doi.org/10.1002/ece3.10644")</f>
        <v>http://dx.doi.org/10.1002/ece3.10644</v>
      </c>
      <c r="BG805" t="s">
        <v>74</v>
      </c>
      <c r="BH805" t="s">
        <v>74</v>
      </c>
      <c r="BI805">
        <v>12</v>
      </c>
      <c r="BJ805" t="s">
        <v>6389</v>
      </c>
      <c r="BK805" t="s">
        <v>100</v>
      </c>
      <c r="BL805" t="s">
        <v>6390</v>
      </c>
      <c r="BM805" t="s">
        <v>15300</v>
      </c>
      <c r="BN805">
        <v>37881226</v>
      </c>
      <c r="BO805" t="s">
        <v>265</v>
      </c>
      <c r="BP805" t="s">
        <v>74</v>
      </c>
      <c r="BQ805" t="s">
        <v>74</v>
      </c>
      <c r="BR805" t="s">
        <v>104</v>
      </c>
      <c r="BS805" t="s">
        <v>15301</v>
      </c>
      <c r="BT805" t="str">
        <f>HYPERLINK("https%3A%2F%2Fwww.webofscience.com%2Fwos%2Fwoscc%2Ffull-record%2FWOS:001090417000001","View Full Record in Web of Science")</f>
        <v>View Full Record in Web of Science</v>
      </c>
    </row>
    <row r="806" spans="1:72" x14ac:dyDescent="0.15">
      <c r="A806" t="s">
        <v>72</v>
      </c>
      <c r="B806" t="s">
        <v>15302</v>
      </c>
      <c r="C806" t="s">
        <v>74</v>
      </c>
      <c r="D806" t="s">
        <v>74</v>
      </c>
      <c r="E806" t="s">
        <v>74</v>
      </c>
      <c r="F806" t="s">
        <v>15303</v>
      </c>
      <c r="G806" t="s">
        <v>74</v>
      </c>
      <c r="H806" t="s">
        <v>74</v>
      </c>
      <c r="I806" t="s">
        <v>15304</v>
      </c>
      <c r="J806" t="s">
        <v>15305</v>
      </c>
      <c r="K806" t="s">
        <v>74</v>
      </c>
      <c r="L806" t="s">
        <v>74</v>
      </c>
      <c r="M806" t="s">
        <v>5519</v>
      </c>
      <c r="N806" t="s">
        <v>79</v>
      </c>
      <c r="O806" t="s">
        <v>74</v>
      </c>
      <c r="P806" t="s">
        <v>74</v>
      </c>
      <c r="Q806" t="s">
        <v>74</v>
      </c>
      <c r="R806" t="s">
        <v>74</v>
      </c>
      <c r="S806" t="s">
        <v>74</v>
      </c>
      <c r="T806" t="s">
        <v>15306</v>
      </c>
      <c r="U806" t="s">
        <v>74</v>
      </c>
      <c r="V806" t="s">
        <v>15307</v>
      </c>
      <c r="W806" t="s">
        <v>15308</v>
      </c>
      <c r="X806" t="s">
        <v>15309</v>
      </c>
      <c r="Y806" t="s">
        <v>15310</v>
      </c>
      <c r="Z806" t="s">
        <v>15311</v>
      </c>
      <c r="AA806" t="s">
        <v>74</v>
      </c>
      <c r="AB806" t="s">
        <v>74</v>
      </c>
      <c r="AC806" t="s">
        <v>74</v>
      </c>
      <c r="AD806" t="s">
        <v>74</v>
      </c>
      <c r="AE806" t="s">
        <v>74</v>
      </c>
      <c r="AF806" t="s">
        <v>74</v>
      </c>
      <c r="AG806">
        <v>7</v>
      </c>
      <c r="AH806">
        <v>0</v>
      </c>
      <c r="AI806">
        <v>0</v>
      </c>
      <c r="AJ806">
        <v>3</v>
      </c>
      <c r="AK806">
        <v>3</v>
      </c>
      <c r="AL806" t="s">
        <v>15312</v>
      </c>
      <c r="AM806" t="s">
        <v>6886</v>
      </c>
      <c r="AN806" t="s">
        <v>15313</v>
      </c>
      <c r="AO806" t="s">
        <v>15314</v>
      </c>
      <c r="AP806" t="s">
        <v>74</v>
      </c>
      <c r="AQ806" t="s">
        <v>74</v>
      </c>
      <c r="AR806" t="s">
        <v>15315</v>
      </c>
      <c r="AS806" t="s">
        <v>15316</v>
      </c>
      <c r="AT806" t="s">
        <v>10415</v>
      </c>
      <c r="AU806">
        <v>2023</v>
      </c>
      <c r="AV806">
        <v>43</v>
      </c>
      <c r="AW806">
        <v>10</v>
      </c>
      <c r="AX806" t="s">
        <v>74</v>
      </c>
      <c r="AY806" t="s">
        <v>74</v>
      </c>
      <c r="AZ806" t="s">
        <v>74</v>
      </c>
      <c r="BA806" t="s">
        <v>74</v>
      </c>
      <c r="BB806">
        <v>3260</v>
      </c>
      <c r="BC806">
        <v>3265</v>
      </c>
      <c r="BD806" t="s">
        <v>74</v>
      </c>
      <c r="BE806" t="s">
        <v>15317</v>
      </c>
      <c r="BF806" t="str">
        <f>HYPERLINK("http://dx.doi.org/10.3964/j.issn.1000-0593(2023)10-3260-06","http://dx.doi.org/10.3964/j.issn.1000-0593(2023)10-3260-06")</f>
        <v>http://dx.doi.org/10.3964/j.issn.1000-0593(2023)10-3260-06</v>
      </c>
      <c r="BG806" t="s">
        <v>74</v>
      </c>
      <c r="BH806" t="s">
        <v>74</v>
      </c>
      <c r="BI806">
        <v>6</v>
      </c>
      <c r="BJ806" t="s">
        <v>15318</v>
      </c>
      <c r="BK806" t="s">
        <v>100</v>
      </c>
      <c r="BL806" t="s">
        <v>15318</v>
      </c>
      <c r="BM806" t="s">
        <v>15319</v>
      </c>
      <c r="BN806" t="s">
        <v>74</v>
      </c>
      <c r="BO806" t="s">
        <v>74</v>
      </c>
      <c r="BP806" t="s">
        <v>74</v>
      </c>
      <c r="BQ806" t="s">
        <v>74</v>
      </c>
      <c r="BR806" t="s">
        <v>104</v>
      </c>
      <c r="BS806" t="s">
        <v>15320</v>
      </c>
      <c r="BT806" t="str">
        <f>HYPERLINK("https%3A%2F%2Fwww.webofscience.com%2Fwos%2Fwoscc%2Ffull-record%2FWOS:001083367000036","View Full Record in Web of Science")</f>
        <v>View Full Record in Web of Science</v>
      </c>
    </row>
    <row r="807" spans="1:72" x14ac:dyDescent="0.15">
      <c r="A807" t="s">
        <v>72</v>
      </c>
      <c r="B807" t="s">
        <v>15321</v>
      </c>
      <c r="C807" t="s">
        <v>74</v>
      </c>
      <c r="D807" t="s">
        <v>74</v>
      </c>
      <c r="E807" t="s">
        <v>74</v>
      </c>
      <c r="F807" t="s">
        <v>15322</v>
      </c>
      <c r="G807" t="s">
        <v>74</v>
      </c>
      <c r="H807" t="s">
        <v>74</v>
      </c>
      <c r="I807" t="s">
        <v>15323</v>
      </c>
      <c r="J807" t="s">
        <v>15324</v>
      </c>
      <c r="K807" t="s">
        <v>74</v>
      </c>
      <c r="L807" t="s">
        <v>74</v>
      </c>
      <c r="M807" t="s">
        <v>78</v>
      </c>
      <c r="N807" t="s">
        <v>79</v>
      </c>
      <c r="O807" t="s">
        <v>74</v>
      </c>
      <c r="P807" t="s">
        <v>74</v>
      </c>
      <c r="Q807" t="s">
        <v>74</v>
      </c>
      <c r="R807" t="s">
        <v>74</v>
      </c>
      <c r="S807" t="s">
        <v>74</v>
      </c>
      <c r="T807" t="s">
        <v>15325</v>
      </c>
      <c r="U807" t="s">
        <v>15326</v>
      </c>
      <c r="V807" t="s">
        <v>15327</v>
      </c>
      <c r="W807" t="s">
        <v>15328</v>
      </c>
      <c r="X807" t="s">
        <v>15329</v>
      </c>
      <c r="Y807" t="s">
        <v>15330</v>
      </c>
      <c r="Z807" t="s">
        <v>15331</v>
      </c>
      <c r="AA807" t="s">
        <v>15332</v>
      </c>
      <c r="AB807" t="s">
        <v>15333</v>
      </c>
      <c r="AC807" t="s">
        <v>15334</v>
      </c>
      <c r="AD807" t="s">
        <v>15334</v>
      </c>
      <c r="AE807" t="s">
        <v>15334</v>
      </c>
      <c r="AF807" t="s">
        <v>74</v>
      </c>
      <c r="AG807">
        <v>99</v>
      </c>
      <c r="AH807">
        <v>0</v>
      </c>
      <c r="AI807">
        <v>0</v>
      </c>
      <c r="AJ807">
        <v>1</v>
      </c>
      <c r="AK807">
        <v>1</v>
      </c>
      <c r="AL807" t="s">
        <v>5695</v>
      </c>
      <c r="AM807" t="s">
        <v>5696</v>
      </c>
      <c r="AN807" t="s">
        <v>5697</v>
      </c>
      <c r="AO807" t="s">
        <v>74</v>
      </c>
      <c r="AP807" t="s">
        <v>15335</v>
      </c>
      <c r="AQ807" t="s">
        <v>74</v>
      </c>
      <c r="AR807" t="s">
        <v>15324</v>
      </c>
      <c r="AS807" t="s">
        <v>15336</v>
      </c>
      <c r="AT807" t="s">
        <v>10415</v>
      </c>
      <c r="AU807">
        <v>2023</v>
      </c>
      <c r="AV807">
        <v>12</v>
      </c>
      <c r="AW807">
        <v>10</v>
      </c>
      <c r="AX807" t="s">
        <v>74</v>
      </c>
      <c r="AY807" t="s">
        <v>74</v>
      </c>
      <c r="AZ807" t="s">
        <v>74</v>
      </c>
      <c r="BA807" t="s">
        <v>74</v>
      </c>
      <c r="BB807" t="s">
        <v>74</v>
      </c>
      <c r="BC807" t="s">
        <v>74</v>
      </c>
      <c r="BD807">
        <v>1310</v>
      </c>
      <c r="BE807" t="s">
        <v>15337</v>
      </c>
      <c r="BF807" t="str">
        <f>HYPERLINK("http://dx.doi.org/10.3390/biology12101310","http://dx.doi.org/10.3390/biology12101310")</f>
        <v>http://dx.doi.org/10.3390/biology12101310</v>
      </c>
      <c r="BG807" t="s">
        <v>74</v>
      </c>
      <c r="BH807" t="s">
        <v>74</v>
      </c>
      <c r="BI807">
        <v>18</v>
      </c>
      <c r="BJ807" t="s">
        <v>5554</v>
      </c>
      <c r="BK807" t="s">
        <v>100</v>
      </c>
      <c r="BL807" t="s">
        <v>5555</v>
      </c>
      <c r="BM807" t="s">
        <v>15338</v>
      </c>
      <c r="BN807">
        <v>37887020</v>
      </c>
      <c r="BO807" t="s">
        <v>200</v>
      </c>
      <c r="BP807" t="s">
        <v>74</v>
      </c>
      <c r="BQ807" t="s">
        <v>74</v>
      </c>
      <c r="BR807" t="s">
        <v>104</v>
      </c>
      <c r="BS807" t="s">
        <v>15339</v>
      </c>
      <c r="BT807" t="str">
        <f>HYPERLINK("https%3A%2F%2Fwww.webofscience.com%2Fwos%2Fwoscc%2Ffull-record%2FWOS:001092492400001","View Full Record in Web of Science")</f>
        <v>View Full Record in Web of Science</v>
      </c>
    </row>
    <row r="808" spans="1:72" x14ac:dyDescent="0.15">
      <c r="A808" t="s">
        <v>72</v>
      </c>
      <c r="B808" t="s">
        <v>15340</v>
      </c>
      <c r="C808" t="s">
        <v>74</v>
      </c>
      <c r="D808" t="s">
        <v>74</v>
      </c>
      <c r="E808" t="s">
        <v>74</v>
      </c>
      <c r="F808" t="s">
        <v>15341</v>
      </c>
      <c r="G808" t="s">
        <v>74</v>
      </c>
      <c r="H808" t="s">
        <v>74</v>
      </c>
      <c r="I808" t="s">
        <v>15342</v>
      </c>
      <c r="J808" t="s">
        <v>15343</v>
      </c>
      <c r="K808" t="s">
        <v>74</v>
      </c>
      <c r="L808" t="s">
        <v>74</v>
      </c>
      <c r="M808" t="s">
        <v>78</v>
      </c>
      <c r="N808" t="s">
        <v>441</v>
      </c>
      <c r="O808" t="s">
        <v>74</v>
      </c>
      <c r="P808" t="s">
        <v>74</v>
      </c>
      <c r="Q808" t="s">
        <v>74</v>
      </c>
      <c r="R808" t="s">
        <v>74</v>
      </c>
      <c r="S808" t="s">
        <v>74</v>
      </c>
      <c r="T808" t="s">
        <v>15344</v>
      </c>
      <c r="U808" t="s">
        <v>15345</v>
      </c>
      <c r="V808" t="s">
        <v>15346</v>
      </c>
      <c r="W808" t="s">
        <v>15347</v>
      </c>
      <c r="X808" t="s">
        <v>15348</v>
      </c>
      <c r="Y808" t="s">
        <v>15349</v>
      </c>
      <c r="Z808" t="s">
        <v>15350</v>
      </c>
      <c r="AA808" t="s">
        <v>15351</v>
      </c>
      <c r="AB808" t="s">
        <v>74</v>
      </c>
      <c r="AC808" t="s">
        <v>15352</v>
      </c>
      <c r="AD808" t="s">
        <v>5074</v>
      </c>
      <c r="AE808" t="s">
        <v>15353</v>
      </c>
      <c r="AF808" t="s">
        <v>74</v>
      </c>
      <c r="AG808">
        <v>124</v>
      </c>
      <c r="AH808">
        <v>1</v>
      </c>
      <c r="AI808">
        <v>1</v>
      </c>
      <c r="AJ808">
        <v>5</v>
      </c>
      <c r="AK808">
        <v>5</v>
      </c>
      <c r="AL808" t="s">
        <v>5695</v>
      </c>
      <c r="AM808" t="s">
        <v>5696</v>
      </c>
      <c r="AN808" t="s">
        <v>5697</v>
      </c>
      <c r="AO808" t="s">
        <v>74</v>
      </c>
      <c r="AP808" t="s">
        <v>15354</v>
      </c>
      <c r="AQ808" t="s">
        <v>74</v>
      </c>
      <c r="AR808" t="s">
        <v>15343</v>
      </c>
      <c r="AS808" t="s">
        <v>15355</v>
      </c>
      <c r="AT808" t="s">
        <v>10415</v>
      </c>
      <c r="AU808">
        <v>2023</v>
      </c>
      <c r="AV808">
        <v>15</v>
      </c>
      <c r="AW808">
        <v>10</v>
      </c>
      <c r="AX808" t="s">
        <v>74</v>
      </c>
      <c r="AY808" t="s">
        <v>74</v>
      </c>
      <c r="AZ808" t="s">
        <v>74</v>
      </c>
      <c r="BA808" t="s">
        <v>74</v>
      </c>
      <c r="BB808" t="s">
        <v>74</v>
      </c>
      <c r="BC808" t="s">
        <v>74</v>
      </c>
      <c r="BD808">
        <v>1942</v>
      </c>
      <c r="BE808" t="s">
        <v>15356</v>
      </c>
      <c r="BF808" t="str">
        <f>HYPERLINK("http://dx.doi.org/10.3390/sym15101942","http://dx.doi.org/10.3390/sym15101942")</f>
        <v>http://dx.doi.org/10.3390/sym15101942</v>
      </c>
      <c r="BG808" t="s">
        <v>74</v>
      </c>
      <c r="BH808" t="s">
        <v>74</v>
      </c>
      <c r="BI808">
        <v>24</v>
      </c>
      <c r="BJ808" t="s">
        <v>1035</v>
      </c>
      <c r="BK808" t="s">
        <v>100</v>
      </c>
      <c r="BL808" t="s">
        <v>1036</v>
      </c>
      <c r="BM808" t="s">
        <v>15357</v>
      </c>
      <c r="BN808" t="s">
        <v>74</v>
      </c>
      <c r="BO808" t="s">
        <v>131</v>
      </c>
      <c r="BP808" t="s">
        <v>74</v>
      </c>
      <c r="BQ808" t="s">
        <v>74</v>
      </c>
      <c r="BR808" t="s">
        <v>104</v>
      </c>
      <c r="BS808" t="s">
        <v>15358</v>
      </c>
      <c r="BT808" t="str">
        <f>HYPERLINK("https%3A%2F%2Fwww.webofscience.com%2Fwos%2Fwoscc%2Ffull-record%2FWOS:001089978100001","View Full Record in Web of Science")</f>
        <v>View Full Record in Web of Science</v>
      </c>
    </row>
    <row r="809" spans="1:72" x14ac:dyDescent="0.15">
      <c r="A809" t="s">
        <v>72</v>
      </c>
      <c r="B809" t="s">
        <v>15359</v>
      </c>
      <c r="C809" t="s">
        <v>74</v>
      </c>
      <c r="D809" t="s">
        <v>74</v>
      </c>
      <c r="E809" t="s">
        <v>74</v>
      </c>
      <c r="F809" t="s">
        <v>15360</v>
      </c>
      <c r="G809" t="s">
        <v>74</v>
      </c>
      <c r="H809" t="s">
        <v>74</v>
      </c>
      <c r="I809" t="s">
        <v>15361</v>
      </c>
      <c r="J809" t="s">
        <v>5175</v>
      </c>
      <c r="K809" t="s">
        <v>74</v>
      </c>
      <c r="L809" t="s">
        <v>74</v>
      </c>
      <c r="M809" t="s">
        <v>78</v>
      </c>
      <c r="N809" t="s">
        <v>79</v>
      </c>
      <c r="O809" t="s">
        <v>74</v>
      </c>
      <c r="P809" t="s">
        <v>74</v>
      </c>
      <c r="Q809" t="s">
        <v>74</v>
      </c>
      <c r="R809" t="s">
        <v>74</v>
      </c>
      <c r="S809" t="s">
        <v>74</v>
      </c>
      <c r="T809" t="s">
        <v>15362</v>
      </c>
      <c r="U809" t="s">
        <v>74</v>
      </c>
      <c r="V809" t="s">
        <v>15363</v>
      </c>
      <c r="W809" t="s">
        <v>15364</v>
      </c>
      <c r="X809" t="s">
        <v>2150</v>
      </c>
      <c r="Y809" t="s">
        <v>15365</v>
      </c>
      <c r="Z809" t="s">
        <v>15366</v>
      </c>
      <c r="AA809" t="s">
        <v>74</v>
      </c>
      <c r="AB809" t="s">
        <v>74</v>
      </c>
      <c r="AC809" t="s">
        <v>15367</v>
      </c>
      <c r="AD809" t="s">
        <v>1450</v>
      </c>
      <c r="AE809" t="s">
        <v>15368</v>
      </c>
      <c r="AF809" t="s">
        <v>74</v>
      </c>
      <c r="AG809">
        <v>22</v>
      </c>
      <c r="AH809">
        <v>0</v>
      </c>
      <c r="AI809">
        <v>0</v>
      </c>
      <c r="AJ809">
        <v>1</v>
      </c>
      <c r="AK809">
        <v>1</v>
      </c>
      <c r="AL809" t="s">
        <v>5183</v>
      </c>
      <c r="AM809" t="s">
        <v>1076</v>
      </c>
      <c r="AN809" t="s">
        <v>5184</v>
      </c>
      <c r="AO809" t="s">
        <v>5185</v>
      </c>
      <c r="AP809" t="s">
        <v>5186</v>
      </c>
      <c r="AQ809" t="s">
        <v>74</v>
      </c>
      <c r="AR809" t="s">
        <v>5187</v>
      </c>
      <c r="AS809" t="s">
        <v>5188</v>
      </c>
      <c r="AT809" t="s">
        <v>10415</v>
      </c>
      <c r="AU809">
        <v>2023</v>
      </c>
      <c r="AV809">
        <v>59</v>
      </c>
      <c r="AW809" t="s">
        <v>5056</v>
      </c>
      <c r="AX809" t="s">
        <v>74</v>
      </c>
      <c r="AY809">
        <v>1</v>
      </c>
      <c r="AZ809" t="s">
        <v>74</v>
      </c>
      <c r="BA809" t="s">
        <v>74</v>
      </c>
      <c r="BB809" t="s">
        <v>5168</v>
      </c>
      <c r="BC809" t="s">
        <v>15369</v>
      </c>
      <c r="BD809" t="s">
        <v>74</v>
      </c>
      <c r="BE809" t="s">
        <v>15370</v>
      </c>
      <c r="BF809" t="str">
        <f>HYPERLINK("http://dx.doi.org/10.1134/S0001433823130066","http://dx.doi.org/10.1134/S0001433823130066")</f>
        <v>http://dx.doi.org/10.1134/S0001433823130066</v>
      </c>
      <c r="BG809" t="s">
        <v>74</v>
      </c>
      <c r="BH809" t="s">
        <v>74</v>
      </c>
      <c r="BI809">
        <v>7</v>
      </c>
      <c r="BJ809" t="s">
        <v>1417</v>
      </c>
      <c r="BK809" t="s">
        <v>100</v>
      </c>
      <c r="BL809" t="s">
        <v>1417</v>
      </c>
      <c r="BM809" t="s">
        <v>15371</v>
      </c>
      <c r="BN809" t="s">
        <v>74</v>
      </c>
      <c r="BO809" t="s">
        <v>74</v>
      </c>
      <c r="BP809" t="s">
        <v>74</v>
      </c>
      <c r="BQ809" t="s">
        <v>74</v>
      </c>
      <c r="BR809" t="s">
        <v>104</v>
      </c>
      <c r="BS809" t="s">
        <v>15372</v>
      </c>
      <c r="BT809" t="str">
        <f>HYPERLINK("https%3A%2F%2Fwww.webofscience.com%2Fwos%2Fwoscc%2Ffull-record%2FWOS:001087491200001","View Full Record in Web of Science")</f>
        <v>View Full Record in Web of Science</v>
      </c>
    </row>
    <row r="810" spans="1:72" x14ac:dyDescent="0.15">
      <c r="A810" t="s">
        <v>72</v>
      </c>
      <c r="B810" t="s">
        <v>15373</v>
      </c>
      <c r="C810" t="s">
        <v>74</v>
      </c>
      <c r="D810" t="s">
        <v>74</v>
      </c>
      <c r="E810" t="s">
        <v>74</v>
      </c>
      <c r="F810" t="s">
        <v>15374</v>
      </c>
      <c r="G810" t="s">
        <v>74</v>
      </c>
      <c r="H810" t="s">
        <v>74</v>
      </c>
      <c r="I810" t="s">
        <v>15375</v>
      </c>
      <c r="J810" t="s">
        <v>5175</v>
      </c>
      <c r="K810" t="s">
        <v>74</v>
      </c>
      <c r="L810" t="s">
        <v>74</v>
      </c>
      <c r="M810" t="s">
        <v>78</v>
      </c>
      <c r="N810" t="s">
        <v>79</v>
      </c>
      <c r="O810" t="s">
        <v>74</v>
      </c>
      <c r="P810" t="s">
        <v>74</v>
      </c>
      <c r="Q810" t="s">
        <v>74</v>
      </c>
      <c r="R810" t="s">
        <v>74</v>
      </c>
      <c r="S810" t="s">
        <v>74</v>
      </c>
      <c r="T810" t="s">
        <v>15376</v>
      </c>
      <c r="U810" t="s">
        <v>4960</v>
      </c>
      <c r="V810" t="s">
        <v>15377</v>
      </c>
      <c r="W810" t="s">
        <v>15378</v>
      </c>
      <c r="X810" t="s">
        <v>5180</v>
      </c>
      <c r="Y810" t="s">
        <v>15379</v>
      </c>
      <c r="Z810" t="s">
        <v>15380</v>
      </c>
      <c r="AA810" t="s">
        <v>74</v>
      </c>
      <c r="AB810" t="s">
        <v>74</v>
      </c>
      <c r="AC810" t="s">
        <v>15381</v>
      </c>
      <c r="AD810" t="s">
        <v>5506</v>
      </c>
      <c r="AE810" t="s">
        <v>15382</v>
      </c>
      <c r="AF810" t="s">
        <v>74</v>
      </c>
      <c r="AG810">
        <v>22</v>
      </c>
      <c r="AH810">
        <v>0</v>
      </c>
      <c r="AI810">
        <v>0</v>
      </c>
      <c r="AJ810">
        <v>0</v>
      </c>
      <c r="AK810">
        <v>0</v>
      </c>
      <c r="AL810" t="s">
        <v>5183</v>
      </c>
      <c r="AM810" t="s">
        <v>1076</v>
      </c>
      <c r="AN810" t="s">
        <v>5184</v>
      </c>
      <c r="AO810" t="s">
        <v>5185</v>
      </c>
      <c r="AP810" t="s">
        <v>5186</v>
      </c>
      <c r="AQ810" t="s">
        <v>74</v>
      </c>
      <c r="AR810" t="s">
        <v>5187</v>
      </c>
      <c r="AS810" t="s">
        <v>5188</v>
      </c>
      <c r="AT810" t="s">
        <v>10415</v>
      </c>
      <c r="AU810">
        <v>2023</v>
      </c>
      <c r="AV810">
        <v>59</v>
      </c>
      <c r="AW810" t="s">
        <v>5056</v>
      </c>
      <c r="AX810" t="s">
        <v>74</v>
      </c>
      <c r="AY810">
        <v>1</v>
      </c>
      <c r="AZ810" t="s">
        <v>74</v>
      </c>
      <c r="BA810" t="s">
        <v>74</v>
      </c>
      <c r="BB810" t="s">
        <v>15383</v>
      </c>
      <c r="BC810" t="s">
        <v>15384</v>
      </c>
      <c r="BD810" t="s">
        <v>74</v>
      </c>
      <c r="BE810" t="s">
        <v>15385</v>
      </c>
      <c r="BF810" t="str">
        <f>HYPERLINK("http://dx.doi.org/10.1134/S0001433823130078","http://dx.doi.org/10.1134/S0001433823130078")</f>
        <v>http://dx.doi.org/10.1134/S0001433823130078</v>
      </c>
      <c r="BG810" t="s">
        <v>74</v>
      </c>
      <c r="BH810" t="s">
        <v>74</v>
      </c>
      <c r="BI810">
        <v>10</v>
      </c>
      <c r="BJ810" t="s">
        <v>1417</v>
      </c>
      <c r="BK810" t="s">
        <v>100</v>
      </c>
      <c r="BL810" t="s">
        <v>1417</v>
      </c>
      <c r="BM810" t="s">
        <v>15371</v>
      </c>
      <c r="BN810" t="s">
        <v>74</v>
      </c>
      <c r="BO810" t="s">
        <v>74</v>
      </c>
      <c r="BP810" t="s">
        <v>74</v>
      </c>
      <c r="BQ810" t="s">
        <v>74</v>
      </c>
      <c r="BR810" t="s">
        <v>104</v>
      </c>
      <c r="BS810" t="s">
        <v>15386</v>
      </c>
      <c r="BT810" t="str">
        <f>HYPERLINK("https%3A%2F%2Fwww.webofscience.com%2Fwos%2Fwoscc%2Ffull-record%2FWOS:001087491200004","View Full Record in Web of Science")</f>
        <v>View Full Record in Web of Science</v>
      </c>
    </row>
    <row r="811" spans="1:72" x14ac:dyDescent="0.15">
      <c r="A811" t="s">
        <v>72</v>
      </c>
      <c r="B811" t="s">
        <v>15387</v>
      </c>
      <c r="C811" t="s">
        <v>74</v>
      </c>
      <c r="D811" t="s">
        <v>74</v>
      </c>
      <c r="E811" t="s">
        <v>74</v>
      </c>
      <c r="F811" t="s">
        <v>15388</v>
      </c>
      <c r="G811" t="s">
        <v>74</v>
      </c>
      <c r="H811" t="s">
        <v>74</v>
      </c>
      <c r="I811" t="s">
        <v>15389</v>
      </c>
      <c r="J811" t="s">
        <v>5175</v>
      </c>
      <c r="K811" t="s">
        <v>74</v>
      </c>
      <c r="L811" t="s">
        <v>74</v>
      </c>
      <c r="M811" t="s">
        <v>78</v>
      </c>
      <c r="N811" t="s">
        <v>79</v>
      </c>
      <c r="O811" t="s">
        <v>74</v>
      </c>
      <c r="P811" t="s">
        <v>74</v>
      </c>
      <c r="Q811" t="s">
        <v>74</v>
      </c>
      <c r="R811" t="s">
        <v>74</v>
      </c>
      <c r="S811" t="s">
        <v>74</v>
      </c>
      <c r="T811" t="s">
        <v>15390</v>
      </c>
      <c r="U811" t="s">
        <v>15391</v>
      </c>
      <c r="V811" t="s">
        <v>15392</v>
      </c>
      <c r="W811" t="s">
        <v>15393</v>
      </c>
      <c r="X811" t="s">
        <v>15394</v>
      </c>
      <c r="Y811" t="s">
        <v>15395</v>
      </c>
      <c r="Z811" t="s">
        <v>15396</v>
      </c>
      <c r="AA811" t="s">
        <v>74</v>
      </c>
      <c r="AB811" t="s">
        <v>74</v>
      </c>
      <c r="AC811" t="s">
        <v>15397</v>
      </c>
      <c r="AD811" t="s">
        <v>1450</v>
      </c>
      <c r="AE811" t="s">
        <v>15398</v>
      </c>
      <c r="AF811" t="s">
        <v>74</v>
      </c>
      <c r="AG811">
        <v>24</v>
      </c>
      <c r="AH811">
        <v>0</v>
      </c>
      <c r="AI811">
        <v>0</v>
      </c>
      <c r="AJ811">
        <v>2</v>
      </c>
      <c r="AK811">
        <v>2</v>
      </c>
      <c r="AL811" t="s">
        <v>5183</v>
      </c>
      <c r="AM811" t="s">
        <v>1076</v>
      </c>
      <c r="AN811" t="s">
        <v>5184</v>
      </c>
      <c r="AO811" t="s">
        <v>5185</v>
      </c>
      <c r="AP811" t="s">
        <v>5186</v>
      </c>
      <c r="AQ811" t="s">
        <v>74</v>
      </c>
      <c r="AR811" t="s">
        <v>5187</v>
      </c>
      <c r="AS811" t="s">
        <v>5188</v>
      </c>
      <c r="AT811" t="s">
        <v>10415</v>
      </c>
      <c r="AU811">
        <v>2023</v>
      </c>
      <c r="AV811">
        <v>59</v>
      </c>
      <c r="AW811" t="s">
        <v>5056</v>
      </c>
      <c r="AX811" t="s">
        <v>74</v>
      </c>
      <c r="AY811">
        <v>1</v>
      </c>
      <c r="AZ811" t="s">
        <v>74</v>
      </c>
      <c r="BA811" t="s">
        <v>74</v>
      </c>
      <c r="BB811" t="s">
        <v>15399</v>
      </c>
      <c r="BC811" t="s">
        <v>15400</v>
      </c>
      <c r="BD811" t="s">
        <v>74</v>
      </c>
      <c r="BE811" t="s">
        <v>15401</v>
      </c>
      <c r="BF811" t="str">
        <f>HYPERLINK("http://dx.doi.org/10.1134/S0001433823130091","http://dx.doi.org/10.1134/S0001433823130091")</f>
        <v>http://dx.doi.org/10.1134/S0001433823130091</v>
      </c>
      <c r="BG811" t="s">
        <v>74</v>
      </c>
      <c r="BH811" t="s">
        <v>74</v>
      </c>
      <c r="BI811">
        <v>13</v>
      </c>
      <c r="BJ811" t="s">
        <v>1417</v>
      </c>
      <c r="BK811" t="s">
        <v>100</v>
      </c>
      <c r="BL811" t="s">
        <v>1417</v>
      </c>
      <c r="BM811" t="s">
        <v>15371</v>
      </c>
      <c r="BN811" t="s">
        <v>74</v>
      </c>
      <c r="BO811" t="s">
        <v>74</v>
      </c>
      <c r="BP811" t="s">
        <v>74</v>
      </c>
      <c r="BQ811" t="s">
        <v>74</v>
      </c>
      <c r="BR811" t="s">
        <v>104</v>
      </c>
      <c r="BS811" t="s">
        <v>15402</v>
      </c>
      <c r="BT811" t="str">
        <f>HYPERLINK("https%3A%2F%2Fwww.webofscience.com%2Fwos%2Fwoscc%2Ffull-record%2FWOS:001087491200005","View Full Record in Web of Science")</f>
        <v>View Full Record in Web of Science</v>
      </c>
    </row>
    <row r="812" spans="1:72" x14ac:dyDescent="0.15">
      <c r="A812" t="s">
        <v>72</v>
      </c>
      <c r="B812" t="s">
        <v>15403</v>
      </c>
      <c r="C812" t="s">
        <v>74</v>
      </c>
      <c r="D812" t="s">
        <v>74</v>
      </c>
      <c r="E812" t="s">
        <v>74</v>
      </c>
      <c r="F812" t="s">
        <v>15404</v>
      </c>
      <c r="G812" t="s">
        <v>74</v>
      </c>
      <c r="H812" t="s">
        <v>74</v>
      </c>
      <c r="I812" t="s">
        <v>15405</v>
      </c>
      <c r="J812" t="s">
        <v>6148</v>
      </c>
      <c r="K812" t="s">
        <v>74</v>
      </c>
      <c r="L812" t="s">
        <v>74</v>
      </c>
      <c r="M812" t="s">
        <v>78</v>
      </c>
      <c r="N812" t="s">
        <v>79</v>
      </c>
      <c r="O812" t="s">
        <v>74</v>
      </c>
      <c r="P812" t="s">
        <v>74</v>
      </c>
      <c r="Q812" t="s">
        <v>74</v>
      </c>
      <c r="R812" t="s">
        <v>74</v>
      </c>
      <c r="S812" t="s">
        <v>74</v>
      </c>
      <c r="T812" t="s">
        <v>15406</v>
      </c>
      <c r="U812" t="s">
        <v>15407</v>
      </c>
      <c r="V812" t="s">
        <v>15408</v>
      </c>
      <c r="W812" t="s">
        <v>15409</v>
      </c>
      <c r="X812" t="s">
        <v>15410</v>
      </c>
      <c r="Y812" t="s">
        <v>15411</v>
      </c>
      <c r="Z812" t="s">
        <v>15412</v>
      </c>
      <c r="AA812" t="s">
        <v>15413</v>
      </c>
      <c r="AB812" t="s">
        <v>15414</v>
      </c>
      <c r="AC812" t="s">
        <v>15415</v>
      </c>
      <c r="AD812" t="s">
        <v>15416</v>
      </c>
      <c r="AE812" t="s">
        <v>15417</v>
      </c>
      <c r="AF812" t="s">
        <v>74</v>
      </c>
      <c r="AG812">
        <v>80</v>
      </c>
      <c r="AH812">
        <v>0</v>
      </c>
      <c r="AI812">
        <v>0</v>
      </c>
      <c r="AJ812">
        <v>4</v>
      </c>
      <c r="AK812">
        <v>4</v>
      </c>
      <c r="AL812" t="s">
        <v>5695</v>
      </c>
      <c r="AM812" t="s">
        <v>5696</v>
      </c>
      <c r="AN812" t="s">
        <v>5697</v>
      </c>
      <c r="AO812" t="s">
        <v>6158</v>
      </c>
      <c r="AP812" t="s">
        <v>6159</v>
      </c>
      <c r="AQ812" t="s">
        <v>74</v>
      </c>
      <c r="AR812" t="s">
        <v>6160</v>
      </c>
      <c r="AS812" t="s">
        <v>6161</v>
      </c>
      <c r="AT812" t="s">
        <v>10415</v>
      </c>
      <c r="AU812">
        <v>2023</v>
      </c>
      <c r="AV812">
        <v>24</v>
      </c>
      <c r="AW812">
        <v>19</v>
      </c>
      <c r="AX812" t="s">
        <v>74</v>
      </c>
      <c r="AY812" t="s">
        <v>74</v>
      </c>
      <c r="AZ812" t="s">
        <v>74</v>
      </c>
      <c r="BA812" t="s">
        <v>74</v>
      </c>
      <c r="BB812" t="s">
        <v>74</v>
      </c>
      <c r="BC812" t="s">
        <v>74</v>
      </c>
      <c r="BD812">
        <v>14556</v>
      </c>
      <c r="BE812" t="s">
        <v>15418</v>
      </c>
      <c r="BF812" t="str">
        <f>HYPERLINK("http://dx.doi.org/10.3390/ijms241914556","http://dx.doi.org/10.3390/ijms241914556")</f>
        <v>http://dx.doi.org/10.3390/ijms241914556</v>
      </c>
      <c r="BG812" t="s">
        <v>74</v>
      </c>
      <c r="BH812" t="s">
        <v>74</v>
      </c>
      <c r="BI812">
        <v>18</v>
      </c>
      <c r="BJ812" t="s">
        <v>6163</v>
      </c>
      <c r="BK812" t="s">
        <v>100</v>
      </c>
      <c r="BL812" t="s">
        <v>6164</v>
      </c>
      <c r="BM812" t="s">
        <v>15419</v>
      </c>
      <c r="BN812">
        <v>37834004</v>
      </c>
      <c r="BO812" t="s">
        <v>265</v>
      </c>
      <c r="BP812" t="s">
        <v>74</v>
      </c>
      <c r="BQ812" t="s">
        <v>74</v>
      </c>
      <c r="BR812" t="s">
        <v>104</v>
      </c>
      <c r="BS812" t="s">
        <v>15420</v>
      </c>
      <c r="BT812" t="str">
        <f>HYPERLINK("https%3A%2F%2Fwww.webofscience.com%2Fwos%2Fwoscc%2Ffull-record%2FWOS:001084868500001","View Full Record in Web of Science")</f>
        <v>View Full Record in Web of Science</v>
      </c>
    </row>
    <row r="813" spans="1:72" x14ac:dyDescent="0.15">
      <c r="A813" t="s">
        <v>72</v>
      </c>
      <c r="B813" t="s">
        <v>15421</v>
      </c>
      <c r="C813" t="s">
        <v>74</v>
      </c>
      <c r="D813" t="s">
        <v>74</v>
      </c>
      <c r="E813" t="s">
        <v>74</v>
      </c>
      <c r="F813" t="s">
        <v>15422</v>
      </c>
      <c r="G813" t="s">
        <v>74</v>
      </c>
      <c r="H813" t="s">
        <v>74</v>
      </c>
      <c r="I813" t="s">
        <v>15423</v>
      </c>
      <c r="J813" t="s">
        <v>5706</v>
      </c>
      <c r="K813" t="s">
        <v>74</v>
      </c>
      <c r="L813" t="s">
        <v>74</v>
      </c>
      <c r="M813" t="s">
        <v>78</v>
      </c>
      <c r="N813" t="s">
        <v>79</v>
      </c>
      <c r="O813" t="s">
        <v>74</v>
      </c>
      <c r="P813" t="s">
        <v>74</v>
      </c>
      <c r="Q813" t="s">
        <v>74</v>
      </c>
      <c r="R813" t="s">
        <v>74</v>
      </c>
      <c r="S813" t="s">
        <v>74</v>
      </c>
      <c r="T813" t="s">
        <v>15424</v>
      </c>
      <c r="U813" t="s">
        <v>15425</v>
      </c>
      <c r="V813" t="s">
        <v>15426</v>
      </c>
      <c r="W813" t="s">
        <v>15427</v>
      </c>
      <c r="X813" t="s">
        <v>15428</v>
      </c>
      <c r="Y813" t="s">
        <v>15429</v>
      </c>
      <c r="Z813" t="s">
        <v>15430</v>
      </c>
      <c r="AA813" t="s">
        <v>15431</v>
      </c>
      <c r="AB813" t="s">
        <v>15432</v>
      </c>
      <c r="AC813" t="s">
        <v>15433</v>
      </c>
      <c r="AD813" t="s">
        <v>15433</v>
      </c>
      <c r="AE813" t="s">
        <v>15434</v>
      </c>
      <c r="AF813" t="s">
        <v>74</v>
      </c>
      <c r="AG813">
        <v>69</v>
      </c>
      <c r="AH813">
        <v>0</v>
      </c>
      <c r="AI813">
        <v>0</v>
      </c>
      <c r="AJ813">
        <v>12</v>
      </c>
      <c r="AK813">
        <v>12</v>
      </c>
      <c r="AL813" t="s">
        <v>5695</v>
      </c>
      <c r="AM813" t="s">
        <v>5696</v>
      </c>
      <c r="AN813" t="s">
        <v>5697</v>
      </c>
      <c r="AO813" t="s">
        <v>74</v>
      </c>
      <c r="AP813" t="s">
        <v>5719</v>
      </c>
      <c r="AQ813" t="s">
        <v>74</v>
      </c>
      <c r="AR813" t="s">
        <v>5720</v>
      </c>
      <c r="AS813" t="s">
        <v>5721</v>
      </c>
      <c r="AT813" t="s">
        <v>10415</v>
      </c>
      <c r="AU813">
        <v>2023</v>
      </c>
      <c r="AV813">
        <v>15</v>
      </c>
      <c r="AW813">
        <v>20</v>
      </c>
      <c r="AX813" t="s">
        <v>74</v>
      </c>
      <c r="AY813" t="s">
        <v>74</v>
      </c>
      <c r="AZ813" t="s">
        <v>74</v>
      </c>
      <c r="BA813" t="s">
        <v>74</v>
      </c>
      <c r="BB813" t="s">
        <v>74</v>
      </c>
      <c r="BC813" t="s">
        <v>74</v>
      </c>
      <c r="BD813">
        <v>5041</v>
      </c>
      <c r="BE813" t="s">
        <v>15435</v>
      </c>
      <c r="BF813" t="str">
        <f>HYPERLINK("http://dx.doi.org/10.3390/rs15205041","http://dx.doi.org/10.3390/rs15205041")</f>
        <v>http://dx.doi.org/10.3390/rs15205041</v>
      </c>
      <c r="BG813" t="s">
        <v>74</v>
      </c>
      <c r="BH813" t="s">
        <v>74</v>
      </c>
      <c r="BI813">
        <v>20</v>
      </c>
      <c r="BJ813" t="s">
        <v>5723</v>
      </c>
      <c r="BK813" t="s">
        <v>100</v>
      </c>
      <c r="BL813" t="s">
        <v>5724</v>
      </c>
      <c r="BM813" t="s">
        <v>15436</v>
      </c>
      <c r="BN813" t="s">
        <v>74</v>
      </c>
      <c r="BO813" t="s">
        <v>131</v>
      </c>
      <c r="BP813" t="s">
        <v>74</v>
      </c>
      <c r="BQ813" t="s">
        <v>74</v>
      </c>
      <c r="BR813" t="s">
        <v>104</v>
      </c>
      <c r="BS813" t="s">
        <v>15437</v>
      </c>
      <c r="BT813" t="str">
        <f>HYPERLINK("https%3A%2F%2Fwww.webofscience.com%2Fwos%2Fwoscc%2Ffull-record%2FWOS:001089443200001","View Full Record in Web of Science")</f>
        <v>View Full Record in Web of Science</v>
      </c>
    </row>
    <row r="814" spans="1:72" x14ac:dyDescent="0.15">
      <c r="A814" t="s">
        <v>72</v>
      </c>
      <c r="B814" t="s">
        <v>15438</v>
      </c>
      <c r="C814" t="s">
        <v>74</v>
      </c>
      <c r="D814" t="s">
        <v>74</v>
      </c>
      <c r="E814" t="s">
        <v>74</v>
      </c>
      <c r="F814" t="s">
        <v>15439</v>
      </c>
      <c r="G814" t="s">
        <v>74</v>
      </c>
      <c r="H814" t="s">
        <v>74</v>
      </c>
      <c r="I814" t="s">
        <v>15440</v>
      </c>
      <c r="J814" t="s">
        <v>6260</v>
      </c>
      <c r="K814" t="s">
        <v>74</v>
      </c>
      <c r="L814" t="s">
        <v>74</v>
      </c>
      <c r="M814" t="s">
        <v>78</v>
      </c>
      <c r="N814" t="s">
        <v>79</v>
      </c>
      <c r="O814" t="s">
        <v>74</v>
      </c>
      <c r="P814" t="s">
        <v>74</v>
      </c>
      <c r="Q814" t="s">
        <v>74</v>
      </c>
      <c r="R814" t="s">
        <v>74</v>
      </c>
      <c r="S814" t="s">
        <v>74</v>
      </c>
      <c r="T814" t="s">
        <v>15441</v>
      </c>
      <c r="U814" t="s">
        <v>15442</v>
      </c>
      <c r="V814" t="s">
        <v>15443</v>
      </c>
      <c r="W814" t="s">
        <v>15444</v>
      </c>
      <c r="X814" t="s">
        <v>15445</v>
      </c>
      <c r="Y814" t="s">
        <v>15446</v>
      </c>
      <c r="Z814" t="s">
        <v>15447</v>
      </c>
      <c r="AA814" t="s">
        <v>74</v>
      </c>
      <c r="AB814" t="s">
        <v>15448</v>
      </c>
      <c r="AC814" t="s">
        <v>15449</v>
      </c>
      <c r="AD814" t="s">
        <v>15450</v>
      </c>
      <c r="AE814" t="s">
        <v>15451</v>
      </c>
      <c r="AF814" t="s">
        <v>74</v>
      </c>
      <c r="AG814">
        <v>143</v>
      </c>
      <c r="AH814">
        <v>0</v>
      </c>
      <c r="AI814">
        <v>0</v>
      </c>
      <c r="AJ814">
        <v>5</v>
      </c>
      <c r="AK814">
        <v>5</v>
      </c>
      <c r="AL814" t="s">
        <v>1208</v>
      </c>
      <c r="AM814" t="s">
        <v>1209</v>
      </c>
      <c r="AN814" t="s">
        <v>1210</v>
      </c>
      <c r="AO814" t="s">
        <v>74</v>
      </c>
      <c r="AP814" t="s">
        <v>6273</v>
      </c>
      <c r="AQ814" t="s">
        <v>74</v>
      </c>
      <c r="AR814" t="s">
        <v>6274</v>
      </c>
      <c r="AS814" t="s">
        <v>6275</v>
      </c>
      <c r="AT814" t="s">
        <v>10415</v>
      </c>
      <c r="AU814">
        <v>2023</v>
      </c>
      <c r="AV814">
        <v>4</v>
      </c>
      <c r="AW814">
        <v>5</v>
      </c>
      <c r="AX814" t="s">
        <v>74</v>
      </c>
      <c r="AY814" t="s">
        <v>74</v>
      </c>
      <c r="AZ814" t="s">
        <v>74</v>
      </c>
      <c r="BA814" t="s">
        <v>74</v>
      </c>
      <c r="BB814" t="s">
        <v>74</v>
      </c>
      <c r="BC814" t="s">
        <v>74</v>
      </c>
      <c r="BD814" t="s">
        <v>15452</v>
      </c>
      <c r="BE814" t="s">
        <v>15453</v>
      </c>
      <c r="BF814" t="str">
        <f>HYPERLINK("http://dx.doi.org/10.1029/2022AV000858","http://dx.doi.org/10.1029/2022AV000858")</f>
        <v>http://dx.doi.org/10.1029/2022AV000858</v>
      </c>
      <c r="BG814" t="s">
        <v>74</v>
      </c>
      <c r="BH814" t="s">
        <v>74</v>
      </c>
      <c r="BI814">
        <v>30</v>
      </c>
      <c r="BJ814" t="s">
        <v>535</v>
      </c>
      <c r="BK814" t="s">
        <v>100</v>
      </c>
      <c r="BL814" t="s">
        <v>536</v>
      </c>
      <c r="BM814" t="s">
        <v>15454</v>
      </c>
      <c r="BN814" t="s">
        <v>74</v>
      </c>
      <c r="BO814" t="s">
        <v>131</v>
      </c>
      <c r="BP814" t="s">
        <v>74</v>
      </c>
      <c r="BQ814" t="s">
        <v>74</v>
      </c>
      <c r="BR814" t="s">
        <v>104</v>
      </c>
      <c r="BS814" t="s">
        <v>15455</v>
      </c>
      <c r="BT814" t="str">
        <f>HYPERLINK("https%3A%2F%2Fwww.webofscience.com%2Fwos%2Fwoscc%2Ffull-record%2FWOS:001086487100001","View Full Record in Web of Science")</f>
        <v>View Full Record in Web of Science</v>
      </c>
    </row>
    <row r="815" spans="1:72" x14ac:dyDescent="0.15">
      <c r="A815" t="s">
        <v>72</v>
      </c>
      <c r="B815" t="s">
        <v>15456</v>
      </c>
      <c r="C815" t="s">
        <v>74</v>
      </c>
      <c r="D815" t="s">
        <v>74</v>
      </c>
      <c r="E815" t="s">
        <v>74</v>
      </c>
      <c r="F815" t="s">
        <v>15457</v>
      </c>
      <c r="G815" t="s">
        <v>74</v>
      </c>
      <c r="H815" t="s">
        <v>74</v>
      </c>
      <c r="I815" t="s">
        <v>15458</v>
      </c>
      <c r="J815" t="s">
        <v>10991</v>
      </c>
      <c r="K815" t="s">
        <v>74</v>
      </c>
      <c r="L815" t="s">
        <v>74</v>
      </c>
      <c r="M815" t="s">
        <v>78</v>
      </c>
      <c r="N815" t="s">
        <v>79</v>
      </c>
      <c r="O815" t="s">
        <v>74</v>
      </c>
      <c r="P815" t="s">
        <v>74</v>
      </c>
      <c r="Q815" t="s">
        <v>74</v>
      </c>
      <c r="R815" t="s">
        <v>74</v>
      </c>
      <c r="S815" t="s">
        <v>74</v>
      </c>
      <c r="T815" t="s">
        <v>15459</v>
      </c>
      <c r="U815" t="s">
        <v>15460</v>
      </c>
      <c r="V815" t="s">
        <v>15461</v>
      </c>
      <c r="W815" t="s">
        <v>15462</v>
      </c>
      <c r="X815" t="s">
        <v>15463</v>
      </c>
      <c r="Y815" t="s">
        <v>15464</v>
      </c>
      <c r="Z815" t="s">
        <v>15465</v>
      </c>
      <c r="AA815" t="s">
        <v>74</v>
      </c>
      <c r="AB815" t="s">
        <v>15466</v>
      </c>
      <c r="AC815" t="s">
        <v>15467</v>
      </c>
      <c r="AD815" t="s">
        <v>15467</v>
      </c>
      <c r="AE815" t="s">
        <v>15468</v>
      </c>
      <c r="AF815" t="s">
        <v>74</v>
      </c>
      <c r="AG815">
        <v>35</v>
      </c>
      <c r="AH815">
        <v>1</v>
      </c>
      <c r="AI815">
        <v>1</v>
      </c>
      <c r="AJ815">
        <v>0</v>
      </c>
      <c r="AK815">
        <v>0</v>
      </c>
      <c r="AL815" t="s">
        <v>5117</v>
      </c>
      <c r="AM815" t="s">
        <v>5118</v>
      </c>
      <c r="AN815" t="s">
        <v>5119</v>
      </c>
      <c r="AO815" t="s">
        <v>11002</v>
      </c>
      <c r="AP815" t="s">
        <v>11003</v>
      </c>
      <c r="AQ815" t="s">
        <v>74</v>
      </c>
      <c r="AR815" t="s">
        <v>11004</v>
      </c>
      <c r="AS815" t="s">
        <v>11005</v>
      </c>
      <c r="AT815" t="s">
        <v>10415</v>
      </c>
      <c r="AU815">
        <v>2023</v>
      </c>
      <c r="AV815">
        <v>40</v>
      </c>
      <c r="AW815">
        <v>10</v>
      </c>
      <c r="AX815" t="s">
        <v>74</v>
      </c>
      <c r="AY815" t="s">
        <v>74</v>
      </c>
      <c r="AZ815" t="s">
        <v>74</v>
      </c>
      <c r="BA815" t="s">
        <v>74</v>
      </c>
      <c r="BB815">
        <v>1277</v>
      </c>
      <c r="BC815">
        <v>1290</v>
      </c>
      <c r="BD815" t="s">
        <v>74</v>
      </c>
      <c r="BE815" t="s">
        <v>15469</v>
      </c>
      <c r="BF815" t="str">
        <f>HYPERLINK("http://dx.doi.org/10.1175/JTECH-D-23-0047.1","http://dx.doi.org/10.1175/JTECH-D-23-0047.1")</f>
        <v>http://dx.doi.org/10.1175/JTECH-D-23-0047.1</v>
      </c>
      <c r="BG815" t="s">
        <v>74</v>
      </c>
      <c r="BH815" t="s">
        <v>74</v>
      </c>
      <c r="BI815">
        <v>14</v>
      </c>
      <c r="BJ815" t="s">
        <v>11007</v>
      </c>
      <c r="BK815" t="s">
        <v>100</v>
      </c>
      <c r="BL815" t="s">
        <v>11008</v>
      </c>
      <c r="BM815" t="s">
        <v>15470</v>
      </c>
      <c r="BN815" t="s">
        <v>74</v>
      </c>
      <c r="BO815" t="s">
        <v>1794</v>
      </c>
      <c r="BP815" t="s">
        <v>74</v>
      </c>
      <c r="BQ815" t="s">
        <v>74</v>
      </c>
      <c r="BR815" t="s">
        <v>104</v>
      </c>
      <c r="BS815" t="s">
        <v>15471</v>
      </c>
      <c r="BT815" t="str">
        <f>HYPERLINK("https%3A%2F%2Fwww.webofscience.com%2Fwos%2Fwoscc%2Ffull-record%2FWOS:001086168200001","View Full Record in Web of Science")</f>
        <v>View Full Record in Web of Science</v>
      </c>
    </row>
    <row r="816" spans="1:72" x14ac:dyDescent="0.15">
      <c r="A816" t="s">
        <v>72</v>
      </c>
      <c r="B816" t="s">
        <v>15472</v>
      </c>
      <c r="C816" t="s">
        <v>74</v>
      </c>
      <c r="D816" t="s">
        <v>74</v>
      </c>
      <c r="E816" t="s">
        <v>74</v>
      </c>
      <c r="F816" t="s">
        <v>15473</v>
      </c>
      <c r="G816" t="s">
        <v>74</v>
      </c>
      <c r="H816" t="s">
        <v>74</v>
      </c>
      <c r="I816" t="s">
        <v>15474</v>
      </c>
      <c r="J816" t="s">
        <v>5644</v>
      </c>
      <c r="K816" t="s">
        <v>74</v>
      </c>
      <c r="L816" t="s">
        <v>74</v>
      </c>
      <c r="M816" t="s">
        <v>78</v>
      </c>
      <c r="N816" t="s">
        <v>79</v>
      </c>
      <c r="O816" t="s">
        <v>74</v>
      </c>
      <c r="P816" t="s">
        <v>74</v>
      </c>
      <c r="Q816" t="s">
        <v>74</v>
      </c>
      <c r="R816" t="s">
        <v>74</v>
      </c>
      <c r="S816" t="s">
        <v>74</v>
      </c>
      <c r="T816" t="s">
        <v>15475</v>
      </c>
      <c r="U816" t="s">
        <v>15476</v>
      </c>
      <c r="V816" t="s">
        <v>15477</v>
      </c>
      <c r="W816" t="s">
        <v>15478</v>
      </c>
      <c r="X816" t="s">
        <v>15479</v>
      </c>
      <c r="Y816" t="s">
        <v>15480</v>
      </c>
      <c r="Z816" t="s">
        <v>15481</v>
      </c>
      <c r="AA816" t="s">
        <v>15482</v>
      </c>
      <c r="AB816" t="s">
        <v>74</v>
      </c>
      <c r="AC816" t="s">
        <v>15483</v>
      </c>
      <c r="AD816" t="s">
        <v>15484</v>
      </c>
      <c r="AE816" t="s">
        <v>15485</v>
      </c>
      <c r="AF816" t="s">
        <v>74</v>
      </c>
      <c r="AG816">
        <v>68</v>
      </c>
      <c r="AH816">
        <v>0</v>
      </c>
      <c r="AI816">
        <v>0</v>
      </c>
      <c r="AJ816">
        <v>5</v>
      </c>
      <c r="AK816">
        <v>5</v>
      </c>
      <c r="AL816" t="s">
        <v>5655</v>
      </c>
      <c r="AM816" t="s">
        <v>5656</v>
      </c>
      <c r="AN816" t="s">
        <v>5657</v>
      </c>
      <c r="AO816" t="s">
        <v>5658</v>
      </c>
      <c r="AP816" t="s">
        <v>5659</v>
      </c>
      <c r="AQ816" t="s">
        <v>74</v>
      </c>
      <c r="AR816" t="s">
        <v>5660</v>
      </c>
      <c r="AS816" t="s">
        <v>5661</v>
      </c>
      <c r="AT816" t="s">
        <v>10415</v>
      </c>
      <c r="AU816">
        <v>2023</v>
      </c>
      <c r="AV816">
        <v>19</v>
      </c>
      <c r="AW816">
        <v>5</v>
      </c>
      <c r="AX816" t="s">
        <v>74</v>
      </c>
      <c r="AY816" t="s">
        <v>74</v>
      </c>
      <c r="AZ816" t="s">
        <v>74</v>
      </c>
      <c r="BA816" t="s">
        <v>74</v>
      </c>
      <c r="BB816">
        <v>458</v>
      </c>
      <c r="BC816">
        <v>471</v>
      </c>
      <c r="BD816" t="s">
        <v>74</v>
      </c>
      <c r="BE816" t="s">
        <v>15486</v>
      </c>
      <c r="BF816" t="str">
        <f>HYPERLINK("http://dx.doi.org/10.21161/mjm.220053","http://dx.doi.org/10.21161/mjm.220053")</f>
        <v>http://dx.doi.org/10.21161/mjm.220053</v>
      </c>
      <c r="BG816" t="s">
        <v>74</v>
      </c>
      <c r="BH816" t="s">
        <v>74</v>
      </c>
      <c r="BI816">
        <v>14</v>
      </c>
      <c r="BJ816" t="s">
        <v>1084</v>
      </c>
      <c r="BK816" t="s">
        <v>912</v>
      </c>
      <c r="BL816" t="s">
        <v>1084</v>
      </c>
      <c r="BM816" t="s">
        <v>15487</v>
      </c>
      <c r="BN816" t="s">
        <v>74</v>
      </c>
      <c r="BO816" t="s">
        <v>349</v>
      </c>
      <c r="BP816" t="s">
        <v>74</v>
      </c>
      <c r="BQ816" t="s">
        <v>74</v>
      </c>
      <c r="BR816" t="s">
        <v>104</v>
      </c>
      <c r="BS816" t="s">
        <v>15488</v>
      </c>
      <c r="BT816" t="str">
        <f>HYPERLINK("https%3A%2F%2Fwww.webofscience.com%2Fwos%2Fwoscc%2Ffull-record%2FWOS:001085004600001","View Full Record in Web of Science")</f>
        <v>View Full Record in Web of Science</v>
      </c>
    </row>
    <row r="817" spans="1:72" x14ac:dyDescent="0.15">
      <c r="A817" t="s">
        <v>72</v>
      </c>
      <c r="B817" t="s">
        <v>15489</v>
      </c>
      <c r="C817" t="s">
        <v>74</v>
      </c>
      <c r="D817" t="s">
        <v>74</v>
      </c>
      <c r="E817" t="s">
        <v>74</v>
      </c>
      <c r="F817" t="s">
        <v>15490</v>
      </c>
      <c r="G817" t="s">
        <v>74</v>
      </c>
      <c r="H817" t="s">
        <v>74</v>
      </c>
      <c r="I817" t="s">
        <v>15491</v>
      </c>
      <c r="J817" t="s">
        <v>5706</v>
      </c>
      <c r="K817" t="s">
        <v>74</v>
      </c>
      <c r="L817" t="s">
        <v>74</v>
      </c>
      <c r="M817" t="s">
        <v>78</v>
      </c>
      <c r="N817" t="s">
        <v>79</v>
      </c>
      <c r="O817" t="s">
        <v>74</v>
      </c>
      <c r="P817" t="s">
        <v>74</v>
      </c>
      <c r="Q817" t="s">
        <v>74</v>
      </c>
      <c r="R817" t="s">
        <v>74</v>
      </c>
      <c r="S817" t="s">
        <v>74</v>
      </c>
      <c r="T817" t="s">
        <v>15492</v>
      </c>
      <c r="U817" t="s">
        <v>15493</v>
      </c>
      <c r="V817" t="s">
        <v>15494</v>
      </c>
      <c r="W817" t="s">
        <v>15495</v>
      </c>
      <c r="X817" t="s">
        <v>15496</v>
      </c>
      <c r="Y817" t="s">
        <v>15497</v>
      </c>
      <c r="Z817" t="s">
        <v>15498</v>
      </c>
      <c r="AA817" t="s">
        <v>15499</v>
      </c>
      <c r="AB817" t="s">
        <v>15500</v>
      </c>
      <c r="AC817" t="s">
        <v>15501</v>
      </c>
      <c r="AD817" t="s">
        <v>15502</v>
      </c>
      <c r="AE817" t="s">
        <v>15503</v>
      </c>
      <c r="AF817" t="s">
        <v>74</v>
      </c>
      <c r="AG817">
        <v>51</v>
      </c>
      <c r="AH817">
        <v>5</v>
      </c>
      <c r="AI817">
        <v>5</v>
      </c>
      <c r="AJ817">
        <v>4</v>
      </c>
      <c r="AK817">
        <v>4</v>
      </c>
      <c r="AL817" t="s">
        <v>5695</v>
      </c>
      <c r="AM817" t="s">
        <v>5696</v>
      </c>
      <c r="AN817" t="s">
        <v>5697</v>
      </c>
      <c r="AO817" t="s">
        <v>74</v>
      </c>
      <c r="AP817" t="s">
        <v>5719</v>
      </c>
      <c r="AQ817" t="s">
        <v>74</v>
      </c>
      <c r="AR817" t="s">
        <v>5720</v>
      </c>
      <c r="AS817" t="s">
        <v>5721</v>
      </c>
      <c r="AT817" t="s">
        <v>10415</v>
      </c>
      <c r="AU817">
        <v>2023</v>
      </c>
      <c r="AV817">
        <v>15</v>
      </c>
      <c r="AW817">
        <v>19</v>
      </c>
      <c r="AX817" t="s">
        <v>74</v>
      </c>
      <c r="AY817" t="s">
        <v>74</v>
      </c>
      <c r="AZ817" t="s">
        <v>74</v>
      </c>
      <c r="BA817" t="s">
        <v>74</v>
      </c>
      <c r="BB817" t="s">
        <v>74</v>
      </c>
      <c r="BC817" t="s">
        <v>74</v>
      </c>
      <c r="BD817">
        <v>4879</v>
      </c>
      <c r="BE817" t="s">
        <v>15504</v>
      </c>
      <c r="BF817" t="str">
        <f>HYPERLINK("http://dx.doi.org/10.3390/rs15194879","http://dx.doi.org/10.3390/rs15194879")</f>
        <v>http://dx.doi.org/10.3390/rs15194879</v>
      </c>
      <c r="BG817" t="s">
        <v>74</v>
      </c>
      <c r="BH817" t="s">
        <v>74</v>
      </c>
      <c r="BI817">
        <v>18</v>
      </c>
      <c r="BJ817" t="s">
        <v>5723</v>
      </c>
      <c r="BK817" t="s">
        <v>100</v>
      </c>
      <c r="BL817" t="s">
        <v>5724</v>
      </c>
      <c r="BM817" t="s">
        <v>15505</v>
      </c>
      <c r="BN817" t="s">
        <v>74</v>
      </c>
      <c r="BO817" t="s">
        <v>131</v>
      </c>
      <c r="BP817" t="s">
        <v>74</v>
      </c>
      <c r="BQ817" t="s">
        <v>74</v>
      </c>
      <c r="BR817" t="s">
        <v>104</v>
      </c>
      <c r="BS817" t="s">
        <v>15506</v>
      </c>
      <c r="BT817" t="str">
        <f>HYPERLINK("https%3A%2F%2Fwww.webofscience.com%2Fwos%2Fwoscc%2Ffull-record%2FWOS:001084044200001","View Full Record in Web of Science")</f>
        <v>View Full Record in Web of Science</v>
      </c>
    </row>
    <row r="818" spans="1:72" x14ac:dyDescent="0.15">
      <c r="A818" t="s">
        <v>72</v>
      </c>
      <c r="B818" t="s">
        <v>15507</v>
      </c>
      <c r="C818" t="s">
        <v>74</v>
      </c>
      <c r="D818" t="s">
        <v>74</v>
      </c>
      <c r="E818" t="s">
        <v>74</v>
      </c>
      <c r="F818" t="s">
        <v>15508</v>
      </c>
      <c r="G818" t="s">
        <v>74</v>
      </c>
      <c r="H818" t="s">
        <v>74</v>
      </c>
      <c r="I818" t="s">
        <v>15509</v>
      </c>
      <c r="J818" t="s">
        <v>15510</v>
      </c>
      <c r="K818" t="s">
        <v>74</v>
      </c>
      <c r="L818" t="s">
        <v>74</v>
      </c>
      <c r="M818" t="s">
        <v>78</v>
      </c>
      <c r="N818" t="s">
        <v>79</v>
      </c>
      <c r="O818" t="s">
        <v>74</v>
      </c>
      <c r="P818" t="s">
        <v>74</v>
      </c>
      <c r="Q818" t="s">
        <v>74</v>
      </c>
      <c r="R818" t="s">
        <v>74</v>
      </c>
      <c r="S818" t="s">
        <v>74</v>
      </c>
      <c r="T818" t="s">
        <v>15511</v>
      </c>
      <c r="U818" t="s">
        <v>15512</v>
      </c>
      <c r="V818" t="s">
        <v>15513</v>
      </c>
      <c r="W818" t="s">
        <v>15514</v>
      </c>
      <c r="X818" t="s">
        <v>15515</v>
      </c>
      <c r="Y818" t="s">
        <v>15516</v>
      </c>
      <c r="Z818" t="s">
        <v>15517</v>
      </c>
      <c r="AA818" t="s">
        <v>15518</v>
      </c>
      <c r="AB818" t="s">
        <v>15519</v>
      </c>
      <c r="AC818" t="s">
        <v>15520</v>
      </c>
      <c r="AD818" t="s">
        <v>15521</v>
      </c>
      <c r="AE818" t="s">
        <v>15522</v>
      </c>
      <c r="AF818" t="s">
        <v>74</v>
      </c>
      <c r="AG818">
        <v>110</v>
      </c>
      <c r="AH818">
        <v>0</v>
      </c>
      <c r="AI818">
        <v>0</v>
      </c>
      <c r="AJ818">
        <v>4</v>
      </c>
      <c r="AK818">
        <v>4</v>
      </c>
      <c r="AL818" t="s">
        <v>1208</v>
      </c>
      <c r="AM818" t="s">
        <v>1209</v>
      </c>
      <c r="AN818" t="s">
        <v>1210</v>
      </c>
      <c r="AO818" t="s">
        <v>15523</v>
      </c>
      <c r="AP818" t="s">
        <v>15524</v>
      </c>
      <c r="AQ818" t="s">
        <v>74</v>
      </c>
      <c r="AR818" t="s">
        <v>15525</v>
      </c>
      <c r="AS818" t="s">
        <v>15526</v>
      </c>
      <c r="AT818" t="s">
        <v>10415</v>
      </c>
      <c r="AU818">
        <v>2023</v>
      </c>
      <c r="AV818">
        <v>128</v>
      </c>
      <c r="AW818">
        <v>10</v>
      </c>
      <c r="AX818" t="s">
        <v>74</v>
      </c>
      <c r="AY818" t="s">
        <v>74</v>
      </c>
      <c r="AZ818" t="s">
        <v>74</v>
      </c>
      <c r="BA818" t="s">
        <v>74</v>
      </c>
      <c r="BB818" t="s">
        <v>74</v>
      </c>
      <c r="BC818" t="s">
        <v>74</v>
      </c>
      <c r="BD818" t="s">
        <v>15527</v>
      </c>
      <c r="BE818" t="s">
        <v>15528</v>
      </c>
      <c r="BF818" t="str">
        <f>HYPERLINK("http://dx.doi.org/10.1029/2023JG007514","http://dx.doi.org/10.1029/2023JG007514")</f>
        <v>http://dx.doi.org/10.1029/2023JG007514</v>
      </c>
      <c r="BG818" t="s">
        <v>74</v>
      </c>
      <c r="BH818" t="s">
        <v>74</v>
      </c>
      <c r="BI818">
        <v>20</v>
      </c>
      <c r="BJ818" t="s">
        <v>2803</v>
      </c>
      <c r="BK818" t="s">
        <v>100</v>
      </c>
      <c r="BL818" t="s">
        <v>1950</v>
      </c>
      <c r="BM818" t="s">
        <v>15529</v>
      </c>
      <c r="BN818" t="s">
        <v>74</v>
      </c>
      <c r="BO818" t="s">
        <v>74</v>
      </c>
      <c r="BP818" t="s">
        <v>74</v>
      </c>
      <c r="BQ818" t="s">
        <v>74</v>
      </c>
      <c r="BR818" t="s">
        <v>104</v>
      </c>
      <c r="BS818" t="s">
        <v>15530</v>
      </c>
      <c r="BT818" t="str">
        <f>HYPERLINK("https%3A%2F%2Fwww.webofscience.com%2Fwos%2Fwoscc%2Ffull-record%2FWOS:001083434200001","View Full Record in Web of Science")</f>
        <v>View Full Record in Web of Science</v>
      </c>
    </row>
    <row r="819" spans="1:72" x14ac:dyDescent="0.15">
      <c r="A819" t="s">
        <v>72</v>
      </c>
      <c r="B819" t="s">
        <v>15531</v>
      </c>
      <c r="C819" t="s">
        <v>74</v>
      </c>
      <c r="D819" t="s">
        <v>74</v>
      </c>
      <c r="E819" t="s">
        <v>74</v>
      </c>
      <c r="F819" t="s">
        <v>15532</v>
      </c>
      <c r="G819" t="s">
        <v>74</v>
      </c>
      <c r="H819" t="s">
        <v>74</v>
      </c>
      <c r="I819" t="s">
        <v>15533</v>
      </c>
      <c r="J819" t="s">
        <v>15534</v>
      </c>
      <c r="K819" t="s">
        <v>74</v>
      </c>
      <c r="L819" t="s">
        <v>74</v>
      </c>
      <c r="M819" t="s">
        <v>78</v>
      </c>
      <c r="N819" t="s">
        <v>920</v>
      </c>
      <c r="O819" t="s">
        <v>74</v>
      </c>
      <c r="P819" t="s">
        <v>74</v>
      </c>
      <c r="Q819" t="s">
        <v>74</v>
      </c>
      <c r="R819" t="s">
        <v>74</v>
      </c>
      <c r="S819" t="s">
        <v>74</v>
      </c>
      <c r="T819" t="s">
        <v>15535</v>
      </c>
      <c r="U819" t="s">
        <v>74</v>
      </c>
      <c r="V819" t="s">
        <v>15536</v>
      </c>
      <c r="W819" t="s">
        <v>15537</v>
      </c>
      <c r="X819" t="s">
        <v>15538</v>
      </c>
      <c r="Y819" t="s">
        <v>15539</v>
      </c>
      <c r="Z819" t="s">
        <v>74</v>
      </c>
      <c r="AA819" t="s">
        <v>74</v>
      </c>
      <c r="AB819" t="s">
        <v>74</v>
      </c>
      <c r="AC819" t="s">
        <v>74</v>
      </c>
      <c r="AD819" t="s">
        <v>74</v>
      </c>
      <c r="AE819" t="s">
        <v>74</v>
      </c>
      <c r="AF819" t="s">
        <v>74</v>
      </c>
      <c r="AG819">
        <v>0</v>
      </c>
      <c r="AH819">
        <v>0</v>
      </c>
      <c r="AI819">
        <v>0</v>
      </c>
      <c r="AJ819">
        <v>2</v>
      </c>
      <c r="AK819">
        <v>2</v>
      </c>
      <c r="AL819" t="s">
        <v>15540</v>
      </c>
      <c r="AM819" t="s">
        <v>15541</v>
      </c>
      <c r="AN819" t="s">
        <v>15542</v>
      </c>
      <c r="AO819" t="s">
        <v>15543</v>
      </c>
      <c r="AP819" t="s">
        <v>15544</v>
      </c>
      <c r="AQ819" t="s">
        <v>74</v>
      </c>
      <c r="AR819" t="s">
        <v>15534</v>
      </c>
      <c r="AS819" t="s">
        <v>15545</v>
      </c>
      <c r="AT819" t="s">
        <v>10415</v>
      </c>
      <c r="AU819">
        <v>2023</v>
      </c>
      <c r="AV819">
        <v>60</v>
      </c>
      <c r="AW819">
        <v>10</v>
      </c>
      <c r="AX819" t="s">
        <v>74</v>
      </c>
      <c r="AY819" t="s">
        <v>74</v>
      </c>
      <c r="AZ819" t="s">
        <v>74</v>
      </c>
      <c r="BA819" t="s">
        <v>74</v>
      </c>
      <c r="BB819">
        <v>22</v>
      </c>
      <c r="BC819">
        <v>29</v>
      </c>
      <c r="BD819" t="s">
        <v>74</v>
      </c>
      <c r="BE819" t="s">
        <v>15546</v>
      </c>
      <c r="BF819" t="str">
        <f>HYPERLINK("http://dx.doi.org/10.1109/MSPEC.2023.10269826","http://dx.doi.org/10.1109/MSPEC.2023.10269826")</f>
        <v>http://dx.doi.org/10.1109/MSPEC.2023.10269826</v>
      </c>
      <c r="BG819" t="s">
        <v>74</v>
      </c>
      <c r="BH819" t="s">
        <v>74</v>
      </c>
      <c r="BI819">
        <v>8</v>
      </c>
      <c r="BJ819" t="s">
        <v>15547</v>
      </c>
      <c r="BK819" t="s">
        <v>100</v>
      </c>
      <c r="BL819" t="s">
        <v>4031</v>
      </c>
      <c r="BM819" t="s">
        <v>15548</v>
      </c>
      <c r="BN819" t="s">
        <v>74</v>
      </c>
      <c r="BO819" t="s">
        <v>74</v>
      </c>
      <c r="BP819" t="s">
        <v>74</v>
      </c>
      <c r="BQ819" t="s">
        <v>74</v>
      </c>
      <c r="BR819" t="s">
        <v>104</v>
      </c>
      <c r="BS819" t="s">
        <v>15549</v>
      </c>
      <c r="BT819" t="str">
        <f>HYPERLINK("https%3A%2F%2Fwww.webofscience.com%2Fwos%2Fwoscc%2Ffull-record%2FWOS:001081922400007","View Full Record in Web of Science")</f>
        <v>View Full Record in Web of Science</v>
      </c>
    </row>
    <row r="820" spans="1:72" x14ac:dyDescent="0.15">
      <c r="A820" t="s">
        <v>72</v>
      </c>
      <c r="B820" t="s">
        <v>15550</v>
      </c>
      <c r="C820" t="s">
        <v>74</v>
      </c>
      <c r="D820" t="s">
        <v>74</v>
      </c>
      <c r="E820" t="s">
        <v>74</v>
      </c>
      <c r="F820" t="s">
        <v>15551</v>
      </c>
      <c r="G820" t="s">
        <v>74</v>
      </c>
      <c r="H820" t="s">
        <v>74</v>
      </c>
      <c r="I820" t="s">
        <v>15552</v>
      </c>
      <c r="J820" t="s">
        <v>15553</v>
      </c>
      <c r="K820" t="s">
        <v>74</v>
      </c>
      <c r="L820" t="s">
        <v>74</v>
      </c>
      <c r="M820" t="s">
        <v>78</v>
      </c>
      <c r="N820" t="s">
        <v>79</v>
      </c>
      <c r="O820" t="s">
        <v>74</v>
      </c>
      <c r="P820" t="s">
        <v>74</v>
      </c>
      <c r="Q820" t="s">
        <v>74</v>
      </c>
      <c r="R820" t="s">
        <v>74</v>
      </c>
      <c r="S820" t="s">
        <v>74</v>
      </c>
      <c r="T820" t="s">
        <v>15554</v>
      </c>
      <c r="U820" t="s">
        <v>15555</v>
      </c>
      <c r="V820" t="s">
        <v>15556</v>
      </c>
      <c r="W820" t="s">
        <v>15557</v>
      </c>
      <c r="X820" t="s">
        <v>15558</v>
      </c>
      <c r="Y820" t="s">
        <v>15559</v>
      </c>
      <c r="Z820" t="s">
        <v>15560</v>
      </c>
      <c r="AA820" t="s">
        <v>74</v>
      </c>
      <c r="AB820" t="s">
        <v>15561</v>
      </c>
      <c r="AC820" t="s">
        <v>15562</v>
      </c>
      <c r="AD820" t="s">
        <v>15563</v>
      </c>
      <c r="AE820" t="s">
        <v>15564</v>
      </c>
      <c r="AF820" t="s">
        <v>74</v>
      </c>
      <c r="AG820">
        <v>23</v>
      </c>
      <c r="AH820">
        <v>0</v>
      </c>
      <c r="AI820">
        <v>0</v>
      </c>
      <c r="AJ820">
        <v>5</v>
      </c>
      <c r="AK820">
        <v>5</v>
      </c>
      <c r="AL820" t="s">
        <v>1208</v>
      </c>
      <c r="AM820" t="s">
        <v>1209</v>
      </c>
      <c r="AN820" t="s">
        <v>1210</v>
      </c>
      <c r="AO820" t="s">
        <v>74</v>
      </c>
      <c r="AP820" t="s">
        <v>15565</v>
      </c>
      <c r="AQ820" t="s">
        <v>74</v>
      </c>
      <c r="AR820" t="s">
        <v>15566</v>
      </c>
      <c r="AS820" t="s">
        <v>15567</v>
      </c>
      <c r="AT820" t="s">
        <v>10415</v>
      </c>
      <c r="AU820">
        <v>2023</v>
      </c>
      <c r="AV820">
        <v>10</v>
      </c>
      <c r="AW820">
        <v>10</v>
      </c>
      <c r="AX820" t="s">
        <v>74</v>
      </c>
      <c r="AY820" t="s">
        <v>74</v>
      </c>
      <c r="AZ820" t="s">
        <v>74</v>
      </c>
      <c r="BA820" t="s">
        <v>74</v>
      </c>
      <c r="BB820" t="s">
        <v>74</v>
      </c>
      <c r="BC820" t="s">
        <v>74</v>
      </c>
      <c r="BD820" t="s">
        <v>15568</v>
      </c>
      <c r="BE820" t="s">
        <v>15569</v>
      </c>
      <c r="BF820" t="str">
        <f>HYPERLINK("http://dx.doi.org/10.1029/2023EA003045","http://dx.doi.org/10.1029/2023EA003045")</f>
        <v>http://dx.doi.org/10.1029/2023EA003045</v>
      </c>
      <c r="BG820" t="s">
        <v>74</v>
      </c>
      <c r="BH820" t="s">
        <v>74</v>
      </c>
      <c r="BI820">
        <v>16</v>
      </c>
      <c r="BJ820" t="s">
        <v>15570</v>
      </c>
      <c r="BK820" t="s">
        <v>100</v>
      </c>
      <c r="BL820" t="s">
        <v>15571</v>
      </c>
      <c r="BM820" t="s">
        <v>15572</v>
      </c>
      <c r="BN820" t="s">
        <v>74</v>
      </c>
      <c r="BO820" t="s">
        <v>131</v>
      </c>
      <c r="BP820" t="s">
        <v>74</v>
      </c>
      <c r="BQ820" t="s">
        <v>74</v>
      </c>
      <c r="BR820" t="s">
        <v>104</v>
      </c>
      <c r="BS820" t="s">
        <v>15573</v>
      </c>
      <c r="BT820" t="str">
        <f>HYPERLINK("https%3A%2F%2Fwww.webofscience.com%2Fwos%2Fwoscc%2Ffull-record%2FWOS:001081517900001","View Full Record in Web of Science")</f>
        <v>View Full Record in Web of Science</v>
      </c>
    </row>
    <row r="821" spans="1:72" x14ac:dyDescent="0.15">
      <c r="A821" t="s">
        <v>72</v>
      </c>
      <c r="B821" t="s">
        <v>15574</v>
      </c>
      <c r="C821" t="s">
        <v>74</v>
      </c>
      <c r="D821" t="s">
        <v>74</v>
      </c>
      <c r="E821" t="s">
        <v>74</v>
      </c>
      <c r="F821" t="s">
        <v>15575</v>
      </c>
      <c r="G821" t="s">
        <v>74</v>
      </c>
      <c r="H821" t="s">
        <v>74</v>
      </c>
      <c r="I821" t="s">
        <v>15576</v>
      </c>
      <c r="J821" t="s">
        <v>10991</v>
      </c>
      <c r="K821" t="s">
        <v>74</v>
      </c>
      <c r="L821" t="s">
        <v>74</v>
      </c>
      <c r="M821" t="s">
        <v>78</v>
      </c>
      <c r="N821" t="s">
        <v>79</v>
      </c>
      <c r="O821" t="s">
        <v>74</v>
      </c>
      <c r="P821" t="s">
        <v>74</v>
      </c>
      <c r="Q821" t="s">
        <v>74</v>
      </c>
      <c r="R821" t="s">
        <v>74</v>
      </c>
      <c r="S821" t="s">
        <v>74</v>
      </c>
      <c r="T821" t="s">
        <v>15577</v>
      </c>
      <c r="U821" t="s">
        <v>15578</v>
      </c>
      <c r="V821" t="s">
        <v>15579</v>
      </c>
      <c r="W821" t="s">
        <v>15580</v>
      </c>
      <c r="X821" t="s">
        <v>15581</v>
      </c>
      <c r="Y821" t="s">
        <v>15582</v>
      </c>
      <c r="Z821" t="s">
        <v>15583</v>
      </c>
      <c r="AA821" t="s">
        <v>15584</v>
      </c>
      <c r="AB821" t="s">
        <v>15585</v>
      </c>
      <c r="AC821" t="s">
        <v>15586</v>
      </c>
      <c r="AD821" t="s">
        <v>15587</v>
      </c>
      <c r="AE821" t="s">
        <v>15588</v>
      </c>
      <c r="AF821" t="s">
        <v>74</v>
      </c>
      <c r="AG821">
        <v>75</v>
      </c>
      <c r="AH821">
        <v>0</v>
      </c>
      <c r="AI821">
        <v>0</v>
      </c>
      <c r="AJ821">
        <v>5</v>
      </c>
      <c r="AK821">
        <v>5</v>
      </c>
      <c r="AL821" t="s">
        <v>5117</v>
      </c>
      <c r="AM821" t="s">
        <v>5118</v>
      </c>
      <c r="AN821" t="s">
        <v>5119</v>
      </c>
      <c r="AO821" t="s">
        <v>11002</v>
      </c>
      <c r="AP821" t="s">
        <v>11003</v>
      </c>
      <c r="AQ821" t="s">
        <v>74</v>
      </c>
      <c r="AR821" t="s">
        <v>11004</v>
      </c>
      <c r="AS821" t="s">
        <v>11005</v>
      </c>
      <c r="AT821" t="s">
        <v>10415</v>
      </c>
      <c r="AU821">
        <v>2023</v>
      </c>
      <c r="AV821">
        <v>40</v>
      </c>
      <c r="AW821">
        <v>10</v>
      </c>
      <c r="AX821" t="s">
        <v>74</v>
      </c>
      <c r="AY821" t="s">
        <v>74</v>
      </c>
      <c r="AZ821" t="s">
        <v>74</v>
      </c>
      <c r="BA821" t="s">
        <v>74</v>
      </c>
      <c r="BB821">
        <v>1137</v>
      </c>
      <c r="BC821">
        <v>1152</v>
      </c>
      <c r="BD821" t="s">
        <v>74</v>
      </c>
      <c r="BE821" t="s">
        <v>15589</v>
      </c>
      <c r="BF821" t="str">
        <f>HYPERLINK("http://dx.doi.org/10.1175/JTECH-D-23-0031.1","http://dx.doi.org/10.1175/JTECH-D-23-0031.1")</f>
        <v>http://dx.doi.org/10.1175/JTECH-D-23-0031.1</v>
      </c>
      <c r="BG821" t="s">
        <v>74</v>
      </c>
      <c r="BH821" t="s">
        <v>74</v>
      </c>
      <c r="BI821">
        <v>16</v>
      </c>
      <c r="BJ821" t="s">
        <v>11007</v>
      </c>
      <c r="BK821" t="s">
        <v>100</v>
      </c>
      <c r="BL821" t="s">
        <v>11008</v>
      </c>
      <c r="BM821" t="s">
        <v>15590</v>
      </c>
      <c r="BN821" t="s">
        <v>74</v>
      </c>
      <c r="BO821" t="s">
        <v>1794</v>
      </c>
      <c r="BP821" t="s">
        <v>74</v>
      </c>
      <c r="BQ821" t="s">
        <v>74</v>
      </c>
      <c r="BR821" t="s">
        <v>104</v>
      </c>
      <c r="BS821" t="s">
        <v>15591</v>
      </c>
      <c r="BT821" t="str">
        <f>HYPERLINK("https%3A%2F%2Fwww.webofscience.com%2Fwos%2Fwoscc%2Ffull-record%2FWOS:001081438800002","View Full Record in Web of Science")</f>
        <v>View Full Record in Web of Science</v>
      </c>
    </row>
    <row r="822" spans="1:72" x14ac:dyDescent="0.15">
      <c r="A822" t="s">
        <v>72</v>
      </c>
      <c r="B822" t="s">
        <v>15592</v>
      </c>
      <c r="C822" t="s">
        <v>74</v>
      </c>
      <c r="D822" t="s">
        <v>74</v>
      </c>
      <c r="E822" t="s">
        <v>74</v>
      </c>
      <c r="F822" t="s">
        <v>15593</v>
      </c>
      <c r="G822" t="s">
        <v>74</v>
      </c>
      <c r="H822" t="s">
        <v>74</v>
      </c>
      <c r="I822" t="s">
        <v>15594</v>
      </c>
      <c r="J822" t="s">
        <v>5706</v>
      </c>
      <c r="K822" t="s">
        <v>74</v>
      </c>
      <c r="L822" t="s">
        <v>74</v>
      </c>
      <c r="M822" t="s">
        <v>78</v>
      </c>
      <c r="N822" t="s">
        <v>79</v>
      </c>
      <c r="O822" t="s">
        <v>74</v>
      </c>
      <c r="P822" t="s">
        <v>74</v>
      </c>
      <c r="Q822" t="s">
        <v>74</v>
      </c>
      <c r="R822" t="s">
        <v>74</v>
      </c>
      <c r="S822" t="s">
        <v>74</v>
      </c>
      <c r="T822" t="s">
        <v>15595</v>
      </c>
      <c r="U822" t="s">
        <v>15596</v>
      </c>
      <c r="V822" t="s">
        <v>15597</v>
      </c>
      <c r="W822" t="s">
        <v>15598</v>
      </c>
      <c r="X822" t="s">
        <v>5524</v>
      </c>
      <c r="Y822" t="s">
        <v>15599</v>
      </c>
      <c r="Z822" t="s">
        <v>15600</v>
      </c>
      <c r="AA822" t="s">
        <v>74</v>
      </c>
      <c r="AB822" t="s">
        <v>74</v>
      </c>
      <c r="AC822" t="s">
        <v>15601</v>
      </c>
      <c r="AD822" t="s">
        <v>15601</v>
      </c>
      <c r="AE822" t="s">
        <v>15602</v>
      </c>
      <c r="AF822" t="s">
        <v>74</v>
      </c>
      <c r="AG822">
        <v>67</v>
      </c>
      <c r="AH822">
        <v>1</v>
      </c>
      <c r="AI822">
        <v>1</v>
      </c>
      <c r="AJ822">
        <v>7</v>
      </c>
      <c r="AK822">
        <v>7</v>
      </c>
      <c r="AL822" t="s">
        <v>5695</v>
      </c>
      <c r="AM822" t="s">
        <v>5696</v>
      </c>
      <c r="AN822" t="s">
        <v>5697</v>
      </c>
      <c r="AO822" t="s">
        <v>74</v>
      </c>
      <c r="AP822" t="s">
        <v>5719</v>
      </c>
      <c r="AQ822" t="s">
        <v>74</v>
      </c>
      <c r="AR822" t="s">
        <v>5720</v>
      </c>
      <c r="AS822" t="s">
        <v>5721</v>
      </c>
      <c r="AT822" t="s">
        <v>10415</v>
      </c>
      <c r="AU822">
        <v>2023</v>
      </c>
      <c r="AV822">
        <v>15</v>
      </c>
      <c r="AW822">
        <v>19</v>
      </c>
      <c r="AX822" t="s">
        <v>74</v>
      </c>
      <c r="AY822" t="s">
        <v>74</v>
      </c>
      <c r="AZ822" t="s">
        <v>74</v>
      </c>
      <c r="BA822" t="s">
        <v>74</v>
      </c>
      <c r="BB822" t="s">
        <v>74</v>
      </c>
      <c r="BC822" t="s">
        <v>74</v>
      </c>
      <c r="BD822">
        <v>4882</v>
      </c>
      <c r="BE822" t="s">
        <v>15603</v>
      </c>
      <c r="BF822" t="str">
        <f>HYPERLINK("http://dx.doi.org/10.3390/rs15194882","http://dx.doi.org/10.3390/rs15194882")</f>
        <v>http://dx.doi.org/10.3390/rs15194882</v>
      </c>
      <c r="BG822" t="s">
        <v>74</v>
      </c>
      <c r="BH822" t="s">
        <v>74</v>
      </c>
      <c r="BI822">
        <v>17</v>
      </c>
      <c r="BJ822" t="s">
        <v>5723</v>
      </c>
      <c r="BK822" t="s">
        <v>100</v>
      </c>
      <c r="BL822" t="s">
        <v>5724</v>
      </c>
      <c r="BM822" t="s">
        <v>15604</v>
      </c>
      <c r="BN822" t="s">
        <v>74</v>
      </c>
      <c r="BO822" t="s">
        <v>131</v>
      </c>
      <c r="BP822" t="s">
        <v>74</v>
      </c>
      <c r="BQ822" t="s">
        <v>74</v>
      </c>
      <c r="BR822" t="s">
        <v>104</v>
      </c>
      <c r="BS822" t="s">
        <v>15605</v>
      </c>
      <c r="BT822" t="str">
        <f>HYPERLINK("https%3A%2F%2Fwww.webofscience.com%2Fwos%2Fwoscc%2Ffull-record%2FWOS:001081570500001","View Full Record in Web of Science")</f>
        <v>View Full Record in Web of Science</v>
      </c>
    </row>
    <row r="823" spans="1:72" x14ac:dyDescent="0.15">
      <c r="A823" t="s">
        <v>72</v>
      </c>
      <c r="B823" t="s">
        <v>15606</v>
      </c>
      <c r="C823" t="s">
        <v>74</v>
      </c>
      <c r="D823" t="s">
        <v>74</v>
      </c>
      <c r="E823" t="s">
        <v>74</v>
      </c>
      <c r="F823" t="s">
        <v>15607</v>
      </c>
      <c r="G823" t="s">
        <v>74</v>
      </c>
      <c r="H823" t="s">
        <v>74</v>
      </c>
      <c r="I823" t="s">
        <v>15608</v>
      </c>
      <c r="J823" t="s">
        <v>15609</v>
      </c>
      <c r="K823" t="s">
        <v>74</v>
      </c>
      <c r="L823" t="s">
        <v>74</v>
      </c>
      <c r="M823" t="s">
        <v>78</v>
      </c>
      <c r="N823" t="s">
        <v>79</v>
      </c>
      <c r="O823" t="s">
        <v>74</v>
      </c>
      <c r="P823" t="s">
        <v>74</v>
      </c>
      <c r="Q823" t="s">
        <v>74</v>
      </c>
      <c r="R823" t="s">
        <v>74</v>
      </c>
      <c r="S823" t="s">
        <v>74</v>
      </c>
      <c r="T823" t="s">
        <v>15610</v>
      </c>
      <c r="U823" t="s">
        <v>74</v>
      </c>
      <c r="V823" t="s">
        <v>15611</v>
      </c>
      <c r="W823" t="s">
        <v>15612</v>
      </c>
      <c r="X823" t="s">
        <v>15613</v>
      </c>
      <c r="Y823" t="s">
        <v>15614</v>
      </c>
      <c r="Z823" t="s">
        <v>15615</v>
      </c>
      <c r="AA823" t="s">
        <v>74</v>
      </c>
      <c r="AB823" t="s">
        <v>15616</v>
      </c>
      <c r="AC823" t="s">
        <v>15617</v>
      </c>
      <c r="AD823" t="s">
        <v>15618</v>
      </c>
      <c r="AE823" t="s">
        <v>15619</v>
      </c>
      <c r="AF823" t="s">
        <v>74</v>
      </c>
      <c r="AG823">
        <v>23</v>
      </c>
      <c r="AH823">
        <v>0</v>
      </c>
      <c r="AI823">
        <v>0</v>
      </c>
      <c r="AJ823">
        <v>0</v>
      </c>
      <c r="AK823">
        <v>0</v>
      </c>
      <c r="AL823" t="s">
        <v>1075</v>
      </c>
      <c r="AM823" t="s">
        <v>2949</v>
      </c>
      <c r="AN823" t="s">
        <v>2950</v>
      </c>
      <c r="AO823" t="s">
        <v>15620</v>
      </c>
      <c r="AP823" t="s">
        <v>15621</v>
      </c>
      <c r="AQ823" t="s">
        <v>74</v>
      </c>
      <c r="AR823" t="s">
        <v>15622</v>
      </c>
      <c r="AS823" t="s">
        <v>15623</v>
      </c>
      <c r="AT823" t="s">
        <v>10415</v>
      </c>
      <c r="AU823">
        <v>2023</v>
      </c>
      <c r="AV823">
        <v>298</v>
      </c>
      <c r="AW823">
        <v>10</v>
      </c>
      <c r="AX823" t="s">
        <v>74</v>
      </c>
      <c r="AY823" t="s">
        <v>74</v>
      </c>
      <c r="AZ823" t="s">
        <v>74</v>
      </c>
      <c r="BA823" t="s">
        <v>74</v>
      </c>
      <c r="BB823" t="s">
        <v>74</v>
      </c>
      <c r="BC823" t="s">
        <v>74</v>
      </c>
      <c r="BD823">
        <v>115</v>
      </c>
      <c r="BE823" t="s">
        <v>15624</v>
      </c>
      <c r="BF823" t="str">
        <f>HYPERLINK("http://dx.doi.org/10.1007/s11207-023-02195-6","http://dx.doi.org/10.1007/s11207-023-02195-6")</f>
        <v>http://dx.doi.org/10.1007/s11207-023-02195-6</v>
      </c>
      <c r="BG823" t="s">
        <v>74</v>
      </c>
      <c r="BH823" t="s">
        <v>74</v>
      </c>
      <c r="BI823">
        <v>17</v>
      </c>
      <c r="BJ823" t="s">
        <v>4706</v>
      </c>
      <c r="BK823" t="s">
        <v>100</v>
      </c>
      <c r="BL823" t="s">
        <v>4706</v>
      </c>
      <c r="BM823" t="s">
        <v>15625</v>
      </c>
      <c r="BN823" t="s">
        <v>74</v>
      </c>
      <c r="BO823" t="s">
        <v>1717</v>
      </c>
      <c r="BP823" t="s">
        <v>74</v>
      </c>
      <c r="BQ823" t="s">
        <v>74</v>
      </c>
      <c r="BR823" t="s">
        <v>104</v>
      </c>
      <c r="BS823" t="s">
        <v>15626</v>
      </c>
      <c r="BT823" t="str">
        <f>HYPERLINK("https%3A%2F%2Fwww.webofscience.com%2Fwos%2Fwoscc%2Ffull-record%2FWOS:001078504400003","View Full Record in Web of Science")</f>
        <v>View Full Record in Web of Science</v>
      </c>
    </row>
    <row r="824" spans="1:72" x14ac:dyDescent="0.15">
      <c r="A824" t="s">
        <v>72</v>
      </c>
      <c r="B824" t="s">
        <v>15627</v>
      </c>
      <c r="C824" t="s">
        <v>74</v>
      </c>
      <c r="D824" t="s">
        <v>74</v>
      </c>
      <c r="E824" t="s">
        <v>74</v>
      </c>
      <c r="F824" t="s">
        <v>15628</v>
      </c>
      <c r="G824" t="s">
        <v>74</v>
      </c>
      <c r="H824" t="s">
        <v>74</v>
      </c>
      <c r="I824" t="s">
        <v>15629</v>
      </c>
      <c r="J824" t="s">
        <v>15630</v>
      </c>
      <c r="K824" t="s">
        <v>74</v>
      </c>
      <c r="L824" t="s">
        <v>74</v>
      </c>
      <c r="M824" t="s">
        <v>78</v>
      </c>
      <c r="N824" t="s">
        <v>79</v>
      </c>
      <c r="O824" t="s">
        <v>74</v>
      </c>
      <c r="P824" t="s">
        <v>74</v>
      </c>
      <c r="Q824" t="s">
        <v>74</v>
      </c>
      <c r="R824" t="s">
        <v>74</v>
      </c>
      <c r="S824" t="s">
        <v>74</v>
      </c>
      <c r="T824" t="s">
        <v>15631</v>
      </c>
      <c r="U824" t="s">
        <v>15632</v>
      </c>
      <c r="V824" t="s">
        <v>15633</v>
      </c>
      <c r="W824" t="s">
        <v>15634</v>
      </c>
      <c r="X824" t="s">
        <v>15635</v>
      </c>
      <c r="Y824" t="s">
        <v>15636</v>
      </c>
      <c r="Z824" t="s">
        <v>15637</v>
      </c>
      <c r="AA824" t="s">
        <v>15638</v>
      </c>
      <c r="AB824" t="s">
        <v>15639</v>
      </c>
      <c r="AC824" t="s">
        <v>15640</v>
      </c>
      <c r="AD824" t="s">
        <v>15640</v>
      </c>
      <c r="AE824" t="s">
        <v>15640</v>
      </c>
      <c r="AF824" t="s">
        <v>74</v>
      </c>
      <c r="AG824">
        <v>22</v>
      </c>
      <c r="AH824">
        <v>0</v>
      </c>
      <c r="AI824">
        <v>0</v>
      </c>
      <c r="AJ824">
        <v>3</v>
      </c>
      <c r="AK824">
        <v>3</v>
      </c>
      <c r="AL824" t="s">
        <v>5050</v>
      </c>
      <c r="AM824" t="s">
        <v>1076</v>
      </c>
      <c r="AN824" t="s">
        <v>5051</v>
      </c>
      <c r="AO824" t="s">
        <v>15641</v>
      </c>
      <c r="AP824" t="s">
        <v>15642</v>
      </c>
      <c r="AQ824" t="s">
        <v>74</v>
      </c>
      <c r="AR824" t="s">
        <v>15643</v>
      </c>
      <c r="AS824" t="s">
        <v>15644</v>
      </c>
      <c r="AT824" t="s">
        <v>10415</v>
      </c>
      <c r="AU824">
        <v>2023</v>
      </c>
      <c r="AV824">
        <v>57</v>
      </c>
      <c r="AW824">
        <v>5</v>
      </c>
      <c r="AX824" t="s">
        <v>74</v>
      </c>
      <c r="AY824" t="s">
        <v>74</v>
      </c>
      <c r="AZ824" t="s">
        <v>74</v>
      </c>
      <c r="BA824" t="s">
        <v>74</v>
      </c>
      <c r="BB824">
        <v>399</v>
      </c>
      <c r="BC824">
        <v>405</v>
      </c>
      <c r="BD824" t="s">
        <v>74</v>
      </c>
      <c r="BE824" t="s">
        <v>15645</v>
      </c>
      <c r="BF824" t="str">
        <f>HYPERLINK("http://dx.doi.org/10.3103/S0095452723050018","http://dx.doi.org/10.3103/S0095452723050018")</f>
        <v>http://dx.doi.org/10.3103/S0095452723050018</v>
      </c>
      <c r="BG824" t="s">
        <v>74</v>
      </c>
      <c r="BH824" t="s">
        <v>74</v>
      </c>
      <c r="BI824">
        <v>7</v>
      </c>
      <c r="BJ824" t="s">
        <v>10476</v>
      </c>
      <c r="BK824" t="s">
        <v>100</v>
      </c>
      <c r="BL824" t="s">
        <v>10476</v>
      </c>
      <c r="BM824" t="s">
        <v>15646</v>
      </c>
      <c r="BN824" t="s">
        <v>74</v>
      </c>
      <c r="BO824" t="s">
        <v>74</v>
      </c>
      <c r="BP824" t="s">
        <v>74</v>
      </c>
      <c r="BQ824" t="s">
        <v>74</v>
      </c>
      <c r="BR824" t="s">
        <v>104</v>
      </c>
      <c r="BS824" t="s">
        <v>15647</v>
      </c>
      <c r="BT824" t="str">
        <f>HYPERLINK("https%3A%2F%2Fwww.webofscience.com%2Fwos%2Fwoscc%2Ffull-record%2FWOS:001073563600002","View Full Record in Web of Science")</f>
        <v>View Full Record in Web of Science</v>
      </c>
    </row>
    <row r="825" spans="1:72" x14ac:dyDescent="0.15">
      <c r="A825" t="s">
        <v>72</v>
      </c>
      <c r="B825" t="s">
        <v>15648</v>
      </c>
      <c r="C825" t="s">
        <v>74</v>
      </c>
      <c r="D825" t="s">
        <v>74</v>
      </c>
      <c r="E825" t="s">
        <v>74</v>
      </c>
      <c r="F825" t="s">
        <v>15649</v>
      </c>
      <c r="G825" t="s">
        <v>74</v>
      </c>
      <c r="H825" t="s">
        <v>74</v>
      </c>
      <c r="I825" t="s">
        <v>15650</v>
      </c>
      <c r="J825" t="s">
        <v>15651</v>
      </c>
      <c r="K825" t="s">
        <v>74</v>
      </c>
      <c r="L825" t="s">
        <v>74</v>
      </c>
      <c r="M825" t="s">
        <v>78</v>
      </c>
      <c r="N825" t="s">
        <v>920</v>
      </c>
      <c r="O825" t="s">
        <v>74</v>
      </c>
      <c r="P825" t="s">
        <v>74</v>
      </c>
      <c r="Q825" t="s">
        <v>74</v>
      </c>
      <c r="R825" t="s">
        <v>74</v>
      </c>
      <c r="S825" t="s">
        <v>74</v>
      </c>
      <c r="T825" t="s">
        <v>74</v>
      </c>
      <c r="U825" t="s">
        <v>74</v>
      </c>
      <c r="V825" t="s">
        <v>74</v>
      </c>
      <c r="W825" t="s">
        <v>15652</v>
      </c>
      <c r="X825" t="s">
        <v>15653</v>
      </c>
      <c r="Y825" t="s">
        <v>15654</v>
      </c>
      <c r="Z825" t="s">
        <v>74</v>
      </c>
      <c r="AA825" t="s">
        <v>74</v>
      </c>
      <c r="AB825" t="s">
        <v>74</v>
      </c>
      <c r="AC825" t="s">
        <v>74</v>
      </c>
      <c r="AD825" t="s">
        <v>74</v>
      </c>
      <c r="AE825" t="s">
        <v>74</v>
      </c>
      <c r="AF825" t="s">
        <v>74</v>
      </c>
      <c r="AG825">
        <v>0</v>
      </c>
      <c r="AH825">
        <v>0</v>
      </c>
      <c r="AI825">
        <v>0</v>
      </c>
      <c r="AJ825">
        <v>2</v>
      </c>
      <c r="AK825">
        <v>2</v>
      </c>
      <c r="AL825" t="s">
        <v>1101</v>
      </c>
      <c r="AM825" t="s">
        <v>1102</v>
      </c>
      <c r="AN825" t="s">
        <v>1103</v>
      </c>
      <c r="AO825" t="s">
        <v>15655</v>
      </c>
      <c r="AP825" t="s">
        <v>15656</v>
      </c>
      <c r="AQ825" t="s">
        <v>74</v>
      </c>
      <c r="AR825" t="s">
        <v>15657</v>
      </c>
      <c r="AS825" t="s">
        <v>15658</v>
      </c>
      <c r="AT825" t="s">
        <v>10415</v>
      </c>
      <c r="AU825">
        <v>2023</v>
      </c>
      <c r="AV825">
        <v>21</v>
      </c>
      <c r="AW825">
        <v>8</v>
      </c>
      <c r="AX825" t="s">
        <v>74</v>
      </c>
      <c r="AY825" t="s">
        <v>74</v>
      </c>
      <c r="AZ825" t="s">
        <v>74</v>
      </c>
      <c r="BA825" t="s">
        <v>74</v>
      </c>
      <c r="BB825">
        <v>396</v>
      </c>
      <c r="BC825">
        <v>396</v>
      </c>
      <c r="BD825" t="s">
        <v>74</v>
      </c>
      <c r="BE825" t="s">
        <v>15659</v>
      </c>
      <c r="BF825" t="str">
        <f>HYPERLINK("http://dx.doi.org/10.1002/fee.2674","http://dx.doi.org/10.1002/fee.2674")</f>
        <v>http://dx.doi.org/10.1002/fee.2674</v>
      </c>
      <c r="BG825" t="s">
        <v>74</v>
      </c>
      <c r="BH825" t="s">
        <v>74</v>
      </c>
      <c r="BI825">
        <v>1</v>
      </c>
      <c r="BJ825" t="s">
        <v>4906</v>
      </c>
      <c r="BK825" t="s">
        <v>100</v>
      </c>
      <c r="BL825" t="s">
        <v>1011</v>
      </c>
      <c r="BM825" t="s">
        <v>15660</v>
      </c>
      <c r="BN825" t="s">
        <v>74</v>
      </c>
      <c r="BO825" t="s">
        <v>14873</v>
      </c>
      <c r="BP825" t="s">
        <v>74</v>
      </c>
      <c r="BQ825" t="s">
        <v>74</v>
      </c>
      <c r="BR825" t="s">
        <v>104</v>
      </c>
      <c r="BS825" t="s">
        <v>15661</v>
      </c>
      <c r="BT825" t="str">
        <f>HYPERLINK("https%3A%2F%2Fwww.webofscience.com%2Fwos%2Fwoscc%2Ffull-record%2FWOS:001081934400007","View Full Record in Web of Science")</f>
        <v>View Full Record in Web of Science</v>
      </c>
    </row>
    <row r="826" spans="1:72" x14ac:dyDescent="0.15">
      <c r="A826" t="s">
        <v>72</v>
      </c>
      <c r="B826" t="s">
        <v>15662</v>
      </c>
      <c r="C826" t="s">
        <v>74</v>
      </c>
      <c r="D826" t="s">
        <v>74</v>
      </c>
      <c r="E826" t="s">
        <v>74</v>
      </c>
      <c r="F826" t="s">
        <v>15663</v>
      </c>
      <c r="G826" t="s">
        <v>74</v>
      </c>
      <c r="H826" t="s">
        <v>74</v>
      </c>
      <c r="I826" t="s">
        <v>15664</v>
      </c>
      <c r="J826" t="s">
        <v>15665</v>
      </c>
      <c r="K826" t="s">
        <v>74</v>
      </c>
      <c r="L826" t="s">
        <v>74</v>
      </c>
      <c r="M826" t="s">
        <v>78</v>
      </c>
      <c r="N826" t="s">
        <v>79</v>
      </c>
      <c r="O826" t="s">
        <v>74</v>
      </c>
      <c r="P826" t="s">
        <v>74</v>
      </c>
      <c r="Q826" t="s">
        <v>74</v>
      </c>
      <c r="R826" t="s">
        <v>74</v>
      </c>
      <c r="S826" t="s">
        <v>74</v>
      </c>
      <c r="T826" t="s">
        <v>15666</v>
      </c>
      <c r="U826" t="s">
        <v>15667</v>
      </c>
      <c r="V826" t="s">
        <v>15668</v>
      </c>
      <c r="W826" t="s">
        <v>15669</v>
      </c>
      <c r="X826" t="s">
        <v>15670</v>
      </c>
      <c r="Y826" t="s">
        <v>15671</v>
      </c>
      <c r="Z826" t="s">
        <v>15672</v>
      </c>
      <c r="AA826" t="s">
        <v>15673</v>
      </c>
      <c r="AB826" t="s">
        <v>74</v>
      </c>
      <c r="AC826" t="s">
        <v>74</v>
      </c>
      <c r="AD826" t="s">
        <v>74</v>
      </c>
      <c r="AE826" t="s">
        <v>74</v>
      </c>
      <c r="AF826" t="s">
        <v>74</v>
      </c>
      <c r="AG826">
        <v>43</v>
      </c>
      <c r="AH826">
        <v>0</v>
      </c>
      <c r="AI826">
        <v>0</v>
      </c>
      <c r="AJ826">
        <v>1</v>
      </c>
      <c r="AK826">
        <v>1</v>
      </c>
      <c r="AL826" t="s">
        <v>5183</v>
      </c>
      <c r="AM826" t="s">
        <v>1076</v>
      </c>
      <c r="AN826" t="s">
        <v>5184</v>
      </c>
      <c r="AO826" t="s">
        <v>15674</v>
      </c>
      <c r="AP826" t="s">
        <v>15675</v>
      </c>
      <c r="AQ826" t="s">
        <v>74</v>
      </c>
      <c r="AR826" t="s">
        <v>15676</v>
      </c>
      <c r="AS826" t="s">
        <v>15677</v>
      </c>
      <c r="AT826" t="s">
        <v>10415</v>
      </c>
      <c r="AU826">
        <v>2023</v>
      </c>
      <c r="AV826">
        <v>59</v>
      </c>
      <c r="AW826">
        <v>5</v>
      </c>
      <c r="AX826" t="s">
        <v>74</v>
      </c>
      <c r="AY826" t="s">
        <v>74</v>
      </c>
      <c r="AZ826" t="s">
        <v>74</v>
      </c>
      <c r="BA826" t="s">
        <v>74</v>
      </c>
      <c r="BB826">
        <v>765</v>
      </c>
      <c r="BC826">
        <v>780</v>
      </c>
      <c r="BD826" t="s">
        <v>74</v>
      </c>
      <c r="BE826" t="s">
        <v>15678</v>
      </c>
      <c r="BF826" t="str">
        <f>HYPERLINK("http://dx.doi.org/10.1134/S1069351323050130","http://dx.doi.org/10.1134/S1069351323050130")</f>
        <v>http://dx.doi.org/10.1134/S1069351323050130</v>
      </c>
      <c r="BG826" t="s">
        <v>74</v>
      </c>
      <c r="BH826" t="s">
        <v>74</v>
      </c>
      <c r="BI826">
        <v>16</v>
      </c>
      <c r="BJ826" t="s">
        <v>4252</v>
      </c>
      <c r="BK826" t="s">
        <v>100</v>
      </c>
      <c r="BL826" t="s">
        <v>4252</v>
      </c>
      <c r="BM826" t="s">
        <v>15679</v>
      </c>
      <c r="BN826" t="s">
        <v>74</v>
      </c>
      <c r="BO826" t="s">
        <v>74</v>
      </c>
      <c r="BP826" t="s">
        <v>74</v>
      </c>
      <c r="BQ826" t="s">
        <v>74</v>
      </c>
      <c r="BR826" t="s">
        <v>104</v>
      </c>
      <c r="BS826" t="s">
        <v>15680</v>
      </c>
      <c r="BT826" t="str">
        <f>HYPERLINK("https%3A%2F%2Fwww.webofscience.com%2Fwos%2Fwoscc%2Ffull-record%2FWOS:001074613300009","View Full Record in Web of Science")</f>
        <v>View Full Record in Web of Science</v>
      </c>
    </row>
    <row r="827" spans="1:72" x14ac:dyDescent="0.15">
      <c r="A827" t="s">
        <v>72</v>
      </c>
      <c r="B827" t="s">
        <v>15681</v>
      </c>
      <c r="C827" t="s">
        <v>74</v>
      </c>
      <c r="D827" t="s">
        <v>74</v>
      </c>
      <c r="E827" t="s">
        <v>74</v>
      </c>
      <c r="F827" t="s">
        <v>15682</v>
      </c>
      <c r="G827" t="s">
        <v>74</v>
      </c>
      <c r="H827" t="s">
        <v>74</v>
      </c>
      <c r="I827" t="s">
        <v>15683</v>
      </c>
      <c r="J827" t="s">
        <v>15510</v>
      </c>
      <c r="K827" t="s">
        <v>74</v>
      </c>
      <c r="L827" t="s">
        <v>74</v>
      </c>
      <c r="M827" t="s">
        <v>78</v>
      </c>
      <c r="N827" t="s">
        <v>79</v>
      </c>
      <c r="O827" t="s">
        <v>74</v>
      </c>
      <c r="P827" t="s">
        <v>74</v>
      </c>
      <c r="Q827" t="s">
        <v>74</v>
      </c>
      <c r="R827" t="s">
        <v>74</v>
      </c>
      <c r="S827" t="s">
        <v>74</v>
      </c>
      <c r="T827" t="s">
        <v>15684</v>
      </c>
      <c r="U827" t="s">
        <v>15685</v>
      </c>
      <c r="V827" t="s">
        <v>15686</v>
      </c>
      <c r="W827" t="s">
        <v>15687</v>
      </c>
      <c r="X827" t="s">
        <v>15688</v>
      </c>
      <c r="Y827" t="s">
        <v>15689</v>
      </c>
      <c r="Z827" t="s">
        <v>15690</v>
      </c>
      <c r="AA827" t="s">
        <v>15691</v>
      </c>
      <c r="AB827" t="s">
        <v>15692</v>
      </c>
      <c r="AC827" t="s">
        <v>15693</v>
      </c>
      <c r="AD827" t="s">
        <v>15694</v>
      </c>
      <c r="AE827" t="s">
        <v>15695</v>
      </c>
      <c r="AF827" t="s">
        <v>74</v>
      </c>
      <c r="AG827">
        <v>64</v>
      </c>
      <c r="AH827">
        <v>0</v>
      </c>
      <c r="AI827">
        <v>0</v>
      </c>
      <c r="AJ827">
        <v>5</v>
      </c>
      <c r="AK827">
        <v>5</v>
      </c>
      <c r="AL827" t="s">
        <v>1208</v>
      </c>
      <c r="AM827" t="s">
        <v>1209</v>
      </c>
      <c r="AN827" t="s">
        <v>1210</v>
      </c>
      <c r="AO827" t="s">
        <v>15523</v>
      </c>
      <c r="AP827" t="s">
        <v>15524</v>
      </c>
      <c r="AQ827" t="s">
        <v>74</v>
      </c>
      <c r="AR827" t="s">
        <v>15525</v>
      </c>
      <c r="AS827" t="s">
        <v>15526</v>
      </c>
      <c r="AT827" t="s">
        <v>10415</v>
      </c>
      <c r="AU827">
        <v>2023</v>
      </c>
      <c r="AV827">
        <v>128</v>
      </c>
      <c r="AW827">
        <v>10</v>
      </c>
      <c r="AX827" t="s">
        <v>74</v>
      </c>
      <c r="AY827" t="s">
        <v>74</v>
      </c>
      <c r="AZ827" t="s">
        <v>74</v>
      </c>
      <c r="BA827" t="s">
        <v>74</v>
      </c>
      <c r="BB827" t="s">
        <v>74</v>
      </c>
      <c r="BC827" t="s">
        <v>74</v>
      </c>
      <c r="BD827" t="s">
        <v>15696</v>
      </c>
      <c r="BE827" t="s">
        <v>15697</v>
      </c>
      <c r="BF827" t="str">
        <f>HYPERLINK("http://dx.doi.org/10.1029/2023JG007705","http://dx.doi.org/10.1029/2023JG007705")</f>
        <v>http://dx.doi.org/10.1029/2023JG007705</v>
      </c>
      <c r="BG827" t="s">
        <v>74</v>
      </c>
      <c r="BH827" t="s">
        <v>74</v>
      </c>
      <c r="BI827">
        <v>16</v>
      </c>
      <c r="BJ827" t="s">
        <v>2803</v>
      </c>
      <c r="BK827" t="s">
        <v>100</v>
      </c>
      <c r="BL827" t="s">
        <v>1950</v>
      </c>
      <c r="BM827" t="s">
        <v>15698</v>
      </c>
      <c r="BN827" t="s">
        <v>74</v>
      </c>
      <c r="BO827" t="s">
        <v>103</v>
      </c>
      <c r="BP827" t="s">
        <v>74</v>
      </c>
      <c r="BQ827" t="s">
        <v>74</v>
      </c>
      <c r="BR827" t="s">
        <v>104</v>
      </c>
      <c r="BS827" t="s">
        <v>15699</v>
      </c>
      <c r="BT827" t="str">
        <f>HYPERLINK("https%3A%2F%2Fwww.webofscience.com%2Fwos%2Fwoscc%2Ffull-record%2FWOS:001075050900001","View Full Record in Web of Science")</f>
        <v>View Full Record in Web of Science</v>
      </c>
    </row>
    <row r="828" spans="1:72" x14ac:dyDescent="0.15">
      <c r="A828" t="s">
        <v>72</v>
      </c>
      <c r="B828" t="s">
        <v>15700</v>
      </c>
      <c r="C828" t="s">
        <v>74</v>
      </c>
      <c r="D828" t="s">
        <v>74</v>
      </c>
      <c r="E828" t="s">
        <v>74</v>
      </c>
      <c r="F828" t="s">
        <v>15701</v>
      </c>
      <c r="G828" t="s">
        <v>74</v>
      </c>
      <c r="H828" t="s">
        <v>74</v>
      </c>
      <c r="I828" t="s">
        <v>15702</v>
      </c>
      <c r="J828" t="s">
        <v>5749</v>
      </c>
      <c r="K828" t="s">
        <v>74</v>
      </c>
      <c r="L828" t="s">
        <v>74</v>
      </c>
      <c r="M828" t="s">
        <v>78</v>
      </c>
      <c r="N828" t="s">
        <v>79</v>
      </c>
      <c r="O828" t="s">
        <v>74</v>
      </c>
      <c r="P828" t="s">
        <v>74</v>
      </c>
      <c r="Q828" t="s">
        <v>74</v>
      </c>
      <c r="R828" t="s">
        <v>74</v>
      </c>
      <c r="S828" t="s">
        <v>74</v>
      </c>
      <c r="T828" t="s">
        <v>15703</v>
      </c>
      <c r="U828" t="s">
        <v>15704</v>
      </c>
      <c r="V828" t="s">
        <v>15705</v>
      </c>
      <c r="W828" t="s">
        <v>15706</v>
      </c>
      <c r="X828" t="s">
        <v>15707</v>
      </c>
      <c r="Y828" t="s">
        <v>15708</v>
      </c>
      <c r="Z828" t="s">
        <v>15709</v>
      </c>
      <c r="AA828" t="s">
        <v>15710</v>
      </c>
      <c r="AB828" t="s">
        <v>15711</v>
      </c>
      <c r="AC828" t="s">
        <v>15712</v>
      </c>
      <c r="AD828" t="s">
        <v>15713</v>
      </c>
      <c r="AE828" t="s">
        <v>15714</v>
      </c>
      <c r="AF828" t="s">
        <v>74</v>
      </c>
      <c r="AG828">
        <v>64</v>
      </c>
      <c r="AH828">
        <v>0</v>
      </c>
      <c r="AI828">
        <v>0</v>
      </c>
      <c r="AJ828">
        <v>1</v>
      </c>
      <c r="AK828">
        <v>1</v>
      </c>
      <c r="AL828" t="s">
        <v>1208</v>
      </c>
      <c r="AM828" t="s">
        <v>1209</v>
      </c>
      <c r="AN828" t="s">
        <v>1210</v>
      </c>
      <c r="AO828" t="s">
        <v>5762</v>
      </c>
      <c r="AP828" t="s">
        <v>5763</v>
      </c>
      <c r="AQ828" t="s">
        <v>74</v>
      </c>
      <c r="AR828" t="s">
        <v>5764</v>
      </c>
      <c r="AS828" t="s">
        <v>5765</v>
      </c>
      <c r="AT828" t="s">
        <v>10415</v>
      </c>
      <c r="AU828">
        <v>2023</v>
      </c>
      <c r="AV828">
        <v>128</v>
      </c>
      <c r="AW828">
        <v>10</v>
      </c>
      <c r="AX828" t="s">
        <v>74</v>
      </c>
      <c r="AY828" t="s">
        <v>74</v>
      </c>
      <c r="AZ828" t="s">
        <v>74</v>
      </c>
      <c r="BA828" t="s">
        <v>74</v>
      </c>
      <c r="BB828" t="s">
        <v>74</v>
      </c>
      <c r="BC828" t="s">
        <v>74</v>
      </c>
      <c r="BD828" t="s">
        <v>15715</v>
      </c>
      <c r="BE828" t="s">
        <v>15716</v>
      </c>
      <c r="BF828" t="str">
        <f>HYPERLINK("http://dx.doi.org/10.1029/2023JC019711","http://dx.doi.org/10.1029/2023JC019711")</f>
        <v>http://dx.doi.org/10.1029/2023JC019711</v>
      </c>
      <c r="BG828" t="s">
        <v>74</v>
      </c>
      <c r="BH828" t="s">
        <v>74</v>
      </c>
      <c r="BI828">
        <v>22</v>
      </c>
      <c r="BJ828" t="s">
        <v>5060</v>
      </c>
      <c r="BK828" t="s">
        <v>100</v>
      </c>
      <c r="BL828" t="s">
        <v>5060</v>
      </c>
      <c r="BM828" t="s">
        <v>15717</v>
      </c>
      <c r="BN828" t="s">
        <v>74</v>
      </c>
      <c r="BO828" t="s">
        <v>3040</v>
      </c>
      <c r="BP828" t="s">
        <v>74</v>
      </c>
      <c r="BQ828" t="s">
        <v>74</v>
      </c>
      <c r="BR828" t="s">
        <v>104</v>
      </c>
      <c r="BS828" t="s">
        <v>15718</v>
      </c>
      <c r="BT828" t="str">
        <f>HYPERLINK("https%3A%2F%2Fwww.webofscience.com%2Fwos%2Fwoscc%2Ffull-record%2FWOS:001074873000001","View Full Record in Web of Science")</f>
        <v>View Full Record in Web of Science</v>
      </c>
    </row>
    <row r="829" spans="1:72" x14ac:dyDescent="0.15">
      <c r="A829" t="s">
        <v>72</v>
      </c>
      <c r="B829" t="s">
        <v>15719</v>
      </c>
      <c r="C829" t="s">
        <v>74</v>
      </c>
      <c r="D829" t="s">
        <v>74</v>
      </c>
      <c r="E829" t="s">
        <v>74</v>
      </c>
      <c r="F829" t="s">
        <v>15720</v>
      </c>
      <c r="G829" t="s">
        <v>74</v>
      </c>
      <c r="H829" t="s">
        <v>74</v>
      </c>
      <c r="I829" t="s">
        <v>15721</v>
      </c>
      <c r="J829" t="s">
        <v>5106</v>
      </c>
      <c r="K829" t="s">
        <v>74</v>
      </c>
      <c r="L829" t="s">
        <v>74</v>
      </c>
      <c r="M829" t="s">
        <v>78</v>
      </c>
      <c r="N829" t="s">
        <v>79</v>
      </c>
      <c r="O829" t="s">
        <v>74</v>
      </c>
      <c r="P829" t="s">
        <v>74</v>
      </c>
      <c r="Q829" t="s">
        <v>74</v>
      </c>
      <c r="R829" t="s">
        <v>74</v>
      </c>
      <c r="S829" t="s">
        <v>74</v>
      </c>
      <c r="T829" t="s">
        <v>15722</v>
      </c>
      <c r="U829" t="s">
        <v>15723</v>
      </c>
      <c r="V829" t="s">
        <v>15724</v>
      </c>
      <c r="W829" t="s">
        <v>15725</v>
      </c>
      <c r="X829" t="s">
        <v>15726</v>
      </c>
      <c r="Y829" t="s">
        <v>15727</v>
      </c>
      <c r="Z829" t="s">
        <v>15728</v>
      </c>
      <c r="AA829" t="s">
        <v>15729</v>
      </c>
      <c r="AB829" t="s">
        <v>15730</v>
      </c>
      <c r="AC829" t="s">
        <v>15731</v>
      </c>
      <c r="AD829" t="s">
        <v>15732</v>
      </c>
      <c r="AE829" t="s">
        <v>15733</v>
      </c>
      <c r="AF829" t="s">
        <v>74</v>
      </c>
      <c r="AG829">
        <v>91</v>
      </c>
      <c r="AH829">
        <v>0</v>
      </c>
      <c r="AI829">
        <v>0</v>
      </c>
      <c r="AJ829">
        <v>12</v>
      </c>
      <c r="AK829">
        <v>12</v>
      </c>
      <c r="AL829" t="s">
        <v>5117</v>
      </c>
      <c r="AM829" t="s">
        <v>5118</v>
      </c>
      <c r="AN829" t="s">
        <v>5119</v>
      </c>
      <c r="AO829" t="s">
        <v>5120</v>
      </c>
      <c r="AP829" t="s">
        <v>5121</v>
      </c>
      <c r="AQ829" t="s">
        <v>74</v>
      </c>
      <c r="AR829" t="s">
        <v>5122</v>
      </c>
      <c r="AS829" t="s">
        <v>5123</v>
      </c>
      <c r="AT829" t="s">
        <v>10415</v>
      </c>
      <c r="AU829">
        <v>2023</v>
      </c>
      <c r="AV829">
        <v>36</v>
      </c>
      <c r="AW829">
        <v>19</v>
      </c>
      <c r="AX829" t="s">
        <v>74</v>
      </c>
      <c r="AY829" t="s">
        <v>74</v>
      </c>
      <c r="AZ829" t="s">
        <v>74</v>
      </c>
      <c r="BA829" t="s">
        <v>74</v>
      </c>
      <c r="BB829">
        <v>6839</v>
      </c>
      <c r="BC829">
        <v>6853</v>
      </c>
      <c r="BD829" t="s">
        <v>74</v>
      </c>
      <c r="BE829" t="s">
        <v>15734</v>
      </c>
      <c r="BF829" t="str">
        <f>HYPERLINK("http://dx.doi.org/10.1175/JCLI-D-22-0786.1","http://dx.doi.org/10.1175/JCLI-D-22-0786.1")</f>
        <v>http://dx.doi.org/10.1175/JCLI-D-22-0786.1</v>
      </c>
      <c r="BG829" t="s">
        <v>74</v>
      </c>
      <c r="BH829" t="s">
        <v>74</v>
      </c>
      <c r="BI829">
        <v>15</v>
      </c>
      <c r="BJ829" t="s">
        <v>1522</v>
      </c>
      <c r="BK829" t="s">
        <v>100</v>
      </c>
      <c r="BL829" t="s">
        <v>1522</v>
      </c>
      <c r="BM829" t="s">
        <v>15735</v>
      </c>
      <c r="BN829" t="s">
        <v>74</v>
      </c>
      <c r="BO829" t="s">
        <v>74</v>
      </c>
      <c r="BP829" t="s">
        <v>74</v>
      </c>
      <c r="BQ829" t="s">
        <v>74</v>
      </c>
      <c r="BR829" t="s">
        <v>104</v>
      </c>
      <c r="BS829" t="s">
        <v>15736</v>
      </c>
      <c r="BT829" t="str">
        <f>HYPERLINK("https%3A%2F%2Fwww.webofscience.com%2Fwos%2Fwoscc%2Ffull-record%2FWOS:001070217900001","View Full Record in Web of Science")</f>
        <v>View Full Record in Web of Science</v>
      </c>
    </row>
    <row r="830" spans="1:72" x14ac:dyDescent="0.15">
      <c r="A830" t="s">
        <v>72</v>
      </c>
      <c r="B830" t="s">
        <v>15737</v>
      </c>
      <c r="C830" t="s">
        <v>74</v>
      </c>
      <c r="D830" t="s">
        <v>74</v>
      </c>
      <c r="E830" t="s">
        <v>74</v>
      </c>
      <c r="F830" t="s">
        <v>15738</v>
      </c>
      <c r="G830" t="s">
        <v>74</v>
      </c>
      <c r="H830" t="s">
        <v>74</v>
      </c>
      <c r="I830" t="s">
        <v>15739</v>
      </c>
      <c r="J830" t="s">
        <v>5749</v>
      </c>
      <c r="K830" t="s">
        <v>74</v>
      </c>
      <c r="L830" t="s">
        <v>74</v>
      </c>
      <c r="M830" t="s">
        <v>78</v>
      </c>
      <c r="N830" t="s">
        <v>79</v>
      </c>
      <c r="O830" t="s">
        <v>74</v>
      </c>
      <c r="P830" t="s">
        <v>74</v>
      </c>
      <c r="Q830" t="s">
        <v>74</v>
      </c>
      <c r="R830" t="s">
        <v>74</v>
      </c>
      <c r="S830" t="s">
        <v>74</v>
      </c>
      <c r="T830" t="s">
        <v>15740</v>
      </c>
      <c r="U830" t="s">
        <v>15741</v>
      </c>
      <c r="V830" t="s">
        <v>15742</v>
      </c>
      <c r="W830" t="s">
        <v>15743</v>
      </c>
      <c r="X830" t="s">
        <v>15744</v>
      </c>
      <c r="Y830" t="s">
        <v>15745</v>
      </c>
      <c r="Z830" t="s">
        <v>15746</v>
      </c>
      <c r="AA830" t="s">
        <v>74</v>
      </c>
      <c r="AB830" t="s">
        <v>15747</v>
      </c>
      <c r="AC830" t="s">
        <v>15748</v>
      </c>
      <c r="AD830" t="s">
        <v>15749</v>
      </c>
      <c r="AE830" t="s">
        <v>15750</v>
      </c>
      <c r="AF830" t="s">
        <v>74</v>
      </c>
      <c r="AG830">
        <v>64</v>
      </c>
      <c r="AH830">
        <v>0</v>
      </c>
      <c r="AI830">
        <v>0</v>
      </c>
      <c r="AJ830">
        <v>4</v>
      </c>
      <c r="AK830">
        <v>4</v>
      </c>
      <c r="AL830" t="s">
        <v>1208</v>
      </c>
      <c r="AM830" t="s">
        <v>1209</v>
      </c>
      <c r="AN830" t="s">
        <v>1210</v>
      </c>
      <c r="AO830" t="s">
        <v>5762</v>
      </c>
      <c r="AP830" t="s">
        <v>5763</v>
      </c>
      <c r="AQ830" t="s">
        <v>74</v>
      </c>
      <c r="AR830" t="s">
        <v>5764</v>
      </c>
      <c r="AS830" t="s">
        <v>5765</v>
      </c>
      <c r="AT830" t="s">
        <v>10415</v>
      </c>
      <c r="AU830">
        <v>2023</v>
      </c>
      <c r="AV830">
        <v>128</v>
      </c>
      <c r="AW830">
        <v>10</v>
      </c>
      <c r="AX830" t="s">
        <v>74</v>
      </c>
      <c r="AY830" t="s">
        <v>74</v>
      </c>
      <c r="AZ830" t="s">
        <v>74</v>
      </c>
      <c r="BA830" t="s">
        <v>74</v>
      </c>
      <c r="BB830" t="s">
        <v>74</v>
      </c>
      <c r="BC830" t="s">
        <v>74</v>
      </c>
      <c r="BD830" t="s">
        <v>15751</v>
      </c>
      <c r="BE830" t="s">
        <v>15752</v>
      </c>
      <c r="BF830" t="str">
        <f>HYPERLINK("http://dx.doi.org/10.1029/2023JC019823","http://dx.doi.org/10.1029/2023JC019823")</f>
        <v>http://dx.doi.org/10.1029/2023JC019823</v>
      </c>
      <c r="BG830" t="s">
        <v>74</v>
      </c>
      <c r="BH830" t="s">
        <v>74</v>
      </c>
      <c r="BI830">
        <v>18</v>
      </c>
      <c r="BJ830" t="s">
        <v>5060</v>
      </c>
      <c r="BK830" t="s">
        <v>100</v>
      </c>
      <c r="BL830" t="s">
        <v>5060</v>
      </c>
      <c r="BM830" t="s">
        <v>15753</v>
      </c>
      <c r="BN830" t="s">
        <v>74</v>
      </c>
      <c r="BO830" t="s">
        <v>15754</v>
      </c>
      <c r="BP830" t="s">
        <v>74</v>
      </c>
      <c r="BQ830" t="s">
        <v>74</v>
      </c>
      <c r="BR830" t="s">
        <v>104</v>
      </c>
      <c r="BS830" t="s">
        <v>15755</v>
      </c>
      <c r="BT830" t="str">
        <f>HYPERLINK("https%3A%2F%2Fwww.webofscience.com%2Fwos%2Fwoscc%2Ffull-record%2FWOS:001073029500001","View Full Record in Web of Science")</f>
        <v>View Full Record in Web of Science</v>
      </c>
    </row>
    <row r="831" spans="1:72" x14ac:dyDescent="0.15">
      <c r="A831" t="s">
        <v>72</v>
      </c>
      <c r="B831" t="s">
        <v>15756</v>
      </c>
      <c r="C831" t="s">
        <v>74</v>
      </c>
      <c r="D831" t="s">
        <v>74</v>
      </c>
      <c r="E831" t="s">
        <v>74</v>
      </c>
      <c r="F831" t="s">
        <v>15757</v>
      </c>
      <c r="G831" t="s">
        <v>74</v>
      </c>
      <c r="H831" t="s">
        <v>74</v>
      </c>
      <c r="I831" t="s">
        <v>15758</v>
      </c>
      <c r="J831" t="s">
        <v>6371</v>
      </c>
      <c r="K831" t="s">
        <v>74</v>
      </c>
      <c r="L831" t="s">
        <v>74</v>
      </c>
      <c r="M831" t="s">
        <v>78</v>
      </c>
      <c r="N831" t="s">
        <v>79</v>
      </c>
      <c r="O831" t="s">
        <v>74</v>
      </c>
      <c r="P831" t="s">
        <v>74</v>
      </c>
      <c r="Q831" t="s">
        <v>74</v>
      </c>
      <c r="R831" t="s">
        <v>74</v>
      </c>
      <c r="S831" t="s">
        <v>74</v>
      </c>
      <c r="T831" t="s">
        <v>15759</v>
      </c>
      <c r="U831" t="s">
        <v>15760</v>
      </c>
      <c r="V831" t="s">
        <v>15761</v>
      </c>
      <c r="W831" t="s">
        <v>15762</v>
      </c>
      <c r="X831" t="s">
        <v>15763</v>
      </c>
      <c r="Y831" t="s">
        <v>15764</v>
      </c>
      <c r="Z831" t="s">
        <v>15765</v>
      </c>
      <c r="AA831" t="s">
        <v>15766</v>
      </c>
      <c r="AB831" t="s">
        <v>15767</v>
      </c>
      <c r="AC831" t="s">
        <v>15768</v>
      </c>
      <c r="AD831" t="s">
        <v>15769</v>
      </c>
      <c r="AE831" t="s">
        <v>15770</v>
      </c>
      <c r="AF831" t="s">
        <v>74</v>
      </c>
      <c r="AG831">
        <v>77</v>
      </c>
      <c r="AH831">
        <v>1</v>
      </c>
      <c r="AI831">
        <v>1</v>
      </c>
      <c r="AJ831">
        <v>4</v>
      </c>
      <c r="AK831">
        <v>5</v>
      </c>
      <c r="AL831" t="s">
        <v>1101</v>
      </c>
      <c r="AM831" t="s">
        <v>1102</v>
      </c>
      <c r="AN831" t="s">
        <v>1103</v>
      </c>
      <c r="AO831" t="s">
        <v>6384</v>
      </c>
      <c r="AP831" t="s">
        <v>74</v>
      </c>
      <c r="AQ831" t="s">
        <v>74</v>
      </c>
      <c r="AR831" t="s">
        <v>6385</v>
      </c>
      <c r="AS831" t="s">
        <v>6386</v>
      </c>
      <c r="AT831" t="s">
        <v>10415</v>
      </c>
      <c r="AU831">
        <v>2023</v>
      </c>
      <c r="AV831">
        <v>13</v>
      </c>
      <c r="AW831">
        <v>10</v>
      </c>
      <c r="AX831" t="s">
        <v>74</v>
      </c>
      <c r="AY831" t="s">
        <v>74</v>
      </c>
      <c r="AZ831" t="s">
        <v>74</v>
      </c>
      <c r="BA831" t="s">
        <v>74</v>
      </c>
      <c r="BB831" t="s">
        <v>74</v>
      </c>
      <c r="BC831" t="s">
        <v>74</v>
      </c>
      <c r="BD831" t="s">
        <v>15771</v>
      </c>
      <c r="BE831" t="s">
        <v>15772</v>
      </c>
      <c r="BF831" t="str">
        <f>HYPERLINK("http://dx.doi.org/10.1002/ece3.10455","http://dx.doi.org/10.1002/ece3.10455")</f>
        <v>http://dx.doi.org/10.1002/ece3.10455</v>
      </c>
      <c r="BG831" t="s">
        <v>74</v>
      </c>
      <c r="BH831" t="s">
        <v>74</v>
      </c>
      <c r="BI831">
        <v>12</v>
      </c>
      <c r="BJ831" t="s">
        <v>6389</v>
      </c>
      <c r="BK831" t="s">
        <v>100</v>
      </c>
      <c r="BL831" t="s">
        <v>6390</v>
      </c>
      <c r="BM831" t="s">
        <v>15773</v>
      </c>
      <c r="BN831">
        <v>37799448</v>
      </c>
      <c r="BO831" t="s">
        <v>3282</v>
      </c>
      <c r="BP831" t="s">
        <v>74</v>
      </c>
      <c r="BQ831" t="s">
        <v>74</v>
      </c>
      <c r="BR831" t="s">
        <v>104</v>
      </c>
      <c r="BS831" t="s">
        <v>15774</v>
      </c>
      <c r="BT831" t="str">
        <f>HYPERLINK("https%3A%2F%2Fwww.webofscience.com%2Fwos%2Fwoscc%2Ffull-record%2FWOS:001075451300001","View Full Record in Web of Science")</f>
        <v>View Full Record in Web of Science</v>
      </c>
    </row>
    <row r="832" spans="1:72" x14ac:dyDescent="0.15">
      <c r="A832" t="s">
        <v>72</v>
      </c>
      <c r="B832" t="s">
        <v>15775</v>
      </c>
      <c r="C832" t="s">
        <v>74</v>
      </c>
      <c r="D832" t="s">
        <v>74</v>
      </c>
      <c r="E832" t="s">
        <v>74</v>
      </c>
      <c r="F832" t="s">
        <v>15776</v>
      </c>
      <c r="G832" t="s">
        <v>74</v>
      </c>
      <c r="H832" t="s">
        <v>74</v>
      </c>
      <c r="I832" t="s">
        <v>15777</v>
      </c>
      <c r="J832" t="s">
        <v>5749</v>
      </c>
      <c r="K832" t="s">
        <v>74</v>
      </c>
      <c r="L832" t="s">
        <v>74</v>
      </c>
      <c r="M832" t="s">
        <v>78</v>
      </c>
      <c r="N832" t="s">
        <v>79</v>
      </c>
      <c r="O832" t="s">
        <v>74</v>
      </c>
      <c r="P832" t="s">
        <v>74</v>
      </c>
      <c r="Q832" t="s">
        <v>74</v>
      </c>
      <c r="R832" t="s">
        <v>74</v>
      </c>
      <c r="S832" t="s">
        <v>74</v>
      </c>
      <c r="T832" t="s">
        <v>74</v>
      </c>
      <c r="U832" t="s">
        <v>15778</v>
      </c>
      <c r="V832" t="s">
        <v>15779</v>
      </c>
      <c r="W832" t="s">
        <v>15780</v>
      </c>
      <c r="X832" t="s">
        <v>15781</v>
      </c>
      <c r="Y832" t="s">
        <v>15782</v>
      </c>
      <c r="Z832" t="s">
        <v>15783</v>
      </c>
      <c r="AA832" t="s">
        <v>15784</v>
      </c>
      <c r="AB832" t="s">
        <v>15785</v>
      </c>
      <c r="AC832" t="s">
        <v>15786</v>
      </c>
      <c r="AD832" t="s">
        <v>15787</v>
      </c>
      <c r="AE832" t="s">
        <v>15788</v>
      </c>
      <c r="AF832" t="s">
        <v>74</v>
      </c>
      <c r="AG832">
        <v>50</v>
      </c>
      <c r="AH832">
        <v>0</v>
      </c>
      <c r="AI832">
        <v>0</v>
      </c>
      <c r="AJ832">
        <v>12</v>
      </c>
      <c r="AK832">
        <v>13</v>
      </c>
      <c r="AL832" t="s">
        <v>1208</v>
      </c>
      <c r="AM832" t="s">
        <v>1209</v>
      </c>
      <c r="AN832" t="s">
        <v>1210</v>
      </c>
      <c r="AO832" t="s">
        <v>5762</v>
      </c>
      <c r="AP832" t="s">
        <v>5763</v>
      </c>
      <c r="AQ832" t="s">
        <v>74</v>
      </c>
      <c r="AR832" t="s">
        <v>5764</v>
      </c>
      <c r="AS832" t="s">
        <v>5765</v>
      </c>
      <c r="AT832" t="s">
        <v>10415</v>
      </c>
      <c r="AU832">
        <v>2023</v>
      </c>
      <c r="AV832">
        <v>128</v>
      </c>
      <c r="AW832">
        <v>10</v>
      </c>
      <c r="AX832" t="s">
        <v>74</v>
      </c>
      <c r="AY832" t="s">
        <v>74</v>
      </c>
      <c r="AZ832" t="s">
        <v>74</v>
      </c>
      <c r="BA832" t="s">
        <v>74</v>
      </c>
      <c r="BB832" t="s">
        <v>74</v>
      </c>
      <c r="BC832" t="s">
        <v>74</v>
      </c>
      <c r="BD832" t="s">
        <v>15789</v>
      </c>
      <c r="BE832" t="s">
        <v>15790</v>
      </c>
      <c r="BF832" t="str">
        <f>HYPERLINK("http://dx.doi.org/10.1029/2022JC019618","http://dx.doi.org/10.1029/2022JC019618")</f>
        <v>http://dx.doi.org/10.1029/2022JC019618</v>
      </c>
      <c r="BG832" t="s">
        <v>74</v>
      </c>
      <c r="BH832" t="s">
        <v>74</v>
      </c>
      <c r="BI832">
        <v>17</v>
      </c>
      <c r="BJ832" t="s">
        <v>5060</v>
      </c>
      <c r="BK832" t="s">
        <v>100</v>
      </c>
      <c r="BL832" t="s">
        <v>5060</v>
      </c>
      <c r="BM832" t="s">
        <v>15791</v>
      </c>
      <c r="BN832" t="s">
        <v>74</v>
      </c>
      <c r="BO832" t="s">
        <v>322</v>
      </c>
      <c r="BP832" t="s">
        <v>74</v>
      </c>
      <c r="BQ832" t="s">
        <v>74</v>
      </c>
      <c r="BR832" t="s">
        <v>104</v>
      </c>
      <c r="BS832" t="s">
        <v>15792</v>
      </c>
      <c r="BT832" t="str">
        <f>HYPERLINK("https%3A%2F%2Fwww.webofscience.com%2Fwos%2Fwoscc%2Ffull-record%2FWOS:001073870300001","View Full Record in Web of Science")</f>
        <v>View Full Record in Web of Science</v>
      </c>
    </row>
    <row r="833" spans="1:72" x14ac:dyDescent="0.15">
      <c r="A833" t="s">
        <v>72</v>
      </c>
      <c r="B833" t="s">
        <v>15793</v>
      </c>
      <c r="C833" t="s">
        <v>74</v>
      </c>
      <c r="D833" t="s">
        <v>74</v>
      </c>
      <c r="E833" t="s">
        <v>74</v>
      </c>
      <c r="F833" t="s">
        <v>15794</v>
      </c>
      <c r="G833" t="s">
        <v>74</v>
      </c>
      <c r="H833" t="s">
        <v>74</v>
      </c>
      <c r="I833" t="s">
        <v>15795</v>
      </c>
      <c r="J833" t="s">
        <v>6412</v>
      </c>
      <c r="K833" t="s">
        <v>74</v>
      </c>
      <c r="L833" t="s">
        <v>74</v>
      </c>
      <c r="M833" t="s">
        <v>78</v>
      </c>
      <c r="N833" t="s">
        <v>79</v>
      </c>
      <c r="O833" t="s">
        <v>74</v>
      </c>
      <c r="P833" t="s">
        <v>74</v>
      </c>
      <c r="Q833" t="s">
        <v>74</v>
      </c>
      <c r="R833" t="s">
        <v>74</v>
      </c>
      <c r="S833" t="s">
        <v>74</v>
      </c>
      <c r="T833" t="s">
        <v>15796</v>
      </c>
      <c r="U833" t="s">
        <v>15797</v>
      </c>
      <c r="V833" t="s">
        <v>15798</v>
      </c>
      <c r="W833" t="s">
        <v>15799</v>
      </c>
      <c r="X833" t="s">
        <v>15800</v>
      </c>
      <c r="Y833" t="s">
        <v>15801</v>
      </c>
      <c r="Z833" t="s">
        <v>15802</v>
      </c>
      <c r="AA833" t="s">
        <v>15803</v>
      </c>
      <c r="AB833" t="s">
        <v>15804</v>
      </c>
      <c r="AC833" t="s">
        <v>15805</v>
      </c>
      <c r="AD833" t="s">
        <v>15806</v>
      </c>
      <c r="AE833" t="s">
        <v>15807</v>
      </c>
      <c r="AF833" t="s">
        <v>74</v>
      </c>
      <c r="AG833">
        <v>57</v>
      </c>
      <c r="AH833">
        <v>0</v>
      </c>
      <c r="AI833">
        <v>0</v>
      </c>
      <c r="AJ833">
        <v>17</v>
      </c>
      <c r="AK833">
        <v>19</v>
      </c>
      <c r="AL833" t="s">
        <v>1208</v>
      </c>
      <c r="AM833" t="s">
        <v>1209</v>
      </c>
      <c r="AN833" t="s">
        <v>1210</v>
      </c>
      <c r="AO833" t="s">
        <v>6425</v>
      </c>
      <c r="AP833" t="s">
        <v>6426</v>
      </c>
      <c r="AQ833" t="s">
        <v>74</v>
      </c>
      <c r="AR833" t="s">
        <v>6427</v>
      </c>
      <c r="AS833" t="s">
        <v>6428</v>
      </c>
      <c r="AT833" t="s">
        <v>10415</v>
      </c>
      <c r="AU833">
        <v>2023</v>
      </c>
      <c r="AV833">
        <v>128</v>
      </c>
      <c r="AW833">
        <v>10</v>
      </c>
      <c r="AX833" t="s">
        <v>74</v>
      </c>
      <c r="AY833" t="s">
        <v>74</v>
      </c>
      <c r="AZ833" t="s">
        <v>74</v>
      </c>
      <c r="BA833" t="s">
        <v>74</v>
      </c>
      <c r="BB833" t="s">
        <v>74</v>
      </c>
      <c r="BC833" t="s">
        <v>74</v>
      </c>
      <c r="BD833" t="s">
        <v>15808</v>
      </c>
      <c r="BE833" t="s">
        <v>15809</v>
      </c>
      <c r="BF833" t="str">
        <f>HYPERLINK("http://dx.doi.org/10.1029/2023JA031514","http://dx.doi.org/10.1029/2023JA031514")</f>
        <v>http://dx.doi.org/10.1029/2023JA031514</v>
      </c>
      <c r="BG833" t="s">
        <v>74</v>
      </c>
      <c r="BH833" t="s">
        <v>74</v>
      </c>
      <c r="BI833">
        <v>14</v>
      </c>
      <c r="BJ833" t="s">
        <v>4706</v>
      </c>
      <c r="BK833" t="s">
        <v>100</v>
      </c>
      <c r="BL833" t="s">
        <v>4706</v>
      </c>
      <c r="BM833" t="s">
        <v>15810</v>
      </c>
      <c r="BN833" t="s">
        <v>74</v>
      </c>
      <c r="BO833" t="s">
        <v>74</v>
      </c>
      <c r="BP833" t="s">
        <v>74</v>
      </c>
      <c r="BQ833" t="s">
        <v>74</v>
      </c>
      <c r="BR833" t="s">
        <v>104</v>
      </c>
      <c r="BS833" t="s">
        <v>15811</v>
      </c>
      <c r="BT833" t="str">
        <f>HYPERLINK("https%3A%2F%2Fwww.webofscience.com%2Fwos%2Fwoscc%2Ffull-record%2FWOS:001073180300001","View Full Record in Web of Science")</f>
        <v>View Full Record in Web of Science</v>
      </c>
    </row>
    <row r="834" spans="1:72" x14ac:dyDescent="0.15">
      <c r="A834" t="s">
        <v>72</v>
      </c>
      <c r="B834" t="s">
        <v>15812</v>
      </c>
      <c r="C834" t="s">
        <v>74</v>
      </c>
      <c r="D834" t="s">
        <v>74</v>
      </c>
      <c r="E834" t="s">
        <v>74</v>
      </c>
      <c r="F834" t="s">
        <v>15813</v>
      </c>
      <c r="G834" t="s">
        <v>74</v>
      </c>
      <c r="H834" t="s">
        <v>74</v>
      </c>
      <c r="I834" t="s">
        <v>15814</v>
      </c>
      <c r="J834" t="s">
        <v>5106</v>
      </c>
      <c r="K834" t="s">
        <v>74</v>
      </c>
      <c r="L834" t="s">
        <v>74</v>
      </c>
      <c r="M834" t="s">
        <v>78</v>
      </c>
      <c r="N834" t="s">
        <v>79</v>
      </c>
      <c r="O834" t="s">
        <v>74</v>
      </c>
      <c r="P834" t="s">
        <v>74</v>
      </c>
      <c r="Q834" t="s">
        <v>74</v>
      </c>
      <c r="R834" t="s">
        <v>74</v>
      </c>
      <c r="S834" t="s">
        <v>74</v>
      </c>
      <c r="T834" t="s">
        <v>15815</v>
      </c>
      <c r="U834" t="s">
        <v>15816</v>
      </c>
      <c r="V834" t="s">
        <v>15817</v>
      </c>
      <c r="W834" t="s">
        <v>15818</v>
      </c>
      <c r="X834" t="s">
        <v>15819</v>
      </c>
      <c r="Y834" t="s">
        <v>15820</v>
      </c>
      <c r="Z834" t="s">
        <v>15821</v>
      </c>
      <c r="AA834" t="s">
        <v>74</v>
      </c>
      <c r="AB834" t="s">
        <v>15822</v>
      </c>
      <c r="AC834" t="s">
        <v>74</v>
      </c>
      <c r="AD834" t="s">
        <v>74</v>
      </c>
      <c r="AE834" t="s">
        <v>74</v>
      </c>
      <c r="AF834" t="s">
        <v>74</v>
      </c>
      <c r="AG834">
        <v>70</v>
      </c>
      <c r="AH834">
        <v>2</v>
      </c>
      <c r="AI834">
        <v>2</v>
      </c>
      <c r="AJ834">
        <v>9</v>
      </c>
      <c r="AK834">
        <v>11</v>
      </c>
      <c r="AL834" t="s">
        <v>5117</v>
      </c>
      <c r="AM834" t="s">
        <v>5118</v>
      </c>
      <c r="AN834" t="s">
        <v>5119</v>
      </c>
      <c r="AO834" t="s">
        <v>5120</v>
      </c>
      <c r="AP834" t="s">
        <v>5121</v>
      </c>
      <c r="AQ834" t="s">
        <v>74</v>
      </c>
      <c r="AR834" t="s">
        <v>5122</v>
      </c>
      <c r="AS834" t="s">
        <v>5123</v>
      </c>
      <c r="AT834" t="s">
        <v>10415</v>
      </c>
      <c r="AU834">
        <v>2023</v>
      </c>
      <c r="AV834">
        <v>36</v>
      </c>
      <c r="AW834">
        <v>19</v>
      </c>
      <c r="AX834" t="s">
        <v>74</v>
      </c>
      <c r="AY834" t="s">
        <v>74</v>
      </c>
      <c r="AZ834" t="s">
        <v>74</v>
      </c>
      <c r="BA834" t="s">
        <v>74</v>
      </c>
      <c r="BB834">
        <v>6879</v>
      </c>
      <c r="BC834">
        <v>6896</v>
      </c>
      <c r="BD834" t="s">
        <v>74</v>
      </c>
      <c r="BE834" t="s">
        <v>15823</v>
      </c>
      <c r="BF834" t="str">
        <f>HYPERLINK("http://dx.doi.org/10.1175/JCLI-D-23-0056.1","http://dx.doi.org/10.1175/JCLI-D-23-0056.1")</f>
        <v>http://dx.doi.org/10.1175/JCLI-D-23-0056.1</v>
      </c>
      <c r="BG834" t="s">
        <v>74</v>
      </c>
      <c r="BH834" t="s">
        <v>74</v>
      </c>
      <c r="BI834">
        <v>18</v>
      </c>
      <c r="BJ834" t="s">
        <v>1522</v>
      </c>
      <c r="BK834" t="s">
        <v>100</v>
      </c>
      <c r="BL834" t="s">
        <v>1522</v>
      </c>
      <c r="BM834" t="s">
        <v>15824</v>
      </c>
      <c r="BN834" t="s">
        <v>74</v>
      </c>
      <c r="BO834" t="s">
        <v>1794</v>
      </c>
      <c r="BP834" t="s">
        <v>74</v>
      </c>
      <c r="BQ834" t="s">
        <v>74</v>
      </c>
      <c r="BR834" t="s">
        <v>104</v>
      </c>
      <c r="BS834" t="s">
        <v>15825</v>
      </c>
      <c r="BT834" t="str">
        <f>HYPERLINK("https%3A%2F%2Fwww.webofscience.com%2Fwos%2Fwoscc%2Ffull-record%2FWOS:001069033800001","View Full Record in Web of Science")</f>
        <v>View Full Record in Web of Science</v>
      </c>
    </row>
    <row r="835" spans="1:72" x14ac:dyDescent="0.15">
      <c r="A835" t="s">
        <v>72</v>
      </c>
      <c r="B835" t="s">
        <v>15826</v>
      </c>
      <c r="C835" t="s">
        <v>74</v>
      </c>
      <c r="D835" t="s">
        <v>74</v>
      </c>
      <c r="E835" t="s">
        <v>74</v>
      </c>
      <c r="F835" t="s">
        <v>15827</v>
      </c>
      <c r="G835" t="s">
        <v>74</v>
      </c>
      <c r="H835" t="s">
        <v>74</v>
      </c>
      <c r="I835" t="s">
        <v>15828</v>
      </c>
      <c r="J835" t="s">
        <v>6858</v>
      </c>
      <c r="K835" t="s">
        <v>74</v>
      </c>
      <c r="L835" t="s">
        <v>74</v>
      </c>
      <c r="M835" t="s">
        <v>78</v>
      </c>
      <c r="N835" t="s">
        <v>79</v>
      </c>
      <c r="O835" t="s">
        <v>74</v>
      </c>
      <c r="P835" t="s">
        <v>74</v>
      </c>
      <c r="Q835" t="s">
        <v>74</v>
      </c>
      <c r="R835" t="s">
        <v>74</v>
      </c>
      <c r="S835" t="s">
        <v>74</v>
      </c>
      <c r="T835" t="s">
        <v>15829</v>
      </c>
      <c r="U835" t="s">
        <v>15830</v>
      </c>
      <c r="V835" t="s">
        <v>15831</v>
      </c>
      <c r="W835" t="s">
        <v>15832</v>
      </c>
      <c r="X835" t="s">
        <v>15833</v>
      </c>
      <c r="Y835" t="s">
        <v>15834</v>
      </c>
      <c r="Z835" t="s">
        <v>15835</v>
      </c>
      <c r="AA835" t="s">
        <v>15836</v>
      </c>
      <c r="AB835" t="s">
        <v>15837</v>
      </c>
      <c r="AC835" t="s">
        <v>15838</v>
      </c>
      <c r="AD835" t="s">
        <v>15838</v>
      </c>
      <c r="AE835" t="s">
        <v>15838</v>
      </c>
      <c r="AF835" t="s">
        <v>74</v>
      </c>
      <c r="AG835">
        <v>89</v>
      </c>
      <c r="AH835">
        <v>1</v>
      </c>
      <c r="AI835">
        <v>1</v>
      </c>
      <c r="AJ835">
        <v>13</v>
      </c>
      <c r="AK835">
        <v>15</v>
      </c>
      <c r="AL835" t="s">
        <v>3812</v>
      </c>
      <c r="AM835" t="s">
        <v>3813</v>
      </c>
      <c r="AN835" t="s">
        <v>3814</v>
      </c>
      <c r="AO835" t="s">
        <v>6869</v>
      </c>
      <c r="AP835" t="s">
        <v>6870</v>
      </c>
      <c r="AQ835" t="s">
        <v>74</v>
      </c>
      <c r="AR835" t="s">
        <v>6871</v>
      </c>
      <c r="AS835" t="s">
        <v>6872</v>
      </c>
      <c r="AT835" t="s">
        <v>10415</v>
      </c>
      <c r="AU835">
        <v>2023</v>
      </c>
      <c r="AV835">
        <v>170</v>
      </c>
      <c r="AW835">
        <v>10</v>
      </c>
      <c r="AX835" t="s">
        <v>74</v>
      </c>
      <c r="AY835" t="s">
        <v>74</v>
      </c>
      <c r="AZ835" t="s">
        <v>74</v>
      </c>
      <c r="BA835" t="s">
        <v>74</v>
      </c>
      <c r="BB835" t="s">
        <v>74</v>
      </c>
      <c r="BC835" t="s">
        <v>74</v>
      </c>
      <c r="BD835">
        <v>129</v>
      </c>
      <c r="BE835" t="s">
        <v>15839</v>
      </c>
      <c r="BF835" t="str">
        <f>HYPERLINK("http://dx.doi.org/10.1007/s00227-023-04261-w","http://dx.doi.org/10.1007/s00227-023-04261-w")</f>
        <v>http://dx.doi.org/10.1007/s00227-023-04261-w</v>
      </c>
      <c r="BG835" t="s">
        <v>74</v>
      </c>
      <c r="BH835" t="s">
        <v>74</v>
      </c>
      <c r="BI835">
        <v>16</v>
      </c>
      <c r="BJ835" t="s">
        <v>6874</v>
      </c>
      <c r="BK835" t="s">
        <v>100</v>
      </c>
      <c r="BL835" t="s">
        <v>6874</v>
      </c>
      <c r="BM835" t="s">
        <v>15840</v>
      </c>
      <c r="BN835" t="s">
        <v>74</v>
      </c>
      <c r="BO835" t="s">
        <v>2910</v>
      </c>
      <c r="BP835" t="s">
        <v>74</v>
      </c>
      <c r="BQ835" t="s">
        <v>74</v>
      </c>
      <c r="BR835" t="s">
        <v>104</v>
      </c>
      <c r="BS835" t="s">
        <v>15841</v>
      </c>
      <c r="BT835" t="str">
        <f>HYPERLINK("https%3A%2F%2Fwww.webofscience.com%2Fwos%2Fwoscc%2Ffull-record%2FWOS:001061948900001","View Full Record in Web of Science")</f>
        <v>View Full Record in Web of Science</v>
      </c>
    </row>
    <row r="836" spans="1:72" x14ac:dyDescent="0.15">
      <c r="A836" t="s">
        <v>72</v>
      </c>
      <c r="B836" t="s">
        <v>15842</v>
      </c>
      <c r="C836" t="s">
        <v>74</v>
      </c>
      <c r="D836" t="s">
        <v>74</v>
      </c>
      <c r="E836" t="s">
        <v>74</v>
      </c>
      <c r="F836" t="s">
        <v>15843</v>
      </c>
      <c r="G836" t="s">
        <v>74</v>
      </c>
      <c r="H836" t="s">
        <v>74</v>
      </c>
      <c r="I836" t="s">
        <v>15844</v>
      </c>
      <c r="J836" t="s">
        <v>15845</v>
      </c>
      <c r="K836" t="s">
        <v>74</v>
      </c>
      <c r="L836" t="s">
        <v>74</v>
      </c>
      <c r="M836" t="s">
        <v>78</v>
      </c>
      <c r="N836" t="s">
        <v>79</v>
      </c>
      <c r="O836" t="s">
        <v>74</v>
      </c>
      <c r="P836" t="s">
        <v>74</v>
      </c>
      <c r="Q836" t="s">
        <v>74</v>
      </c>
      <c r="R836" t="s">
        <v>74</v>
      </c>
      <c r="S836" t="s">
        <v>74</v>
      </c>
      <c r="T836" t="s">
        <v>15846</v>
      </c>
      <c r="U836" t="s">
        <v>15847</v>
      </c>
      <c r="V836" t="s">
        <v>15848</v>
      </c>
      <c r="W836" t="s">
        <v>15849</v>
      </c>
      <c r="X836" t="s">
        <v>15850</v>
      </c>
      <c r="Y836" t="s">
        <v>15851</v>
      </c>
      <c r="Z836" t="s">
        <v>15852</v>
      </c>
      <c r="AA836" t="s">
        <v>74</v>
      </c>
      <c r="AB836" t="s">
        <v>74</v>
      </c>
      <c r="AC836" t="s">
        <v>15853</v>
      </c>
      <c r="AD836" t="s">
        <v>15854</v>
      </c>
      <c r="AE836" t="s">
        <v>15855</v>
      </c>
      <c r="AF836" t="s">
        <v>74</v>
      </c>
      <c r="AG836">
        <v>42</v>
      </c>
      <c r="AH836">
        <v>0</v>
      </c>
      <c r="AI836">
        <v>0</v>
      </c>
      <c r="AJ836">
        <v>10</v>
      </c>
      <c r="AK836">
        <v>14</v>
      </c>
      <c r="AL836" t="s">
        <v>1075</v>
      </c>
      <c r="AM836" t="s">
        <v>2949</v>
      </c>
      <c r="AN836" t="s">
        <v>2950</v>
      </c>
      <c r="AO836" t="s">
        <v>15856</v>
      </c>
      <c r="AP836" t="s">
        <v>15857</v>
      </c>
      <c r="AQ836" t="s">
        <v>74</v>
      </c>
      <c r="AR836" t="s">
        <v>15858</v>
      </c>
      <c r="AS836" t="s">
        <v>15859</v>
      </c>
      <c r="AT836" t="s">
        <v>10415</v>
      </c>
      <c r="AU836">
        <v>2023</v>
      </c>
      <c r="AV836">
        <v>55</v>
      </c>
      <c r="AW836">
        <v>5</v>
      </c>
      <c r="AX836" t="s">
        <v>74</v>
      </c>
      <c r="AY836" t="s">
        <v>74</v>
      </c>
      <c r="AZ836" t="s">
        <v>74</v>
      </c>
      <c r="BA836" t="s">
        <v>74</v>
      </c>
      <c r="BB836" t="s">
        <v>74</v>
      </c>
      <c r="BC836" t="s">
        <v>74</v>
      </c>
      <c r="BD836">
        <v>287</v>
      </c>
      <c r="BE836" t="s">
        <v>15860</v>
      </c>
      <c r="BF836" t="str">
        <f>HYPERLINK("http://dx.doi.org/10.1007/s11250-023-03705-1","http://dx.doi.org/10.1007/s11250-023-03705-1")</f>
        <v>http://dx.doi.org/10.1007/s11250-023-03705-1</v>
      </c>
      <c r="BG836" t="s">
        <v>74</v>
      </c>
      <c r="BH836" t="s">
        <v>74</v>
      </c>
      <c r="BI836">
        <v>10</v>
      </c>
      <c r="BJ836" t="s">
        <v>15861</v>
      </c>
      <c r="BK836" t="s">
        <v>100</v>
      </c>
      <c r="BL836" t="s">
        <v>15862</v>
      </c>
      <c r="BM836" t="s">
        <v>15863</v>
      </c>
      <c r="BN836">
        <v>37542536</v>
      </c>
      <c r="BO836" t="s">
        <v>74</v>
      </c>
      <c r="BP836" t="s">
        <v>74</v>
      </c>
      <c r="BQ836" t="s">
        <v>74</v>
      </c>
      <c r="BR836" t="s">
        <v>104</v>
      </c>
      <c r="BS836" t="s">
        <v>15864</v>
      </c>
      <c r="BT836" t="str">
        <f>HYPERLINK("https%3A%2F%2Fwww.webofscience.com%2Fwos%2Fwoscc%2Ffull-record%2FWOS:001042806200001","View Full Record in Web of Science")</f>
        <v>View Full Record in Web of Science</v>
      </c>
    </row>
    <row r="837" spans="1:72" x14ac:dyDescent="0.15">
      <c r="A837" t="s">
        <v>72</v>
      </c>
      <c r="B837" t="s">
        <v>15865</v>
      </c>
      <c r="C837" t="s">
        <v>74</v>
      </c>
      <c r="D837" t="s">
        <v>74</v>
      </c>
      <c r="E837" t="s">
        <v>74</v>
      </c>
      <c r="F837" t="s">
        <v>15866</v>
      </c>
      <c r="G837" t="s">
        <v>74</v>
      </c>
      <c r="H837" t="s">
        <v>74</v>
      </c>
      <c r="I837" t="s">
        <v>15867</v>
      </c>
      <c r="J837" t="s">
        <v>9266</v>
      </c>
      <c r="K837" t="s">
        <v>74</v>
      </c>
      <c r="L837" t="s">
        <v>74</v>
      </c>
      <c r="M837" t="s">
        <v>78</v>
      </c>
      <c r="N837" t="s">
        <v>79</v>
      </c>
      <c r="O837" t="s">
        <v>74</v>
      </c>
      <c r="P837" t="s">
        <v>74</v>
      </c>
      <c r="Q837" t="s">
        <v>74</v>
      </c>
      <c r="R837" t="s">
        <v>74</v>
      </c>
      <c r="S837" t="s">
        <v>74</v>
      </c>
      <c r="T837" t="s">
        <v>74</v>
      </c>
      <c r="U837" t="s">
        <v>15868</v>
      </c>
      <c r="V837" t="s">
        <v>15869</v>
      </c>
      <c r="W837" t="s">
        <v>15870</v>
      </c>
      <c r="X837" t="s">
        <v>15871</v>
      </c>
      <c r="Y837" t="s">
        <v>15872</v>
      </c>
      <c r="Z837" t="s">
        <v>15873</v>
      </c>
      <c r="AA837" t="s">
        <v>15874</v>
      </c>
      <c r="AB837" t="s">
        <v>15875</v>
      </c>
      <c r="AC837" t="s">
        <v>15876</v>
      </c>
      <c r="AD837" t="s">
        <v>15877</v>
      </c>
      <c r="AE837" t="s">
        <v>15878</v>
      </c>
      <c r="AF837" t="s">
        <v>74</v>
      </c>
      <c r="AG837">
        <v>72</v>
      </c>
      <c r="AH837">
        <v>2</v>
      </c>
      <c r="AI837">
        <v>2</v>
      </c>
      <c r="AJ837">
        <v>1</v>
      </c>
      <c r="AK837">
        <v>1</v>
      </c>
      <c r="AL837" t="s">
        <v>1101</v>
      </c>
      <c r="AM837" t="s">
        <v>1102</v>
      </c>
      <c r="AN837" t="s">
        <v>1103</v>
      </c>
      <c r="AO837" t="s">
        <v>9278</v>
      </c>
      <c r="AP837" t="s">
        <v>9279</v>
      </c>
      <c r="AQ837" t="s">
        <v>74</v>
      </c>
      <c r="AR837" t="s">
        <v>9280</v>
      </c>
      <c r="AS837" t="s">
        <v>9281</v>
      </c>
      <c r="AT837" t="s">
        <v>1947</v>
      </c>
      <c r="AU837">
        <v>2023</v>
      </c>
      <c r="AV837">
        <v>25</v>
      </c>
      <c r="AW837">
        <v>12</v>
      </c>
      <c r="AX837" t="s">
        <v>74</v>
      </c>
      <c r="AY837" t="s">
        <v>74</v>
      </c>
      <c r="AZ837" t="s">
        <v>74</v>
      </c>
      <c r="BA837" t="s">
        <v>74</v>
      </c>
      <c r="BB837">
        <v>2931</v>
      </c>
      <c r="BC837">
        <v>2942</v>
      </c>
      <c r="BD837" t="s">
        <v>74</v>
      </c>
      <c r="BE837" t="s">
        <v>15879</v>
      </c>
      <c r="BF837" t="str">
        <f>HYPERLINK("http://dx.doi.org/10.1111/1462-2920.16510","http://dx.doi.org/10.1111/1462-2920.16510")</f>
        <v>http://dx.doi.org/10.1111/1462-2920.16510</v>
      </c>
      <c r="BG837" t="s">
        <v>74</v>
      </c>
      <c r="BH837" t="s">
        <v>15880</v>
      </c>
      <c r="BI837">
        <v>12</v>
      </c>
      <c r="BJ837" t="s">
        <v>1084</v>
      </c>
      <c r="BK837" t="s">
        <v>100</v>
      </c>
      <c r="BL837" t="s">
        <v>1084</v>
      </c>
      <c r="BM837" t="s">
        <v>15881</v>
      </c>
      <c r="BN837">
        <v>37775957</v>
      </c>
      <c r="BO837" t="s">
        <v>1356</v>
      </c>
      <c r="BP837" t="s">
        <v>74</v>
      </c>
      <c r="BQ837" t="s">
        <v>74</v>
      </c>
      <c r="BR837" t="s">
        <v>104</v>
      </c>
      <c r="BS837" t="s">
        <v>15882</v>
      </c>
      <c r="BT837" t="str">
        <f>HYPERLINK("https%3A%2F%2Fwww.webofscience.com%2Fwos%2Fwoscc%2Ffull-record%2FWOS:001119300300001","View Full Record in Web of Science")</f>
        <v>View Full Record in Web of Science</v>
      </c>
    </row>
    <row r="838" spans="1:72" x14ac:dyDescent="0.15">
      <c r="A838" t="s">
        <v>72</v>
      </c>
      <c r="B838" t="s">
        <v>15883</v>
      </c>
      <c r="C838" t="s">
        <v>74</v>
      </c>
      <c r="D838" t="s">
        <v>74</v>
      </c>
      <c r="E838" t="s">
        <v>74</v>
      </c>
      <c r="F838" t="s">
        <v>15884</v>
      </c>
      <c r="G838" t="s">
        <v>74</v>
      </c>
      <c r="H838" t="s">
        <v>74</v>
      </c>
      <c r="I838" t="s">
        <v>15885</v>
      </c>
      <c r="J838" t="s">
        <v>11495</v>
      </c>
      <c r="K838" t="s">
        <v>74</v>
      </c>
      <c r="L838" t="s">
        <v>74</v>
      </c>
      <c r="M838" t="s">
        <v>78</v>
      </c>
      <c r="N838" t="s">
        <v>79</v>
      </c>
      <c r="O838" t="s">
        <v>74</v>
      </c>
      <c r="P838" t="s">
        <v>74</v>
      </c>
      <c r="Q838" t="s">
        <v>74</v>
      </c>
      <c r="R838" t="s">
        <v>74</v>
      </c>
      <c r="S838" t="s">
        <v>74</v>
      </c>
      <c r="T838" t="s">
        <v>15886</v>
      </c>
      <c r="U838" t="s">
        <v>15887</v>
      </c>
      <c r="V838" t="s">
        <v>15888</v>
      </c>
      <c r="W838" t="s">
        <v>15889</v>
      </c>
      <c r="X838" t="s">
        <v>15890</v>
      </c>
      <c r="Y838" t="s">
        <v>15891</v>
      </c>
      <c r="Z838" t="s">
        <v>15892</v>
      </c>
      <c r="AA838" t="s">
        <v>74</v>
      </c>
      <c r="AB838" t="s">
        <v>74</v>
      </c>
      <c r="AC838" t="s">
        <v>15893</v>
      </c>
      <c r="AD838" t="s">
        <v>15894</v>
      </c>
      <c r="AE838" t="s">
        <v>15895</v>
      </c>
      <c r="AF838" t="s">
        <v>74</v>
      </c>
      <c r="AG838">
        <v>56</v>
      </c>
      <c r="AH838">
        <v>0</v>
      </c>
      <c r="AI838">
        <v>0</v>
      </c>
      <c r="AJ838">
        <v>14</v>
      </c>
      <c r="AK838">
        <v>14</v>
      </c>
      <c r="AL838" t="s">
        <v>89</v>
      </c>
      <c r="AM838" t="s">
        <v>976</v>
      </c>
      <c r="AN838" t="s">
        <v>11027</v>
      </c>
      <c r="AO838" t="s">
        <v>11508</v>
      </c>
      <c r="AP838" t="s">
        <v>11509</v>
      </c>
      <c r="AQ838" t="s">
        <v>74</v>
      </c>
      <c r="AR838" t="s">
        <v>11510</v>
      </c>
      <c r="AS838" t="s">
        <v>11511</v>
      </c>
      <c r="AT838" t="s">
        <v>10415</v>
      </c>
      <c r="AU838">
        <v>2023</v>
      </c>
      <c r="AV838">
        <v>286</v>
      </c>
      <c r="AW838" t="s">
        <v>74</v>
      </c>
      <c r="AX838" t="s">
        <v>74</v>
      </c>
      <c r="AY838" t="s">
        <v>74</v>
      </c>
      <c r="AZ838" t="s">
        <v>74</v>
      </c>
      <c r="BA838" t="s">
        <v>74</v>
      </c>
      <c r="BB838" t="s">
        <v>74</v>
      </c>
      <c r="BC838" t="s">
        <v>74</v>
      </c>
      <c r="BD838">
        <v>110318</v>
      </c>
      <c r="BE838" t="s">
        <v>15896</v>
      </c>
      <c r="BF838" t="str">
        <f>HYPERLINK("http://dx.doi.org/10.1016/j.biocon.2023.110318","http://dx.doi.org/10.1016/j.biocon.2023.110318")</f>
        <v>http://dx.doi.org/10.1016/j.biocon.2023.110318</v>
      </c>
      <c r="BG838" t="s">
        <v>74</v>
      </c>
      <c r="BH838" t="s">
        <v>15880</v>
      </c>
      <c r="BI838">
        <v>8</v>
      </c>
      <c r="BJ838" t="s">
        <v>8763</v>
      </c>
      <c r="BK838" t="s">
        <v>100</v>
      </c>
      <c r="BL838" t="s">
        <v>913</v>
      </c>
      <c r="BM838" t="s">
        <v>15897</v>
      </c>
      <c r="BN838" t="s">
        <v>74</v>
      </c>
      <c r="BO838" t="s">
        <v>74</v>
      </c>
      <c r="BP838" t="s">
        <v>74</v>
      </c>
      <c r="BQ838" t="s">
        <v>74</v>
      </c>
      <c r="BR838" t="s">
        <v>104</v>
      </c>
      <c r="BS838" t="s">
        <v>15898</v>
      </c>
      <c r="BT838" t="str">
        <f>HYPERLINK("https%3A%2F%2Fwww.webofscience.com%2Fwos%2Fwoscc%2Ffull-record%2FWOS:001092773600001","View Full Record in Web of Science")</f>
        <v>View Full Record in Web of Science</v>
      </c>
    </row>
    <row r="839" spans="1:72" x14ac:dyDescent="0.15">
      <c r="A839" t="s">
        <v>72</v>
      </c>
      <c r="B839" t="s">
        <v>15899</v>
      </c>
      <c r="C839" t="s">
        <v>74</v>
      </c>
      <c r="D839" t="s">
        <v>74</v>
      </c>
      <c r="E839" t="s">
        <v>74</v>
      </c>
      <c r="F839" t="s">
        <v>15900</v>
      </c>
      <c r="G839" t="s">
        <v>74</v>
      </c>
      <c r="H839" t="s">
        <v>74</v>
      </c>
      <c r="I839" t="s">
        <v>15901</v>
      </c>
      <c r="J839" t="s">
        <v>5307</v>
      </c>
      <c r="K839" t="s">
        <v>74</v>
      </c>
      <c r="L839" t="s">
        <v>74</v>
      </c>
      <c r="M839" t="s">
        <v>78</v>
      </c>
      <c r="N839" t="s">
        <v>441</v>
      </c>
      <c r="O839" t="s">
        <v>74</v>
      </c>
      <c r="P839" t="s">
        <v>74</v>
      </c>
      <c r="Q839" t="s">
        <v>74</v>
      </c>
      <c r="R839" t="s">
        <v>74</v>
      </c>
      <c r="S839" t="s">
        <v>74</v>
      </c>
      <c r="T839" t="s">
        <v>15902</v>
      </c>
      <c r="U839" t="s">
        <v>15903</v>
      </c>
      <c r="V839" t="s">
        <v>15904</v>
      </c>
      <c r="W839" t="s">
        <v>15905</v>
      </c>
      <c r="X839" t="s">
        <v>15906</v>
      </c>
      <c r="Y839" t="s">
        <v>15907</v>
      </c>
      <c r="Z839" t="s">
        <v>15908</v>
      </c>
      <c r="AA839" t="s">
        <v>74</v>
      </c>
      <c r="AB839" t="s">
        <v>74</v>
      </c>
      <c r="AC839" t="s">
        <v>15909</v>
      </c>
      <c r="AD839" t="s">
        <v>15909</v>
      </c>
      <c r="AE839" t="s">
        <v>15910</v>
      </c>
      <c r="AF839" t="s">
        <v>74</v>
      </c>
      <c r="AG839">
        <v>95</v>
      </c>
      <c r="AH839">
        <v>0</v>
      </c>
      <c r="AI839">
        <v>0</v>
      </c>
      <c r="AJ839">
        <v>10</v>
      </c>
      <c r="AK839">
        <v>10</v>
      </c>
      <c r="AL839" t="s">
        <v>975</v>
      </c>
      <c r="AM839" t="s">
        <v>976</v>
      </c>
      <c r="AN839" t="s">
        <v>977</v>
      </c>
      <c r="AO839" t="s">
        <v>5318</v>
      </c>
      <c r="AP839" t="s">
        <v>5319</v>
      </c>
      <c r="AQ839" t="s">
        <v>74</v>
      </c>
      <c r="AR839" t="s">
        <v>5320</v>
      </c>
      <c r="AS839" t="s">
        <v>5321</v>
      </c>
      <c r="AT839" t="s">
        <v>4525</v>
      </c>
      <c r="AU839">
        <v>2023</v>
      </c>
      <c r="AV839">
        <v>218</v>
      </c>
      <c r="AW839" t="s">
        <v>74</v>
      </c>
      <c r="AX839" t="s">
        <v>74</v>
      </c>
      <c r="AY839" t="s">
        <v>74</v>
      </c>
      <c r="AZ839" t="s">
        <v>74</v>
      </c>
      <c r="BA839" t="s">
        <v>74</v>
      </c>
      <c r="BB839" t="s">
        <v>74</v>
      </c>
      <c r="BC839" t="s">
        <v>74</v>
      </c>
      <c r="BD839">
        <v>103119</v>
      </c>
      <c r="BE839" t="s">
        <v>15911</v>
      </c>
      <c r="BF839" t="str">
        <f>HYPERLINK("http://dx.doi.org/10.1016/j.pocean.2023.103119","http://dx.doi.org/10.1016/j.pocean.2023.103119")</f>
        <v>http://dx.doi.org/10.1016/j.pocean.2023.103119</v>
      </c>
      <c r="BG839" t="s">
        <v>74</v>
      </c>
      <c r="BH839" t="s">
        <v>15880</v>
      </c>
      <c r="BI839">
        <v>22</v>
      </c>
      <c r="BJ839" t="s">
        <v>5060</v>
      </c>
      <c r="BK839" t="s">
        <v>100</v>
      </c>
      <c r="BL839" t="s">
        <v>5060</v>
      </c>
      <c r="BM839" t="s">
        <v>15912</v>
      </c>
      <c r="BN839" t="s">
        <v>74</v>
      </c>
      <c r="BO839" t="s">
        <v>74</v>
      </c>
      <c r="BP839" t="s">
        <v>74</v>
      </c>
      <c r="BQ839" t="s">
        <v>74</v>
      </c>
      <c r="BR839" t="s">
        <v>104</v>
      </c>
      <c r="BS839" t="s">
        <v>15913</v>
      </c>
      <c r="BT839" t="str">
        <f>HYPERLINK("https%3A%2F%2Fwww.webofscience.com%2Fwos%2Fwoscc%2Ffull-record%2FWOS:001092585600001","View Full Record in Web of Science")</f>
        <v>View Full Record in Web of Science</v>
      </c>
    </row>
    <row r="840" spans="1:72" x14ac:dyDescent="0.15">
      <c r="A840" t="s">
        <v>72</v>
      </c>
      <c r="B840" t="s">
        <v>15914</v>
      </c>
      <c r="C840" t="s">
        <v>74</v>
      </c>
      <c r="D840" t="s">
        <v>74</v>
      </c>
      <c r="E840" t="s">
        <v>74</v>
      </c>
      <c r="F840" t="s">
        <v>15915</v>
      </c>
      <c r="G840" t="s">
        <v>74</v>
      </c>
      <c r="H840" t="s">
        <v>74</v>
      </c>
      <c r="I840" t="s">
        <v>15916</v>
      </c>
      <c r="J840" t="s">
        <v>11475</v>
      </c>
      <c r="K840" t="s">
        <v>74</v>
      </c>
      <c r="L840" t="s">
        <v>74</v>
      </c>
      <c r="M840" t="s">
        <v>78</v>
      </c>
      <c r="N840" t="s">
        <v>79</v>
      </c>
      <c r="O840" t="s">
        <v>74</v>
      </c>
      <c r="P840" t="s">
        <v>74</v>
      </c>
      <c r="Q840" t="s">
        <v>74</v>
      </c>
      <c r="R840" t="s">
        <v>74</v>
      </c>
      <c r="S840" t="s">
        <v>74</v>
      </c>
      <c r="T840" t="s">
        <v>15917</v>
      </c>
      <c r="U840" t="s">
        <v>15918</v>
      </c>
      <c r="V840" t="s">
        <v>15919</v>
      </c>
      <c r="W840" t="s">
        <v>15920</v>
      </c>
      <c r="X840" t="s">
        <v>15921</v>
      </c>
      <c r="Y840" t="s">
        <v>15922</v>
      </c>
      <c r="Z840" t="s">
        <v>15923</v>
      </c>
      <c r="AA840" t="s">
        <v>15924</v>
      </c>
      <c r="AB840" t="s">
        <v>15925</v>
      </c>
      <c r="AC840" t="s">
        <v>15926</v>
      </c>
      <c r="AD840" t="s">
        <v>15927</v>
      </c>
      <c r="AE840" t="s">
        <v>15928</v>
      </c>
      <c r="AF840" t="s">
        <v>74</v>
      </c>
      <c r="AG840">
        <v>87</v>
      </c>
      <c r="AH840">
        <v>0</v>
      </c>
      <c r="AI840">
        <v>0</v>
      </c>
      <c r="AJ840">
        <v>4</v>
      </c>
      <c r="AK840">
        <v>4</v>
      </c>
      <c r="AL840" t="s">
        <v>1758</v>
      </c>
      <c r="AM840" t="s">
        <v>1759</v>
      </c>
      <c r="AN840" t="s">
        <v>1760</v>
      </c>
      <c r="AO840" t="s">
        <v>74</v>
      </c>
      <c r="AP840" t="s">
        <v>11485</v>
      </c>
      <c r="AQ840" t="s">
        <v>74</v>
      </c>
      <c r="AR840" t="s">
        <v>11486</v>
      </c>
      <c r="AS840" t="s">
        <v>11487</v>
      </c>
      <c r="AT840" t="s">
        <v>15929</v>
      </c>
      <c r="AU840">
        <v>2023</v>
      </c>
      <c r="AV840">
        <v>14</v>
      </c>
      <c r="AW840" t="s">
        <v>74</v>
      </c>
      <c r="AX840" t="s">
        <v>74</v>
      </c>
      <c r="AY840" t="s">
        <v>74</v>
      </c>
      <c r="AZ840" t="s">
        <v>74</v>
      </c>
      <c r="BA840" t="s">
        <v>74</v>
      </c>
      <c r="BB840" t="s">
        <v>74</v>
      </c>
      <c r="BC840" t="s">
        <v>74</v>
      </c>
      <c r="BD840">
        <v>1238779</v>
      </c>
      <c r="BE840" t="s">
        <v>15930</v>
      </c>
      <c r="BF840" t="str">
        <f>HYPERLINK("http://dx.doi.org/10.3389/fmicb.2023.1238779","http://dx.doi.org/10.3389/fmicb.2023.1238779")</f>
        <v>http://dx.doi.org/10.3389/fmicb.2023.1238779</v>
      </c>
      <c r="BG840" t="s">
        <v>74</v>
      </c>
      <c r="BH840" t="s">
        <v>74</v>
      </c>
      <c r="BI840">
        <v>15</v>
      </c>
      <c r="BJ840" t="s">
        <v>1084</v>
      </c>
      <c r="BK840" t="s">
        <v>100</v>
      </c>
      <c r="BL840" t="s">
        <v>1084</v>
      </c>
      <c r="BM840" t="s">
        <v>15931</v>
      </c>
      <c r="BN840">
        <v>37860137</v>
      </c>
      <c r="BO840" t="s">
        <v>265</v>
      </c>
      <c r="BP840" t="s">
        <v>74</v>
      </c>
      <c r="BQ840" t="s">
        <v>74</v>
      </c>
      <c r="BR840" t="s">
        <v>104</v>
      </c>
      <c r="BS840" t="s">
        <v>15932</v>
      </c>
      <c r="BT840" t="str">
        <f>HYPERLINK("https%3A%2F%2Fwww.webofscience.com%2Fwos%2Fwoscc%2Ffull-record%2FWOS:001089675100001","View Full Record in Web of Science")</f>
        <v>View Full Record in Web of Science</v>
      </c>
    </row>
    <row r="841" spans="1:72" x14ac:dyDescent="0.15">
      <c r="A841" t="s">
        <v>72</v>
      </c>
      <c r="B841" t="s">
        <v>15933</v>
      </c>
      <c r="C841" t="s">
        <v>74</v>
      </c>
      <c r="D841" t="s">
        <v>74</v>
      </c>
      <c r="E841" t="s">
        <v>74</v>
      </c>
      <c r="F841" t="s">
        <v>15934</v>
      </c>
      <c r="G841" t="s">
        <v>74</v>
      </c>
      <c r="H841" t="s">
        <v>74</v>
      </c>
      <c r="I841" t="s">
        <v>15935</v>
      </c>
      <c r="J841" t="s">
        <v>15936</v>
      </c>
      <c r="K841" t="s">
        <v>74</v>
      </c>
      <c r="L841" t="s">
        <v>74</v>
      </c>
      <c r="M841" t="s">
        <v>78</v>
      </c>
      <c r="N841" t="s">
        <v>79</v>
      </c>
      <c r="O841" t="s">
        <v>74</v>
      </c>
      <c r="P841" t="s">
        <v>74</v>
      </c>
      <c r="Q841" t="s">
        <v>74</v>
      </c>
      <c r="R841" t="s">
        <v>74</v>
      </c>
      <c r="S841" t="s">
        <v>74</v>
      </c>
      <c r="T841" t="s">
        <v>74</v>
      </c>
      <c r="U841" t="s">
        <v>15937</v>
      </c>
      <c r="V841" t="s">
        <v>15938</v>
      </c>
      <c r="W841" t="s">
        <v>15939</v>
      </c>
      <c r="X841" t="s">
        <v>15940</v>
      </c>
      <c r="Y841" t="s">
        <v>15941</v>
      </c>
      <c r="Z841" t="s">
        <v>15942</v>
      </c>
      <c r="AA841" t="s">
        <v>15943</v>
      </c>
      <c r="AB841" t="s">
        <v>15944</v>
      </c>
      <c r="AC841" t="s">
        <v>15945</v>
      </c>
      <c r="AD841" t="s">
        <v>15946</v>
      </c>
      <c r="AE841" t="s">
        <v>15947</v>
      </c>
      <c r="AF841" t="s">
        <v>74</v>
      </c>
      <c r="AG841">
        <v>101</v>
      </c>
      <c r="AH841">
        <v>1</v>
      </c>
      <c r="AI841">
        <v>1</v>
      </c>
      <c r="AJ841">
        <v>1</v>
      </c>
      <c r="AK841">
        <v>1</v>
      </c>
      <c r="AL841" t="s">
        <v>15948</v>
      </c>
      <c r="AM841" t="s">
        <v>15949</v>
      </c>
      <c r="AN841" t="s">
        <v>15950</v>
      </c>
      <c r="AO841" t="s">
        <v>15951</v>
      </c>
      <c r="AP841" t="s">
        <v>15952</v>
      </c>
      <c r="AQ841" t="s">
        <v>74</v>
      </c>
      <c r="AR841" t="s">
        <v>15953</v>
      </c>
      <c r="AS841" t="s">
        <v>15954</v>
      </c>
      <c r="AT841" t="s">
        <v>15929</v>
      </c>
      <c r="AU841">
        <v>2023</v>
      </c>
      <c r="AV841">
        <v>180</v>
      </c>
      <c r="AW841">
        <v>5</v>
      </c>
      <c r="AX841" t="s">
        <v>74</v>
      </c>
      <c r="AY841" t="s">
        <v>74</v>
      </c>
      <c r="AZ841" t="s">
        <v>74</v>
      </c>
      <c r="BA841" t="s">
        <v>74</v>
      </c>
      <c r="BB841" t="s">
        <v>74</v>
      </c>
      <c r="BC841" t="s">
        <v>74</v>
      </c>
      <c r="BD841" t="s">
        <v>15955</v>
      </c>
      <c r="BE841" t="s">
        <v>15956</v>
      </c>
      <c r="BF841" t="str">
        <f>HYPERLINK("http://dx.doi.org/10.1144/jgs2022-163","http://dx.doi.org/10.1144/jgs2022-163")</f>
        <v>http://dx.doi.org/10.1144/jgs2022-163</v>
      </c>
      <c r="BG841" t="s">
        <v>74</v>
      </c>
      <c r="BH841" t="s">
        <v>74</v>
      </c>
      <c r="BI841">
        <v>18</v>
      </c>
      <c r="BJ841" t="s">
        <v>535</v>
      </c>
      <c r="BK841" t="s">
        <v>100</v>
      </c>
      <c r="BL841" t="s">
        <v>536</v>
      </c>
      <c r="BM841" t="s">
        <v>15957</v>
      </c>
      <c r="BN841" t="s">
        <v>74</v>
      </c>
      <c r="BO841" t="s">
        <v>74</v>
      </c>
      <c r="BP841" t="s">
        <v>74</v>
      </c>
      <c r="BQ841" t="s">
        <v>74</v>
      </c>
      <c r="BR841" t="s">
        <v>104</v>
      </c>
      <c r="BS841" t="s">
        <v>15958</v>
      </c>
      <c r="BT841" t="str">
        <f>HYPERLINK("https%3A%2F%2Fwww.webofscience.com%2Fwos%2Fwoscc%2Ffull-record%2FWOS:001079766600012","View Full Record in Web of Science")</f>
        <v>View Full Record in Web of Science</v>
      </c>
    </row>
    <row r="842" spans="1:72" x14ac:dyDescent="0.15">
      <c r="A842" t="s">
        <v>72</v>
      </c>
      <c r="B842" t="s">
        <v>15959</v>
      </c>
      <c r="C842" t="s">
        <v>74</v>
      </c>
      <c r="D842" t="s">
        <v>74</v>
      </c>
      <c r="E842" t="s">
        <v>74</v>
      </c>
      <c r="F842" t="s">
        <v>15960</v>
      </c>
      <c r="G842" t="s">
        <v>74</v>
      </c>
      <c r="H842" t="s">
        <v>74</v>
      </c>
      <c r="I842" t="s">
        <v>15961</v>
      </c>
      <c r="J842" t="s">
        <v>15962</v>
      </c>
      <c r="K842" t="s">
        <v>74</v>
      </c>
      <c r="L842" t="s">
        <v>74</v>
      </c>
      <c r="M842" t="s">
        <v>78</v>
      </c>
      <c r="N842" t="s">
        <v>79</v>
      </c>
      <c r="O842" t="s">
        <v>74</v>
      </c>
      <c r="P842" t="s">
        <v>74</v>
      </c>
      <c r="Q842" t="s">
        <v>74</v>
      </c>
      <c r="R842" t="s">
        <v>74</v>
      </c>
      <c r="S842" t="s">
        <v>74</v>
      </c>
      <c r="T842" t="s">
        <v>15963</v>
      </c>
      <c r="U842" t="s">
        <v>15964</v>
      </c>
      <c r="V842" t="s">
        <v>15965</v>
      </c>
      <c r="W842" t="s">
        <v>15966</v>
      </c>
      <c r="X842" t="s">
        <v>15967</v>
      </c>
      <c r="Y842" t="s">
        <v>15968</v>
      </c>
      <c r="Z842" t="s">
        <v>15969</v>
      </c>
      <c r="AA842" t="s">
        <v>15970</v>
      </c>
      <c r="AB842" t="s">
        <v>74</v>
      </c>
      <c r="AC842" t="s">
        <v>15971</v>
      </c>
      <c r="AD842" t="s">
        <v>15972</v>
      </c>
      <c r="AE842" t="s">
        <v>15973</v>
      </c>
      <c r="AF842" t="s">
        <v>74</v>
      </c>
      <c r="AG842">
        <v>72</v>
      </c>
      <c r="AH842">
        <v>0</v>
      </c>
      <c r="AI842">
        <v>0</v>
      </c>
      <c r="AJ842">
        <v>21</v>
      </c>
      <c r="AK842">
        <v>21</v>
      </c>
      <c r="AL842" t="s">
        <v>1758</v>
      </c>
      <c r="AM842" t="s">
        <v>1759</v>
      </c>
      <c r="AN842" t="s">
        <v>1760</v>
      </c>
      <c r="AO842" t="s">
        <v>15974</v>
      </c>
      <c r="AP842" t="s">
        <v>74</v>
      </c>
      <c r="AQ842" t="s">
        <v>74</v>
      </c>
      <c r="AR842" t="s">
        <v>15975</v>
      </c>
      <c r="AS842" t="s">
        <v>15976</v>
      </c>
      <c r="AT842" t="s">
        <v>15929</v>
      </c>
      <c r="AU842">
        <v>2023</v>
      </c>
      <c r="AV842">
        <v>14</v>
      </c>
      <c r="AW842" t="s">
        <v>74</v>
      </c>
      <c r="AX842" t="s">
        <v>74</v>
      </c>
      <c r="AY842" t="s">
        <v>74</v>
      </c>
      <c r="AZ842" t="s">
        <v>74</v>
      </c>
      <c r="BA842" t="s">
        <v>74</v>
      </c>
      <c r="BB842" t="s">
        <v>74</v>
      </c>
      <c r="BC842" t="s">
        <v>74</v>
      </c>
      <c r="BD842">
        <v>1237988</v>
      </c>
      <c r="BE842" t="s">
        <v>15977</v>
      </c>
      <c r="BF842" t="str">
        <f>HYPERLINK("http://dx.doi.org/10.3389/fpls.2023.1237988","http://dx.doi.org/10.3389/fpls.2023.1237988")</f>
        <v>http://dx.doi.org/10.3389/fpls.2023.1237988</v>
      </c>
      <c r="BG842" t="s">
        <v>74</v>
      </c>
      <c r="BH842" t="s">
        <v>74</v>
      </c>
      <c r="BI842">
        <v>16</v>
      </c>
      <c r="BJ842" t="s">
        <v>1887</v>
      </c>
      <c r="BK842" t="s">
        <v>100</v>
      </c>
      <c r="BL842" t="s">
        <v>1887</v>
      </c>
      <c r="BM842" t="s">
        <v>15978</v>
      </c>
      <c r="BN842">
        <v>37841611</v>
      </c>
      <c r="BO842" t="s">
        <v>265</v>
      </c>
      <c r="BP842" t="s">
        <v>74</v>
      </c>
      <c r="BQ842" t="s">
        <v>74</v>
      </c>
      <c r="BR842" t="s">
        <v>104</v>
      </c>
      <c r="BS842" t="s">
        <v>15979</v>
      </c>
      <c r="BT842" t="str">
        <f>HYPERLINK("https%3A%2F%2Fwww.webofscience.com%2Fwos%2Fwoscc%2Ffull-record%2FWOS:001085758900001","View Full Record in Web of Science")</f>
        <v>View Full Record in Web of Science</v>
      </c>
    </row>
    <row r="843" spans="1:72" x14ac:dyDescent="0.15">
      <c r="A843" t="s">
        <v>72</v>
      </c>
      <c r="B843" t="s">
        <v>15980</v>
      </c>
      <c r="C843" t="s">
        <v>74</v>
      </c>
      <c r="D843" t="s">
        <v>74</v>
      </c>
      <c r="E843" t="s">
        <v>74</v>
      </c>
      <c r="F843" t="s">
        <v>15981</v>
      </c>
      <c r="G843" t="s">
        <v>74</v>
      </c>
      <c r="H843" t="s">
        <v>74</v>
      </c>
      <c r="I843" t="s">
        <v>15982</v>
      </c>
      <c r="J843" t="s">
        <v>3287</v>
      </c>
      <c r="K843" t="s">
        <v>74</v>
      </c>
      <c r="L843" t="s">
        <v>74</v>
      </c>
      <c r="M843" t="s">
        <v>78</v>
      </c>
      <c r="N843" t="s">
        <v>79</v>
      </c>
      <c r="O843" t="s">
        <v>74</v>
      </c>
      <c r="P843" t="s">
        <v>74</v>
      </c>
      <c r="Q843" t="s">
        <v>74</v>
      </c>
      <c r="R843" t="s">
        <v>74</v>
      </c>
      <c r="S843" t="s">
        <v>74</v>
      </c>
      <c r="T843" t="s">
        <v>74</v>
      </c>
      <c r="U843" t="s">
        <v>15983</v>
      </c>
      <c r="V843" t="s">
        <v>15984</v>
      </c>
      <c r="W843" t="s">
        <v>15985</v>
      </c>
      <c r="X843" t="s">
        <v>15986</v>
      </c>
      <c r="Y843" t="s">
        <v>15987</v>
      </c>
      <c r="Z843" t="s">
        <v>15988</v>
      </c>
      <c r="AA843" t="s">
        <v>15989</v>
      </c>
      <c r="AB843" t="s">
        <v>15990</v>
      </c>
      <c r="AC843" t="s">
        <v>15991</v>
      </c>
      <c r="AD843" t="s">
        <v>15992</v>
      </c>
      <c r="AE843" t="s">
        <v>15993</v>
      </c>
      <c r="AF843" t="s">
        <v>74</v>
      </c>
      <c r="AG843">
        <v>66</v>
      </c>
      <c r="AH843">
        <v>0</v>
      </c>
      <c r="AI843">
        <v>0</v>
      </c>
      <c r="AJ843">
        <v>13</v>
      </c>
      <c r="AK843">
        <v>13</v>
      </c>
      <c r="AL843" t="s">
        <v>1710</v>
      </c>
      <c r="AM843" t="s">
        <v>1209</v>
      </c>
      <c r="AN843" t="s">
        <v>1711</v>
      </c>
      <c r="AO843" t="s">
        <v>3297</v>
      </c>
      <c r="AP843" t="s">
        <v>74</v>
      </c>
      <c r="AQ843" t="s">
        <v>74</v>
      </c>
      <c r="AR843" t="s">
        <v>3298</v>
      </c>
      <c r="AS843" t="s">
        <v>3299</v>
      </c>
      <c r="AT843" t="s">
        <v>15929</v>
      </c>
      <c r="AU843">
        <v>2023</v>
      </c>
      <c r="AV843">
        <v>9</v>
      </c>
      <c r="AW843">
        <v>39</v>
      </c>
      <c r="AX843" t="s">
        <v>74</v>
      </c>
      <c r="AY843" t="s">
        <v>74</v>
      </c>
      <c r="AZ843" t="s">
        <v>74</v>
      </c>
      <c r="BA843" t="s">
        <v>74</v>
      </c>
      <c r="BB843" t="s">
        <v>74</v>
      </c>
      <c r="BC843" t="s">
        <v>74</v>
      </c>
      <c r="BD843" t="s">
        <v>15994</v>
      </c>
      <c r="BE843" t="s">
        <v>15995</v>
      </c>
      <c r="BF843" t="str">
        <f>HYPERLINK("http://dx.doi.org/10.1126/sciadv.adg8340","http://dx.doi.org/10.1126/sciadv.adg8340")</f>
        <v>http://dx.doi.org/10.1126/sciadv.adg8340</v>
      </c>
      <c r="BG843" t="s">
        <v>74</v>
      </c>
      <c r="BH843" t="s">
        <v>74</v>
      </c>
      <c r="BI843">
        <v>13</v>
      </c>
      <c r="BJ843" t="s">
        <v>1035</v>
      </c>
      <c r="BK843" t="s">
        <v>100</v>
      </c>
      <c r="BL843" t="s">
        <v>1036</v>
      </c>
      <c r="BM843" t="s">
        <v>15996</v>
      </c>
      <c r="BN843">
        <v>37756400</v>
      </c>
      <c r="BO843" t="s">
        <v>265</v>
      </c>
      <c r="BP843" t="s">
        <v>74</v>
      </c>
      <c r="BQ843" t="s">
        <v>74</v>
      </c>
      <c r="BR843" t="s">
        <v>104</v>
      </c>
      <c r="BS843" t="s">
        <v>15997</v>
      </c>
      <c r="BT843" t="str">
        <f>HYPERLINK("https%3A%2F%2Fwww.webofscience.com%2Fwos%2Fwoscc%2Ffull-record%2FWOS:001076013000015","View Full Record in Web of Science")</f>
        <v>View Full Record in Web of Science</v>
      </c>
    </row>
    <row r="844" spans="1:72" x14ac:dyDescent="0.15">
      <c r="A844" t="s">
        <v>72</v>
      </c>
      <c r="B844" t="s">
        <v>15998</v>
      </c>
      <c r="C844" t="s">
        <v>74</v>
      </c>
      <c r="D844" t="s">
        <v>74</v>
      </c>
      <c r="E844" t="s">
        <v>74</v>
      </c>
      <c r="F844" t="s">
        <v>15999</v>
      </c>
      <c r="G844" t="s">
        <v>74</v>
      </c>
      <c r="H844" t="s">
        <v>74</v>
      </c>
      <c r="I844" t="s">
        <v>16000</v>
      </c>
      <c r="J844" t="s">
        <v>7701</v>
      </c>
      <c r="K844" t="s">
        <v>74</v>
      </c>
      <c r="L844" t="s">
        <v>74</v>
      </c>
      <c r="M844" t="s">
        <v>78</v>
      </c>
      <c r="N844" t="s">
        <v>79</v>
      </c>
      <c r="O844" t="s">
        <v>74</v>
      </c>
      <c r="P844" t="s">
        <v>74</v>
      </c>
      <c r="Q844" t="s">
        <v>74</v>
      </c>
      <c r="R844" t="s">
        <v>74</v>
      </c>
      <c r="S844" t="s">
        <v>74</v>
      </c>
      <c r="T844" t="s">
        <v>74</v>
      </c>
      <c r="U844" t="s">
        <v>16001</v>
      </c>
      <c r="V844" t="s">
        <v>16002</v>
      </c>
      <c r="W844" t="s">
        <v>16003</v>
      </c>
      <c r="X844" t="s">
        <v>16004</v>
      </c>
      <c r="Y844" t="s">
        <v>16005</v>
      </c>
      <c r="Z844" t="s">
        <v>16006</v>
      </c>
      <c r="AA844" t="s">
        <v>74</v>
      </c>
      <c r="AB844" t="s">
        <v>16007</v>
      </c>
      <c r="AC844" t="s">
        <v>16008</v>
      </c>
      <c r="AD844" t="s">
        <v>16009</v>
      </c>
      <c r="AE844" t="s">
        <v>16010</v>
      </c>
      <c r="AF844" t="s">
        <v>74</v>
      </c>
      <c r="AG844">
        <v>45</v>
      </c>
      <c r="AH844">
        <v>0</v>
      </c>
      <c r="AI844">
        <v>0</v>
      </c>
      <c r="AJ844">
        <v>5</v>
      </c>
      <c r="AK844">
        <v>5</v>
      </c>
      <c r="AL844" t="s">
        <v>1101</v>
      </c>
      <c r="AM844" t="s">
        <v>1102</v>
      </c>
      <c r="AN844" t="s">
        <v>1103</v>
      </c>
      <c r="AO844" t="s">
        <v>7713</v>
      </c>
      <c r="AP844" t="s">
        <v>7714</v>
      </c>
      <c r="AQ844" t="s">
        <v>74</v>
      </c>
      <c r="AR844" t="s">
        <v>7715</v>
      </c>
      <c r="AS844" t="s">
        <v>7716</v>
      </c>
      <c r="AT844" t="s">
        <v>4525</v>
      </c>
      <c r="AU844">
        <v>2023</v>
      </c>
      <c r="AV844">
        <v>58</v>
      </c>
      <c r="AW844">
        <v>11</v>
      </c>
      <c r="AX844" t="s">
        <v>74</v>
      </c>
      <c r="AY844" t="s">
        <v>74</v>
      </c>
      <c r="AZ844" t="s">
        <v>74</v>
      </c>
      <c r="BA844" t="s">
        <v>74</v>
      </c>
      <c r="BB844">
        <v>1567</v>
      </c>
      <c r="BC844">
        <v>1579</v>
      </c>
      <c r="BD844" t="s">
        <v>74</v>
      </c>
      <c r="BE844" t="s">
        <v>16011</v>
      </c>
      <c r="BF844" t="str">
        <f>HYPERLINK("http://dx.doi.org/10.1111/maps.14084","http://dx.doi.org/10.1111/maps.14084")</f>
        <v>http://dx.doi.org/10.1111/maps.14084</v>
      </c>
      <c r="BG844" t="s">
        <v>74</v>
      </c>
      <c r="BH844" t="s">
        <v>15880</v>
      </c>
      <c r="BI844">
        <v>13</v>
      </c>
      <c r="BJ844" t="s">
        <v>4252</v>
      </c>
      <c r="BK844" t="s">
        <v>100</v>
      </c>
      <c r="BL844" t="s">
        <v>4252</v>
      </c>
      <c r="BM844" t="s">
        <v>16012</v>
      </c>
      <c r="BN844" t="s">
        <v>74</v>
      </c>
      <c r="BO844" t="s">
        <v>103</v>
      </c>
      <c r="BP844" t="s">
        <v>74</v>
      </c>
      <c r="BQ844" t="s">
        <v>74</v>
      </c>
      <c r="BR844" t="s">
        <v>104</v>
      </c>
      <c r="BS844" t="s">
        <v>16013</v>
      </c>
      <c r="BT844" t="str">
        <f>HYPERLINK("https%3A%2F%2Fwww.webofscience.com%2Fwos%2Fwoscc%2Ffull-record%2FWOS:001074860400001","View Full Record in Web of Science")</f>
        <v>View Full Record in Web of Science</v>
      </c>
    </row>
    <row r="845" spans="1:72" x14ac:dyDescent="0.15">
      <c r="A845" t="s">
        <v>72</v>
      </c>
      <c r="B845" t="s">
        <v>16014</v>
      </c>
      <c r="C845" t="s">
        <v>74</v>
      </c>
      <c r="D845" t="s">
        <v>74</v>
      </c>
      <c r="E845" t="s">
        <v>74</v>
      </c>
      <c r="F845" t="s">
        <v>16015</v>
      </c>
      <c r="G845" t="s">
        <v>74</v>
      </c>
      <c r="H845" t="s">
        <v>74</v>
      </c>
      <c r="I845" t="s">
        <v>16016</v>
      </c>
      <c r="J845" t="s">
        <v>9266</v>
      </c>
      <c r="K845" t="s">
        <v>74</v>
      </c>
      <c r="L845" t="s">
        <v>74</v>
      </c>
      <c r="M845" t="s">
        <v>78</v>
      </c>
      <c r="N845" t="s">
        <v>79</v>
      </c>
      <c r="O845" t="s">
        <v>74</v>
      </c>
      <c r="P845" t="s">
        <v>74</v>
      </c>
      <c r="Q845" t="s">
        <v>74</v>
      </c>
      <c r="R845" t="s">
        <v>74</v>
      </c>
      <c r="S845" t="s">
        <v>74</v>
      </c>
      <c r="T845" t="s">
        <v>74</v>
      </c>
      <c r="U845" t="s">
        <v>16017</v>
      </c>
      <c r="V845" t="s">
        <v>16018</v>
      </c>
      <c r="W845" t="s">
        <v>16019</v>
      </c>
      <c r="X845" t="s">
        <v>16020</v>
      </c>
      <c r="Y845" t="s">
        <v>16021</v>
      </c>
      <c r="Z845" t="s">
        <v>16022</v>
      </c>
      <c r="AA845" t="s">
        <v>16023</v>
      </c>
      <c r="AB845" t="s">
        <v>16024</v>
      </c>
      <c r="AC845" t="s">
        <v>16025</v>
      </c>
      <c r="AD845" t="s">
        <v>16026</v>
      </c>
      <c r="AE845" t="s">
        <v>16027</v>
      </c>
      <c r="AF845" t="s">
        <v>74</v>
      </c>
      <c r="AG845">
        <v>58</v>
      </c>
      <c r="AH845">
        <v>1</v>
      </c>
      <c r="AI845">
        <v>1</v>
      </c>
      <c r="AJ845">
        <v>39</v>
      </c>
      <c r="AK845">
        <v>42</v>
      </c>
      <c r="AL845" t="s">
        <v>1101</v>
      </c>
      <c r="AM845" t="s">
        <v>1102</v>
      </c>
      <c r="AN845" t="s">
        <v>1103</v>
      </c>
      <c r="AO845" t="s">
        <v>9278</v>
      </c>
      <c r="AP845" t="s">
        <v>9279</v>
      </c>
      <c r="AQ845" t="s">
        <v>74</v>
      </c>
      <c r="AR845" t="s">
        <v>9280</v>
      </c>
      <c r="AS845" t="s">
        <v>9281</v>
      </c>
      <c r="AT845" t="s">
        <v>1947</v>
      </c>
      <c r="AU845">
        <v>2023</v>
      </c>
      <c r="AV845">
        <v>25</v>
      </c>
      <c r="AW845">
        <v>12</v>
      </c>
      <c r="AX845" t="s">
        <v>74</v>
      </c>
      <c r="AY845" t="s">
        <v>74</v>
      </c>
      <c r="AZ845" t="s">
        <v>74</v>
      </c>
      <c r="BA845" t="s">
        <v>74</v>
      </c>
      <c r="BB845">
        <v>2822</v>
      </c>
      <c r="BC845">
        <v>2833</v>
      </c>
      <c r="BD845" t="s">
        <v>74</v>
      </c>
      <c r="BE845" t="s">
        <v>16028</v>
      </c>
      <c r="BF845" t="str">
        <f>HYPERLINK("http://dx.doi.org/10.1111/1462-2920.16516","http://dx.doi.org/10.1111/1462-2920.16516")</f>
        <v>http://dx.doi.org/10.1111/1462-2920.16516</v>
      </c>
      <c r="BG845" t="s">
        <v>74</v>
      </c>
      <c r="BH845" t="s">
        <v>15880</v>
      </c>
      <c r="BI845">
        <v>12</v>
      </c>
      <c r="BJ845" t="s">
        <v>1084</v>
      </c>
      <c r="BK845" t="s">
        <v>100</v>
      </c>
      <c r="BL845" t="s">
        <v>1084</v>
      </c>
      <c r="BM845" t="s">
        <v>16029</v>
      </c>
      <c r="BN845">
        <v>37775503</v>
      </c>
      <c r="BO845" t="s">
        <v>1794</v>
      </c>
      <c r="BP845" t="s">
        <v>74</v>
      </c>
      <c r="BQ845" t="s">
        <v>74</v>
      </c>
      <c r="BR845" t="s">
        <v>104</v>
      </c>
      <c r="BS845" t="s">
        <v>16030</v>
      </c>
      <c r="BT845" t="str">
        <f>HYPERLINK("https%3A%2F%2Fwww.webofscience.com%2Fwos%2Fwoscc%2Ffull-record%2FWOS:001073146200001","View Full Record in Web of Science")</f>
        <v>View Full Record in Web of Science</v>
      </c>
    </row>
    <row r="846" spans="1:72" x14ac:dyDescent="0.15">
      <c r="A846" t="s">
        <v>72</v>
      </c>
      <c r="B846" t="s">
        <v>16031</v>
      </c>
      <c r="C846" t="s">
        <v>74</v>
      </c>
      <c r="D846" t="s">
        <v>74</v>
      </c>
      <c r="E846" t="s">
        <v>74</v>
      </c>
      <c r="F846" t="s">
        <v>16032</v>
      </c>
      <c r="G846" t="s">
        <v>74</v>
      </c>
      <c r="H846" t="s">
        <v>74</v>
      </c>
      <c r="I846" t="s">
        <v>16033</v>
      </c>
      <c r="J846" t="s">
        <v>16034</v>
      </c>
      <c r="K846" t="s">
        <v>74</v>
      </c>
      <c r="L846" t="s">
        <v>74</v>
      </c>
      <c r="M846" t="s">
        <v>78</v>
      </c>
      <c r="N846" t="s">
        <v>79</v>
      </c>
      <c r="O846" t="s">
        <v>74</v>
      </c>
      <c r="P846" t="s">
        <v>74</v>
      </c>
      <c r="Q846" t="s">
        <v>74</v>
      </c>
      <c r="R846" t="s">
        <v>74</v>
      </c>
      <c r="S846" t="s">
        <v>74</v>
      </c>
      <c r="T846" t="s">
        <v>16035</v>
      </c>
      <c r="U846" t="s">
        <v>16036</v>
      </c>
      <c r="V846" t="s">
        <v>16037</v>
      </c>
      <c r="W846" t="s">
        <v>16038</v>
      </c>
      <c r="X846" t="s">
        <v>16039</v>
      </c>
      <c r="Y846" t="s">
        <v>16040</v>
      </c>
      <c r="Z846" t="s">
        <v>16041</v>
      </c>
      <c r="AA846" t="s">
        <v>16042</v>
      </c>
      <c r="AB846" t="s">
        <v>16043</v>
      </c>
      <c r="AC846" t="s">
        <v>16044</v>
      </c>
      <c r="AD846" t="s">
        <v>16045</v>
      </c>
      <c r="AE846" t="s">
        <v>16046</v>
      </c>
      <c r="AF846" t="s">
        <v>74</v>
      </c>
      <c r="AG846">
        <v>61</v>
      </c>
      <c r="AH846">
        <v>0</v>
      </c>
      <c r="AI846">
        <v>0</v>
      </c>
      <c r="AJ846">
        <v>0</v>
      </c>
      <c r="AK846">
        <v>0</v>
      </c>
      <c r="AL846" t="s">
        <v>975</v>
      </c>
      <c r="AM846" t="s">
        <v>976</v>
      </c>
      <c r="AN846" t="s">
        <v>977</v>
      </c>
      <c r="AO846" t="s">
        <v>16047</v>
      </c>
      <c r="AP846" t="s">
        <v>16048</v>
      </c>
      <c r="AQ846" t="s">
        <v>74</v>
      </c>
      <c r="AR846" t="s">
        <v>16049</v>
      </c>
      <c r="AS846" t="s">
        <v>16050</v>
      </c>
      <c r="AT846" t="s">
        <v>4525</v>
      </c>
      <c r="AU846">
        <v>2023</v>
      </c>
      <c r="AV846">
        <v>131</v>
      </c>
      <c r="AW846" t="s">
        <v>74</v>
      </c>
      <c r="AX846" t="s">
        <v>74</v>
      </c>
      <c r="AY846" t="s">
        <v>74</v>
      </c>
      <c r="AZ846" t="s">
        <v>74</v>
      </c>
      <c r="BA846" t="s">
        <v>74</v>
      </c>
      <c r="BB846" t="s">
        <v>74</v>
      </c>
      <c r="BC846" t="s">
        <v>74</v>
      </c>
      <c r="BD846">
        <v>104626</v>
      </c>
      <c r="BE846" t="s">
        <v>16051</v>
      </c>
      <c r="BF846" t="str">
        <f>HYPERLINK("http://dx.doi.org/10.1016/j.jsames.2023.104626","http://dx.doi.org/10.1016/j.jsames.2023.104626")</f>
        <v>http://dx.doi.org/10.1016/j.jsames.2023.104626</v>
      </c>
      <c r="BG846" t="s">
        <v>74</v>
      </c>
      <c r="BH846" t="s">
        <v>15880</v>
      </c>
      <c r="BI846">
        <v>12</v>
      </c>
      <c r="BJ846" t="s">
        <v>535</v>
      </c>
      <c r="BK846" t="s">
        <v>100</v>
      </c>
      <c r="BL846" t="s">
        <v>536</v>
      </c>
      <c r="BM846" t="s">
        <v>16052</v>
      </c>
      <c r="BN846" t="s">
        <v>74</v>
      </c>
      <c r="BO846" t="s">
        <v>74</v>
      </c>
      <c r="BP846" t="s">
        <v>74</v>
      </c>
      <c r="BQ846" t="s">
        <v>74</v>
      </c>
      <c r="BR846" t="s">
        <v>104</v>
      </c>
      <c r="BS846" t="s">
        <v>16053</v>
      </c>
      <c r="BT846" t="str">
        <f>HYPERLINK("https%3A%2F%2Fwww.webofscience.com%2Fwos%2Fwoscc%2Ffull-record%2FWOS:001087132000001","View Full Record in Web of Science")</f>
        <v>View Full Record in Web of Science</v>
      </c>
    </row>
    <row r="847" spans="1:72" x14ac:dyDescent="0.15">
      <c r="A847" t="s">
        <v>72</v>
      </c>
      <c r="B847" t="s">
        <v>16054</v>
      </c>
      <c r="C847" t="s">
        <v>74</v>
      </c>
      <c r="D847" t="s">
        <v>74</v>
      </c>
      <c r="E847" t="s">
        <v>74</v>
      </c>
      <c r="F847" t="s">
        <v>16055</v>
      </c>
      <c r="G847" t="s">
        <v>74</v>
      </c>
      <c r="H847" t="s">
        <v>74</v>
      </c>
      <c r="I847" t="s">
        <v>16056</v>
      </c>
      <c r="J847" t="s">
        <v>1195</v>
      </c>
      <c r="K847" t="s">
        <v>74</v>
      </c>
      <c r="L847" t="s">
        <v>74</v>
      </c>
      <c r="M847" t="s">
        <v>78</v>
      </c>
      <c r="N847" t="s">
        <v>79</v>
      </c>
      <c r="O847" t="s">
        <v>74</v>
      </c>
      <c r="P847" t="s">
        <v>74</v>
      </c>
      <c r="Q847" t="s">
        <v>74</v>
      </c>
      <c r="R847" t="s">
        <v>74</v>
      </c>
      <c r="S847" t="s">
        <v>74</v>
      </c>
      <c r="T847" t="s">
        <v>16057</v>
      </c>
      <c r="U847" t="s">
        <v>16058</v>
      </c>
      <c r="V847" t="s">
        <v>16059</v>
      </c>
      <c r="W847" t="s">
        <v>16060</v>
      </c>
      <c r="X847" t="s">
        <v>16061</v>
      </c>
      <c r="Y847" t="s">
        <v>16062</v>
      </c>
      <c r="Z847" t="s">
        <v>16063</v>
      </c>
      <c r="AA847" t="s">
        <v>74</v>
      </c>
      <c r="AB847" t="s">
        <v>13876</v>
      </c>
      <c r="AC847" t="s">
        <v>16064</v>
      </c>
      <c r="AD847" t="s">
        <v>16065</v>
      </c>
      <c r="AE847" t="s">
        <v>16066</v>
      </c>
      <c r="AF847" t="s">
        <v>74</v>
      </c>
      <c r="AG847">
        <v>35</v>
      </c>
      <c r="AH847">
        <v>0</v>
      </c>
      <c r="AI847">
        <v>0</v>
      </c>
      <c r="AJ847">
        <v>3</v>
      </c>
      <c r="AK847">
        <v>3</v>
      </c>
      <c r="AL847" t="s">
        <v>1208</v>
      </c>
      <c r="AM847" t="s">
        <v>1209</v>
      </c>
      <c r="AN847" t="s">
        <v>1210</v>
      </c>
      <c r="AO847" t="s">
        <v>1211</v>
      </c>
      <c r="AP847" t="s">
        <v>1212</v>
      </c>
      <c r="AQ847" t="s">
        <v>74</v>
      </c>
      <c r="AR847" t="s">
        <v>1213</v>
      </c>
      <c r="AS847" t="s">
        <v>1214</v>
      </c>
      <c r="AT847" t="s">
        <v>16067</v>
      </c>
      <c r="AU847">
        <v>2023</v>
      </c>
      <c r="AV847">
        <v>50</v>
      </c>
      <c r="AW847">
        <v>18</v>
      </c>
      <c r="AX847" t="s">
        <v>74</v>
      </c>
      <c r="AY847" t="s">
        <v>74</v>
      </c>
      <c r="AZ847" t="s">
        <v>74</v>
      </c>
      <c r="BA847" t="s">
        <v>74</v>
      </c>
      <c r="BB847" t="s">
        <v>74</v>
      </c>
      <c r="BC847" t="s">
        <v>74</v>
      </c>
      <c r="BD847" t="s">
        <v>16068</v>
      </c>
      <c r="BE847" t="s">
        <v>16069</v>
      </c>
      <c r="BF847" t="str">
        <f>HYPERLINK("http://dx.doi.org/10.1029/2023GL104028","http://dx.doi.org/10.1029/2023GL104028")</f>
        <v>http://dx.doi.org/10.1029/2023GL104028</v>
      </c>
      <c r="BG847" t="s">
        <v>74</v>
      </c>
      <c r="BH847" t="s">
        <v>74</v>
      </c>
      <c r="BI847">
        <v>10</v>
      </c>
      <c r="BJ847" t="s">
        <v>535</v>
      </c>
      <c r="BK847" t="s">
        <v>100</v>
      </c>
      <c r="BL847" t="s">
        <v>536</v>
      </c>
      <c r="BM847" t="s">
        <v>16070</v>
      </c>
      <c r="BN847" t="s">
        <v>74</v>
      </c>
      <c r="BO847" t="s">
        <v>2910</v>
      </c>
      <c r="BP847" t="s">
        <v>74</v>
      </c>
      <c r="BQ847" t="s">
        <v>74</v>
      </c>
      <c r="BR847" t="s">
        <v>104</v>
      </c>
      <c r="BS847" t="s">
        <v>16071</v>
      </c>
      <c r="BT847" t="str">
        <f>HYPERLINK("https%3A%2F%2Fwww.webofscience.com%2Fwos%2Fwoscc%2Ffull-record%2FWOS:001069842300001","View Full Record in Web of Science")</f>
        <v>View Full Record in Web of Science</v>
      </c>
    </row>
    <row r="848" spans="1:72" x14ac:dyDescent="0.15">
      <c r="A848" t="s">
        <v>72</v>
      </c>
      <c r="B848" t="s">
        <v>16072</v>
      </c>
      <c r="C848" t="s">
        <v>74</v>
      </c>
      <c r="D848" t="s">
        <v>74</v>
      </c>
      <c r="E848" t="s">
        <v>74</v>
      </c>
      <c r="F848" t="s">
        <v>16073</v>
      </c>
      <c r="G848" t="s">
        <v>74</v>
      </c>
      <c r="H848" t="s">
        <v>74</v>
      </c>
      <c r="I848" t="s">
        <v>16074</v>
      </c>
      <c r="J848" t="s">
        <v>2915</v>
      </c>
      <c r="K848" t="s">
        <v>74</v>
      </c>
      <c r="L848" t="s">
        <v>74</v>
      </c>
      <c r="M848" t="s">
        <v>78</v>
      </c>
      <c r="N848" t="s">
        <v>1547</v>
      </c>
      <c r="O848" t="s">
        <v>74</v>
      </c>
      <c r="P848" t="s">
        <v>74</v>
      </c>
      <c r="Q848" t="s">
        <v>74</v>
      </c>
      <c r="R848" t="s">
        <v>74</v>
      </c>
      <c r="S848" t="s">
        <v>74</v>
      </c>
      <c r="T848" t="s">
        <v>16075</v>
      </c>
      <c r="U848" t="s">
        <v>16076</v>
      </c>
      <c r="V848" t="s">
        <v>16077</v>
      </c>
      <c r="W848" t="s">
        <v>16078</v>
      </c>
      <c r="X848" t="s">
        <v>16079</v>
      </c>
      <c r="Y848" t="s">
        <v>16080</v>
      </c>
      <c r="Z848" t="s">
        <v>16081</v>
      </c>
      <c r="AA848" t="s">
        <v>16082</v>
      </c>
      <c r="AB848" t="s">
        <v>16083</v>
      </c>
      <c r="AC848" t="s">
        <v>16084</v>
      </c>
      <c r="AD848" t="s">
        <v>16085</v>
      </c>
      <c r="AE848" t="s">
        <v>16086</v>
      </c>
      <c r="AF848" t="s">
        <v>74</v>
      </c>
      <c r="AG848">
        <v>50</v>
      </c>
      <c r="AH848">
        <v>0</v>
      </c>
      <c r="AI848">
        <v>0</v>
      </c>
      <c r="AJ848">
        <v>1</v>
      </c>
      <c r="AK848">
        <v>1</v>
      </c>
      <c r="AL848" t="s">
        <v>1782</v>
      </c>
      <c r="AM848" t="s">
        <v>1783</v>
      </c>
      <c r="AN848" t="s">
        <v>1784</v>
      </c>
      <c r="AO848" t="s">
        <v>2928</v>
      </c>
      <c r="AP848" t="s">
        <v>2929</v>
      </c>
      <c r="AQ848" t="s">
        <v>74</v>
      </c>
      <c r="AR848" t="s">
        <v>2930</v>
      </c>
      <c r="AS848" t="s">
        <v>2931</v>
      </c>
      <c r="AT848" t="s">
        <v>16087</v>
      </c>
      <c r="AU848">
        <v>2023</v>
      </c>
      <c r="AV848" t="s">
        <v>74</v>
      </c>
      <c r="AW848" t="s">
        <v>74</v>
      </c>
      <c r="AX848" t="s">
        <v>74</v>
      </c>
      <c r="AY848" t="s">
        <v>74</v>
      </c>
      <c r="AZ848" t="s">
        <v>74</v>
      </c>
      <c r="BA848" t="s">
        <v>74</v>
      </c>
      <c r="BB848" t="s">
        <v>74</v>
      </c>
      <c r="BC848" t="s">
        <v>74</v>
      </c>
      <c r="BD848" t="s">
        <v>74</v>
      </c>
      <c r="BE848" t="s">
        <v>16088</v>
      </c>
      <c r="BF848" t="str">
        <f>HYPERLINK("http://dx.doi.org/10.1017/jog.2023.75","http://dx.doi.org/10.1017/jog.2023.75")</f>
        <v>http://dx.doi.org/10.1017/jog.2023.75</v>
      </c>
      <c r="BG848" t="s">
        <v>74</v>
      </c>
      <c r="BH848" t="s">
        <v>15880</v>
      </c>
      <c r="BI848">
        <v>12</v>
      </c>
      <c r="BJ848" t="s">
        <v>984</v>
      </c>
      <c r="BK848" t="s">
        <v>100</v>
      </c>
      <c r="BL848" t="s">
        <v>985</v>
      </c>
      <c r="BM848" t="s">
        <v>16089</v>
      </c>
      <c r="BN848" t="s">
        <v>74</v>
      </c>
      <c r="BO848" t="s">
        <v>131</v>
      </c>
      <c r="BP848" t="s">
        <v>74</v>
      </c>
      <c r="BQ848" t="s">
        <v>74</v>
      </c>
      <c r="BR848" t="s">
        <v>104</v>
      </c>
      <c r="BS848" t="s">
        <v>16090</v>
      </c>
      <c r="BT848" t="str">
        <f>HYPERLINK("https%3A%2F%2Fwww.webofscience.com%2Fwos%2Fwoscc%2Ffull-record%2FWOS:001071839600001","View Full Record in Web of Science")</f>
        <v>View Full Record in Web of Science</v>
      </c>
    </row>
    <row r="849" spans="1:72" x14ac:dyDescent="0.15">
      <c r="A849" t="s">
        <v>72</v>
      </c>
      <c r="B849" t="s">
        <v>16091</v>
      </c>
      <c r="C849" t="s">
        <v>74</v>
      </c>
      <c r="D849" t="s">
        <v>74</v>
      </c>
      <c r="E849" t="s">
        <v>74</v>
      </c>
      <c r="F849" t="s">
        <v>16092</v>
      </c>
      <c r="G849" t="s">
        <v>74</v>
      </c>
      <c r="H849" t="s">
        <v>74</v>
      </c>
      <c r="I849" t="s">
        <v>16093</v>
      </c>
      <c r="J849" t="s">
        <v>16094</v>
      </c>
      <c r="K849" t="s">
        <v>74</v>
      </c>
      <c r="L849" t="s">
        <v>74</v>
      </c>
      <c r="M849" t="s">
        <v>78</v>
      </c>
      <c r="N849" t="s">
        <v>441</v>
      </c>
      <c r="O849" t="s">
        <v>74</v>
      </c>
      <c r="P849" t="s">
        <v>74</v>
      </c>
      <c r="Q849" t="s">
        <v>74</v>
      </c>
      <c r="R849" t="s">
        <v>74</v>
      </c>
      <c r="S849" t="s">
        <v>74</v>
      </c>
      <c r="T849" t="s">
        <v>16095</v>
      </c>
      <c r="U849" t="s">
        <v>16096</v>
      </c>
      <c r="V849" t="s">
        <v>16097</v>
      </c>
      <c r="W849" t="s">
        <v>16098</v>
      </c>
      <c r="X849" t="s">
        <v>16099</v>
      </c>
      <c r="Y849" t="s">
        <v>16100</v>
      </c>
      <c r="Z849" t="s">
        <v>16101</v>
      </c>
      <c r="AA849" t="s">
        <v>16102</v>
      </c>
      <c r="AB849" t="s">
        <v>16103</v>
      </c>
      <c r="AC849" t="s">
        <v>16104</v>
      </c>
      <c r="AD849" t="s">
        <v>16105</v>
      </c>
      <c r="AE849" t="s">
        <v>16106</v>
      </c>
      <c r="AF849" t="s">
        <v>74</v>
      </c>
      <c r="AG849">
        <v>112</v>
      </c>
      <c r="AH849">
        <v>0</v>
      </c>
      <c r="AI849">
        <v>0</v>
      </c>
      <c r="AJ849">
        <v>8</v>
      </c>
      <c r="AK849">
        <v>8</v>
      </c>
      <c r="AL849" t="s">
        <v>119</v>
      </c>
      <c r="AM849" t="s">
        <v>120</v>
      </c>
      <c r="AN849" t="s">
        <v>121</v>
      </c>
      <c r="AO849" t="s">
        <v>16107</v>
      </c>
      <c r="AP849" t="s">
        <v>16108</v>
      </c>
      <c r="AQ849" t="s">
        <v>74</v>
      </c>
      <c r="AR849" t="s">
        <v>16109</v>
      </c>
      <c r="AS849" t="s">
        <v>16110</v>
      </c>
      <c r="AT849" t="s">
        <v>11936</v>
      </c>
      <c r="AU849">
        <v>2023</v>
      </c>
      <c r="AV849">
        <v>45</v>
      </c>
      <c r="AW849">
        <v>3</v>
      </c>
      <c r="AX849" t="s">
        <v>74</v>
      </c>
      <c r="AY849" t="s">
        <v>74</v>
      </c>
      <c r="AZ849" t="s">
        <v>74</v>
      </c>
      <c r="BA849" t="s">
        <v>74</v>
      </c>
      <c r="BB849">
        <v>155</v>
      </c>
      <c r="BC849">
        <v>163</v>
      </c>
      <c r="BD849" t="s">
        <v>74</v>
      </c>
      <c r="BE849" t="s">
        <v>16111</v>
      </c>
      <c r="BF849" t="str">
        <f>HYPERLINK("http://dx.doi.org/10.2989/1814232X.2023.2239871","http://dx.doi.org/10.2989/1814232X.2023.2239871")</f>
        <v>http://dx.doi.org/10.2989/1814232X.2023.2239871</v>
      </c>
      <c r="BG849" t="s">
        <v>74</v>
      </c>
      <c r="BH849" t="s">
        <v>15880</v>
      </c>
      <c r="BI849">
        <v>9</v>
      </c>
      <c r="BJ849" t="s">
        <v>6874</v>
      </c>
      <c r="BK849" t="s">
        <v>100</v>
      </c>
      <c r="BL849" t="s">
        <v>6874</v>
      </c>
      <c r="BM849" t="s">
        <v>16112</v>
      </c>
      <c r="BN849" t="s">
        <v>74</v>
      </c>
      <c r="BO849" t="s">
        <v>74</v>
      </c>
      <c r="BP849" t="s">
        <v>74</v>
      </c>
      <c r="BQ849" t="s">
        <v>74</v>
      </c>
      <c r="BR849" t="s">
        <v>104</v>
      </c>
      <c r="BS849" t="s">
        <v>16113</v>
      </c>
      <c r="BT849" t="str">
        <f>HYPERLINK("https%3A%2F%2Fwww.webofscience.com%2Fwos%2Fwoscc%2Ffull-record%2FWOS:001073861700001","View Full Record in Web of Science")</f>
        <v>View Full Record in Web of Science</v>
      </c>
    </row>
    <row r="850" spans="1:72" x14ac:dyDescent="0.15">
      <c r="A850" t="s">
        <v>72</v>
      </c>
      <c r="B850" t="s">
        <v>16114</v>
      </c>
      <c r="C850" t="s">
        <v>74</v>
      </c>
      <c r="D850" t="s">
        <v>74</v>
      </c>
      <c r="E850" t="s">
        <v>74</v>
      </c>
      <c r="F850" t="s">
        <v>16115</v>
      </c>
      <c r="G850" t="s">
        <v>74</v>
      </c>
      <c r="H850" t="s">
        <v>74</v>
      </c>
      <c r="I850" t="s">
        <v>16116</v>
      </c>
      <c r="J850" t="s">
        <v>16117</v>
      </c>
      <c r="K850" t="s">
        <v>74</v>
      </c>
      <c r="L850" t="s">
        <v>74</v>
      </c>
      <c r="M850" t="s">
        <v>78</v>
      </c>
      <c r="N850" t="s">
        <v>79</v>
      </c>
      <c r="O850" t="s">
        <v>74</v>
      </c>
      <c r="P850" t="s">
        <v>74</v>
      </c>
      <c r="Q850" t="s">
        <v>74</v>
      </c>
      <c r="R850" t="s">
        <v>74</v>
      </c>
      <c r="S850" t="s">
        <v>74</v>
      </c>
      <c r="T850" t="s">
        <v>16118</v>
      </c>
      <c r="U850" t="s">
        <v>16119</v>
      </c>
      <c r="V850" t="s">
        <v>16120</v>
      </c>
      <c r="W850" t="s">
        <v>16121</v>
      </c>
      <c r="X850" t="s">
        <v>12072</v>
      </c>
      <c r="Y850" t="s">
        <v>16122</v>
      </c>
      <c r="Z850" t="s">
        <v>16123</v>
      </c>
      <c r="AA850" t="s">
        <v>74</v>
      </c>
      <c r="AB850" t="s">
        <v>16124</v>
      </c>
      <c r="AC850" t="s">
        <v>16125</v>
      </c>
      <c r="AD850" t="s">
        <v>16125</v>
      </c>
      <c r="AE850" t="s">
        <v>16126</v>
      </c>
      <c r="AF850" t="s">
        <v>74</v>
      </c>
      <c r="AG850">
        <v>48</v>
      </c>
      <c r="AH850">
        <v>0</v>
      </c>
      <c r="AI850">
        <v>0</v>
      </c>
      <c r="AJ850">
        <v>2</v>
      </c>
      <c r="AK850">
        <v>2</v>
      </c>
      <c r="AL850" t="s">
        <v>1101</v>
      </c>
      <c r="AM850" t="s">
        <v>1102</v>
      </c>
      <c r="AN850" t="s">
        <v>1103</v>
      </c>
      <c r="AO850" t="s">
        <v>16127</v>
      </c>
      <c r="AP850" t="s">
        <v>16128</v>
      </c>
      <c r="AQ850" t="s">
        <v>74</v>
      </c>
      <c r="AR850" t="s">
        <v>16129</v>
      </c>
      <c r="AS850" t="s">
        <v>16130</v>
      </c>
      <c r="AT850" t="s">
        <v>1133</v>
      </c>
      <c r="AU850">
        <v>2024</v>
      </c>
      <c r="AV850">
        <v>72</v>
      </c>
      <c r="AW850">
        <v>2</v>
      </c>
      <c r="AX850" t="s">
        <v>74</v>
      </c>
      <c r="AY850" t="s">
        <v>74</v>
      </c>
      <c r="AZ850" t="s">
        <v>74</v>
      </c>
      <c r="BA850" t="s">
        <v>74</v>
      </c>
      <c r="BB850">
        <v>685</v>
      </c>
      <c r="BC850">
        <v>704</v>
      </c>
      <c r="BD850" t="s">
        <v>74</v>
      </c>
      <c r="BE850" t="s">
        <v>16131</v>
      </c>
      <c r="BF850" t="str">
        <f>HYPERLINK("http://dx.doi.org/10.1111/1365-2478.13425","http://dx.doi.org/10.1111/1365-2478.13425")</f>
        <v>http://dx.doi.org/10.1111/1365-2478.13425</v>
      </c>
      <c r="BG850" t="s">
        <v>74</v>
      </c>
      <c r="BH850" t="s">
        <v>15880</v>
      </c>
      <c r="BI850">
        <v>20</v>
      </c>
      <c r="BJ850" t="s">
        <v>4252</v>
      </c>
      <c r="BK850" t="s">
        <v>100</v>
      </c>
      <c r="BL850" t="s">
        <v>4252</v>
      </c>
      <c r="BM850" t="s">
        <v>16132</v>
      </c>
      <c r="BN850" t="s">
        <v>74</v>
      </c>
      <c r="BO850" t="s">
        <v>103</v>
      </c>
      <c r="BP850" t="s">
        <v>74</v>
      </c>
      <c r="BQ850" t="s">
        <v>74</v>
      </c>
      <c r="BR850" t="s">
        <v>104</v>
      </c>
      <c r="BS850" t="s">
        <v>16133</v>
      </c>
      <c r="BT850" t="str">
        <f>HYPERLINK("https%3A%2F%2Fwww.webofscience.com%2Fwos%2Fwoscc%2Ffull-record%2FWOS:001072675600001","View Full Record in Web of Science")</f>
        <v>View Full Record in Web of Science</v>
      </c>
    </row>
    <row r="851" spans="1:72" x14ac:dyDescent="0.15">
      <c r="A851" t="s">
        <v>72</v>
      </c>
      <c r="B851" t="s">
        <v>16134</v>
      </c>
      <c r="C851" t="s">
        <v>74</v>
      </c>
      <c r="D851" t="s">
        <v>74</v>
      </c>
      <c r="E851" t="s">
        <v>74</v>
      </c>
      <c r="F851" t="s">
        <v>16135</v>
      </c>
      <c r="G851" t="s">
        <v>74</v>
      </c>
      <c r="H851" t="s">
        <v>74</v>
      </c>
      <c r="I851" t="s">
        <v>16136</v>
      </c>
      <c r="J851" t="s">
        <v>1195</v>
      </c>
      <c r="K851" t="s">
        <v>74</v>
      </c>
      <c r="L851" t="s">
        <v>74</v>
      </c>
      <c r="M851" t="s">
        <v>78</v>
      </c>
      <c r="N851" t="s">
        <v>79</v>
      </c>
      <c r="O851" t="s">
        <v>74</v>
      </c>
      <c r="P851" t="s">
        <v>74</v>
      </c>
      <c r="Q851" t="s">
        <v>74</v>
      </c>
      <c r="R851" t="s">
        <v>74</v>
      </c>
      <c r="S851" t="s">
        <v>74</v>
      </c>
      <c r="T851" t="s">
        <v>74</v>
      </c>
      <c r="U851" t="s">
        <v>16137</v>
      </c>
      <c r="V851" t="s">
        <v>16138</v>
      </c>
      <c r="W851" t="s">
        <v>16139</v>
      </c>
      <c r="X851" t="s">
        <v>16140</v>
      </c>
      <c r="Y851" t="s">
        <v>16141</v>
      </c>
      <c r="Z851" t="s">
        <v>16142</v>
      </c>
      <c r="AA851" t="s">
        <v>16143</v>
      </c>
      <c r="AB851" t="s">
        <v>16144</v>
      </c>
      <c r="AC851" t="s">
        <v>16145</v>
      </c>
      <c r="AD851" t="s">
        <v>16146</v>
      </c>
      <c r="AE851" t="s">
        <v>16147</v>
      </c>
      <c r="AF851" t="s">
        <v>74</v>
      </c>
      <c r="AG851">
        <v>78</v>
      </c>
      <c r="AH851">
        <v>0</v>
      </c>
      <c r="AI851">
        <v>0</v>
      </c>
      <c r="AJ851">
        <v>8</v>
      </c>
      <c r="AK851">
        <v>8</v>
      </c>
      <c r="AL851" t="s">
        <v>1208</v>
      </c>
      <c r="AM851" t="s">
        <v>1209</v>
      </c>
      <c r="AN851" t="s">
        <v>1210</v>
      </c>
      <c r="AO851" t="s">
        <v>1211</v>
      </c>
      <c r="AP851" t="s">
        <v>1212</v>
      </c>
      <c r="AQ851" t="s">
        <v>74</v>
      </c>
      <c r="AR851" t="s">
        <v>1213</v>
      </c>
      <c r="AS851" t="s">
        <v>1214</v>
      </c>
      <c r="AT851" t="s">
        <v>16067</v>
      </c>
      <c r="AU851">
        <v>2023</v>
      </c>
      <c r="AV851">
        <v>50</v>
      </c>
      <c r="AW851">
        <v>18</v>
      </c>
      <c r="AX851" t="s">
        <v>74</v>
      </c>
      <c r="AY851" t="s">
        <v>74</v>
      </c>
      <c r="AZ851" t="s">
        <v>74</v>
      </c>
      <c r="BA851" t="s">
        <v>74</v>
      </c>
      <c r="BB851" t="s">
        <v>74</v>
      </c>
      <c r="BC851" t="s">
        <v>74</v>
      </c>
      <c r="BD851" t="s">
        <v>16148</v>
      </c>
      <c r="BE851" t="s">
        <v>16149</v>
      </c>
      <c r="BF851" t="str">
        <f>HYPERLINK("http://dx.doi.org/10.1029/2023GL104369","http://dx.doi.org/10.1029/2023GL104369")</f>
        <v>http://dx.doi.org/10.1029/2023GL104369</v>
      </c>
      <c r="BG851" t="s">
        <v>74</v>
      </c>
      <c r="BH851" t="s">
        <v>74</v>
      </c>
      <c r="BI851">
        <v>11</v>
      </c>
      <c r="BJ851" t="s">
        <v>535</v>
      </c>
      <c r="BK851" t="s">
        <v>100</v>
      </c>
      <c r="BL851" t="s">
        <v>536</v>
      </c>
      <c r="BM851" t="s">
        <v>16150</v>
      </c>
      <c r="BN851" t="s">
        <v>74</v>
      </c>
      <c r="BO851" t="s">
        <v>103</v>
      </c>
      <c r="BP851" t="s">
        <v>74</v>
      </c>
      <c r="BQ851" t="s">
        <v>74</v>
      </c>
      <c r="BR851" t="s">
        <v>104</v>
      </c>
      <c r="BS851" t="s">
        <v>16151</v>
      </c>
      <c r="BT851" t="str">
        <f>HYPERLINK("https%3A%2F%2Fwww.webofscience.com%2Fwos%2Fwoscc%2Ffull-record%2FWOS:001065433500001","View Full Record in Web of Science")</f>
        <v>View Full Record in Web of Science</v>
      </c>
    </row>
    <row r="852" spans="1:72" x14ac:dyDescent="0.15">
      <c r="A852" t="s">
        <v>72</v>
      </c>
      <c r="B852" t="s">
        <v>16152</v>
      </c>
      <c r="C852" t="s">
        <v>74</v>
      </c>
      <c r="D852" t="s">
        <v>74</v>
      </c>
      <c r="E852" t="s">
        <v>74</v>
      </c>
      <c r="F852" t="s">
        <v>16153</v>
      </c>
      <c r="G852" t="s">
        <v>74</v>
      </c>
      <c r="H852" t="s">
        <v>74</v>
      </c>
      <c r="I852" t="s">
        <v>16154</v>
      </c>
      <c r="J852" t="s">
        <v>1195</v>
      </c>
      <c r="K852" t="s">
        <v>74</v>
      </c>
      <c r="L852" t="s">
        <v>74</v>
      </c>
      <c r="M852" t="s">
        <v>78</v>
      </c>
      <c r="N852" t="s">
        <v>79</v>
      </c>
      <c r="O852" t="s">
        <v>74</v>
      </c>
      <c r="P852" t="s">
        <v>74</v>
      </c>
      <c r="Q852" t="s">
        <v>74</v>
      </c>
      <c r="R852" t="s">
        <v>74</v>
      </c>
      <c r="S852" t="s">
        <v>74</v>
      </c>
      <c r="T852" t="s">
        <v>16155</v>
      </c>
      <c r="U852" t="s">
        <v>16156</v>
      </c>
      <c r="V852" t="s">
        <v>16157</v>
      </c>
      <c r="W852" t="s">
        <v>16158</v>
      </c>
      <c r="X852" t="s">
        <v>16159</v>
      </c>
      <c r="Y852" t="s">
        <v>16160</v>
      </c>
      <c r="Z852" t="s">
        <v>16161</v>
      </c>
      <c r="AA852" t="s">
        <v>74</v>
      </c>
      <c r="AB852" t="s">
        <v>16162</v>
      </c>
      <c r="AC852" t="s">
        <v>16163</v>
      </c>
      <c r="AD852" t="s">
        <v>16164</v>
      </c>
      <c r="AE852" t="s">
        <v>16165</v>
      </c>
      <c r="AF852" t="s">
        <v>74</v>
      </c>
      <c r="AG852">
        <v>50</v>
      </c>
      <c r="AH852">
        <v>1</v>
      </c>
      <c r="AI852">
        <v>1</v>
      </c>
      <c r="AJ852">
        <v>7</v>
      </c>
      <c r="AK852">
        <v>7</v>
      </c>
      <c r="AL852" t="s">
        <v>1208</v>
      </c>
      <c r="AM852" t="s">
        <v>1209</v>
      </c>
      <c r="AN852" t="s">
        <v>1210</v>
      </c>
      <c r="AO852" t="s">
        <v>1211</v>
      </c>
      <c r="AP852" t="s">
        <v>1212</v>
      </c>
      <c r="AQ852" t="s">
        <v>74</v>
      </c>
      <c r="AR852" t="s">
        <v>1213</v>
      </c>
      <c r="AS852" t="s">
        <v>1214</v>
      </c>
      <c r="AT852" t="s">
        <v>16067</v>
      </c>
      <c r="AU852">
        <v>2023</v>
      </c>
      <c r="AV852">
        <v>50</v>
      </c>
      <c r="AW852">
        <v>18</v>
      </c>
      <c r="AX852" t="s">
        <v>74</v>
      </c>
      <c r="AY852" t="s">
        <v>74</v>
      </c>
      <c r="AZ852" t="s">
        <v>74</v>
      </c>
      <c r="BA852" t="s">
        <v>74</v>
      </c>
      <c r="BB852" t="s">
        <v>74</v>
      </c>
      <c r="BC852" t="s">
        <v>74</v>
      </c>
      <c r="BD852" t="s">
        <v>16166</v>
      </c>
      <c r="BE852" t="s">
        <v>16167</v>
      </c>
      <c r="BF852" t="str">
        <f>HYPERLINK("http://dx.doi.org/10.1029/2023GL104436","http://dx.doi.org/10.1029/2023GL104436")</f>
        <v>http://dx.doi.org/10.1029/2023GL104436</v>
      </c>
      <c r="BG852" t="s">
        <v>74</v>
      </c>
      <c r="BH852" t="s">
        <v>74</v>
      </c>
      <c r="BI852">
        <v>9</v>
      </c>
      <c r="BJ852" t="s">
        <v>535</v>
      </c>
      <c r="BK852" t="s">
        <v>100</v>
      </c>
      <c r="BL852" t="s">
        <v>536</v>
      </c>
      <c r="BM852" t="s">
        <v>16168</v>
      </c>
      <c r="BN852" t="s">
        <v>74</v>
      </c>
      <c r="BO852" t="s">
        <v>103</v>
      </c>
      <c r="BP852" t="s">
        <v>74</v>
      </c>
      <c r="BQ852" t="s">
        <v>74</v>
      </c>
      <c r="BR852" t="s">
        <v>104</v>
      </c>
      <c r="BS852" t="s">
        <v>16169</v>
      </c>
      <c r="BT852" t="str">
        <f>HYPERLINK("https%3A%2F%2Fwww.webofscience.com%2Fwos%2Fwoscc%2Ffull-record%2FWOS:001064559800001","View Full Record in Web of Science")</f>
        <v>View Full Record in Web of Science</v>
      </c>
    </row>
    <row r="853" spans="1:72" x14ac:dyDescent="0.15">
      <c r="A853" t="s">
        <v>72</v>
      </c>
      <c r="B853" t="s">
        <v>16170</v>
      </c>
      <c r="C853" t="s">
        <v>74</v>
      </c>
      <c r="D853" t="s">
        <v>74</v>
      </c>
      <c r="E853" t="s">
        <v>74</v>
      </c>
      <c r="F853" t="s">
        <v>16171</v>
      </c>
      <c r="G853" t="s">
        <v>74</v>
      </c>
      <c r="H853" t="s">
        <v>74</v>
      </c>
      <c r="I853" t="s">
        <v>16172</v>
      </c>
      <c r="J853" t="s">
        <v>1195</v>
      </c>
      <c r="K853" t="s">
        <v>74</v>
      </c>
      <c r="L853" t="s">
        <v>74</v>
      </c>
      <c r="M853" t="s">
        <v>78</v>
      </c>
      <c r="N853" t="s">
        <v>79</v>
      </c>
      <c r="O853" t="s">
        <v>74</v>
      </c>
      <c r="P853" t="s">
        <v>74</v>
      </c>
      <c r="Q853" t="s">
        <v>74</v>
      </c>
      <c r="R853" t="s">
        <v>74</v>
      </c>
      <c r="S853" t="s">
        <v>74</v>
      </c>
      <c r="T853" t="s">
        <v>16173</v>
      </c>
      <c r="U853" t="s">
        <v>16174</v>
      </c>
      <c r="V853" t="s">
        <v>16175</v>
      </c>
      <c r="W853" t="s">
        <v>16176</v>
      </c>
      <c r="X853" t="s">
        <v>16177</v>
      </c>
      <c r="Y853" t="s">
        <v>16178</v>
      </c>
      <c r="Z853" t="s">
        <v>16179</v>
      </c>
      <c r="AA853" t="s">
        <v>16180</v>
      </c>
      <c r="AB853" t="s">
        <v>16181</v>
      </c>
      <c r="AC853" t="s">
        <v>16182</v>
      </c>
      <c r="AD853" t="s">
        <v>16183</v>
      </c>
      <c r="AE853" t="s">
        <v>16184</v>
      </c>
      <c r="AF853" t="s">
        <v>74</v>
      </c>
      <c r="AG853">
        <v>39</v>
      </c>
      <c r="AH853">
        <v>3</v>
      </c>
      <c r="AI853">
        <v>3</v>
      </c>
      <c r="AJ853">
        <v>7</v>
      </c>
      <c r="AK853">
        <v>9</v>
      </c>
      <c r="AL853" t="s">
        <v>1208</v>
      </c>
      <c r="AM853" t="s">
        <v>1209</v>
      </c>
      <c r="AN853" t="s">
        <v>1210</v>
      </c>
      <c r="AO853" t="s">
        <v>1211</v>
      </c>
      <c r="AP853" t="s">
        <v>1212</v>
      </c>
      <c r="AQ853" t="s">
        <v>74</v>
      </c>
      <c r="AR853" t="s">
        <v>1213</v>
      </c>
      <c r="AS853" t="s">
        <v>1214</v>
      </c>
      <c r="AT853" t="s">
        <v>16067</v>
      </c>
      <c r="AU853">
        <v>2023</v>
      </c>
      <c r="AV853">
        <v>50</v>
      </c>
      <c r="AW853">
        <v>18</v>
      </c>
      <c r="AX853" t="s">
        <v>74</v>
      </c>
      <c r="AY853" t="s">
        <v>74</v>
      </c>
      <c r="AZ853" t="s">
        <v>74</v>
      </c>
      <c r="BA853" t="s">
        <v>74</v>
      </c>
      <c r="BB853" t="s">
        <v>74</v>
      </c>
      <c r="BC853" t="s">
        <v>74</v>
      </c>
      <c r="BD853" t="s">
        <v>16185</v>
      </c>
      <c r="BE853" t="s">
        <v>16186</v>
      </c>
      <c r="BF853" t="str">
        <f>HYPERLINK("http://dx.doi.org/10.1029/2022GL102101","http://dx.doi.org/10.1029/2022GL102101")</f>
        <v>http://dx.doi.org/10.1029/2022GL102101</v>
      </c>
      <c r="BG853" t="s">
        <v>74</v>
      </c>
      <c r="BH853" t="s">
        <v>74</v>
      </c>
      <c r="BI853">
        <v>10</v>
      </c>
      <c r="BJ853" t="s">
        <v>535</v>
      </c>
      <c r="BK853" t="s">
        <v>100</v>
      </c>
      <c r="BL853" t="s">
        <v>536</v>
      </c>
      <c r="BM853" t="s">
        <v>16187</v>
      </c>
      <c r="BN853" t="s">
        <v>74</v>
      </c>
      <c r="BO853" t="s">
        <v>7315</v>
      </c>
      <c r="BP853" t="s">
        <v>74</v>
      </c>
      <c r="BQ853" t="s">
        <v>74</v>
      </c>
      <c r="BR853" t="s">
        <v>104</v>
      </c>
      <c r="BS853" t="s">
        <v>16188</v>
      </c>
      <c r="BT853" t="str">
        <f>HYPERLINK("https%3A%2F%2Fwww.webofscience.com%2Fwos%2Fwoscc%2Ffull-record%2FWOS:001064553700001","View Full Record in Web of Science")</f>
        <v>View Full Record in Web of Science</v>
      </c>
    </row>
    <row r="854" spans="1:72" x14ac:dyDescent="0.15">
      <c r="A854" t="s">
        <v>72</v>
      </c>
      <c r="B854" t="s">
        <v>16189</v>
      </c>
      <c r="C854" t="s">
        <v>74</v>
      </c>
      <c r="D854" t="s">
        <v>74</v>
      </c>
      <c r="E854" t="s">
        <v>74</v>
      </c>
      <c r="F854" t="s">
        <v>16190</v>
      </c>
      <c r="G854" t="s">
        <v>74</v>
      </c>
      <c r="H854" t="s">
        <v>74</v>
      </c>
      <c r="I854" t="s">
        <v>16191</v>
      </c>
      <c r="J854" t="s">
        <v>1826</v>
      </c>
      <c r="K854" t="s">
        <v>74</v>
      </c>
      <c r="L854" t="s">
        <v>74</v>
      </c>
      <c r="M854" t="s">
        <v>78</v>
      </c>
      <c r="N854" t="s">
        <v>79</v>
      </c>
      <c r="O854" t="s">
        <v>74</v>
      </c>
      <c r="P854" t="s">
        <v>74</v>
      </c>
      <c r="Q854" t="s">
        <v>74</v>
      </c>
      <c r="R854" t="s">
        <v>74</v>
      </c>
      <c r="S854" t="s">
        <v>74</v>
      </c>
      <c r="T854" t="s">
        <v>74</v>
      </c>
      <c r="U854" t="s">
        <v>16192</v>
      </c>
      <c r="V854" t="s">
        <v>16193</v>
      </c>
      <c r="W854" t="s">
        <v>16194</v>
      </c>
      <c r="X854" t="s">
        <v>16195</v>
      </c>
      <c r="Y854" t="s">
        <v>16196</v>
      </c>
      <c r="Z854" t="s">
        <v>16197</v>
      </c>
      <c r="AA854" t="s">
        <v>74</v>
      </c>
      <c r="AB854" t="s">
        <v>16198</v>
      </c>
      <c r="AC854" t="s">
        <v>16199</v>
      </c>
      <c r="AD854" t="s">
        <v>16200</v>
      </c>
      <c r="AE854" t="s">
        <v>16201</v>
      </c>
      <c r="AF854" t="s">
        <v>74</v>
      </c>
      <c r="AG854">
        <v>81</v>
      </c>
      <c r="AH854">
        <v>0</v>
      </c>
      <c r="AI854">
        <v>0</v>
      </c>
      <c r="AJ854">
        <v>1</v>
      </c>
      <c r="AK854">
        <v>1</v>
      </c>
      <c r="AL854" t="s">
        <v>1838</v>
      </c>
      <c r="AM854" t="s">
        <v>1839</v>
      </c>
      <c r="AN854" t="s">
        <v>1840</v>
      </c>
      <c r="AO854" t="s">
        <v>1841</v>
      </c>
      <c r="AP854" t="s">
        <v>1842</v>
      </c>
      <c r="AQ854" t="s">
        <v>74</v>
      </c>
      <c r="AR854" t="s">
        <v>1843</v>
      </c>
      <c r="AS854" t="s">
        <v>1844</v>
      </c>
      <c r="AT854" t="s">
        <v>16202</v>
      </c>
      <c r="AU854">
        <v>2023</v>
      </c>
      <c r="AV854">
        <v>16</v>
      </c>
      <c r="AW854">
        <v>18</v>
      </c>
      <c r="AX854" t="s">
        <v>74</v>
      </c>
      <c r="AY854" t="s">
        <v>74</v>
      </c>
      <c r="AZ854" t="s">
        <v>74</v>
      </c>
      <c r="BA854" t="s">
        <v>74</v>
      </c>
      <c r="BB854">
        <v>5473</v>
      </c>
      <c r="BC854">
        <v>5492</v>
      </c>
      <c r="BD854" t="s">
        <v>74</v>
      </c>
      <c r="BE854" t="s">
        <v>16203</v>
      </c>
      <c r="BF854" t="str">
        <f>HYPERLINK("http://dx.doi.org/10.5194/gmd-16-5473-2023","http://dx.doi.org/10.5194/gmd-16-5473-2023")</f>
        <v>http://dx.doi.org/10.5194/gmd-16-5473-2023</v>
      </c>
      <c r="BG854" t="s">
        <v>74</v>
      </c>
      <c r="BH854" t="s">
        <v>74</v>
      </c>
      <c r="BI854">
        <v>20</v>
      </c>
      <c r="BJ854" t="s">
        <v>535</v>
      </c>
      <c r="BK854" t="s">
        <v>100</v>
      </c>
      <c r="BL854" t="s">
        <v>536</v>
      </c>
      <c r="BM854" t="s">
        <v>16204</v>
      </c>
      <c r="BN854" t="s">
        <v>74</v>
      </c>
      <c r="BO854" t="s">
        <v>649</v>
      </c>
      <c r="BP854" t="s">
        <v>74</v>
      </c>
      <c r="BQ854" t="s">
        <v>74</v>
      </c>
      <c r="BR854" t="s">
        <v>104</v>
      </c>
      <c r="BS854" t="s">
        <v>16205</v>
      </c>
      <c r="BT854" t="str">
        <f>HYPERLINK("https%3A%2F%2Fwww.webofscience.com%2Fwos%2Fwoscc%2Ffull-record%2FWOS:001169048000001","View Full Record in Web of Science")</f>
        <v>View Full Record in Web of Science</v>
      </c>
    </row>
    <row r="855" spans="1:72" x14ac:dyDescent="0.15">
      <c r="A855" t="s">
        <v>72</v>
      </c>
      <c r="B855" t="s">
        <v>16206</v>
      </c>
      <c r="C855" t="s">
        <v>74</v>
      </c>
      <c r="D855" t="s">
        <v>74</v>
      </c>
      <c r="E855" t="s">
        <v>74</v>
      </c>
      <c r="F855" t="s">
        <v>16207</v>
      </c>
      <c r="G855" t="s">
        <v>74</v>
      </c>
      <c r="H855" t="s">
        <v>74</v>
      </c>
      <c r="I855" t="s">
        <v>16208</v>
      </c>
      <c r="J855" t="s">
        <v>16209</v>
      </c>
      <c r="K855" t="s">
        <v>74</v>
      </c>
      <c r="L855" t="s">
        <v>74</v>
      </c>
      <c r="M855" t="s">
        <v>78</v>
      </c>
      <c r="N855" t="s">
        <v>1459</v>
      </c>
      <c r="O855" t="s">
        <v>74</v>
      </c>
      <c r="P855" t="s">
        <v>74</v>
      </c>
      <c r="Q855" t="s">
        <v>74</v>
      </c>
      <c r="R855" t="s">
        <v>74</v>
      </c>
      <c r="S855" t="s">
        <v>74</v>
      </c>
      <c r="T855" t="s">
        <v>74</v>
      </c>
      <c r="U855" t="s">
        <v>74</v>
      </c>
      <c r="V855" t="s">
        <v>74</v>
      </c>
      <c r="W855" t="s">
        <v>16210</v>
      </c>
      <c r="X855" t="s">
        <v>16211</v>
      </c>
      <c r="Y855" t="s">
        <v>16212</v>
      </c>
      <c r="Z855" t="s">
        <v>16213</v>
      </c>
      <c r="AA855" t="s">
        <v>16214</v>
      </c>
      <c r="AB855" t="s">
        <v>16215</v>
      </c>
      <c r="AC855" t="s">
        <v>16216</v>
      </c>
      <c r="AD855" t="s">
        <v>16216</v>
      </c>
      <c r="AE855" t="s">
        <v>16217</v>
      </c>
      <c r="AF855" t="s">
        <v>74</v>
      </c>
      <c r="AG855">
        <v>8</v>
      </c>
      <c r="AH855">
        <v>1</v>
      </c>
      <c r="AI855">
        <v>1</v>
      </c>
      <c r="AJ855">
        <v>2</v>
      </c>
      <c r="AK855">
        <v>2</v>
      </c>
      <c r="AL855" t="s">
        <v>89</v>
      </c>
      <c r="AM855" t="s">
        <v>976</v>
      </c>
      <c r="AN855" t="s">
        <v>11027</v>
      </c>
      <c r="AO855" t="s">
        <v>16218</v>
      </c>
      <c r="AP855" t="s">
        <v>74</v>
      </c>
      <c r="AQ855" t="s">
        <v>74</v>
      </c>
      <c r="AR855" t="s">
        <v>16219</v>
      </c>
      <c r="AS855" t="s">
        <v>16220</v>
      </c>
      <c r="AT855" t="s">
        <v>16221</v>
      </c>
      <c r="AU855">
        <v>2023</v>
      </c>
      <c r="AV855">
        <v>21</v>
      </c>
      <c r="AW855">
        <v>3</v>
      </c>
      <c r="AX855" t="s">
        <v>74</v>
      </c>
      <c r="AY855" t="s">
        <v>74</v>
      </c>
      <c r="AZ855" t="s">
        <v>74</v>
      </c>
      <c r="BA855" t="s">
        <v>74</v>
      </c>
      <c r="BB855">
        <v>263</v>
      </c>
      <c r="BC855">
        <v>264</v>
      </c>
      <c r="BD855" t="s">
        <v>74</v>
      </c>
      <c r="BE855" t="s">
        <v>16222</v>
      </c>
      <c r="BF855" t="str">
        <f>HYPERLINK("http://dx.doi.org/10.1016/j.pecon.2023.07.001","http://dx.doi.org/10.1016/j.pecon.2023.07.001")</f>
        <v>http://dx.doi.org/10.1016/j.pecon.2023.07.001</v>
      </c>
      <c r="BG855" t="s">
        <v>74</v>
      </c>
      <c r="BH855" t="s">
        <v>15880</v>
      </c>
      <c r="BI855">
        <v>2</v>
      </c>
      <c r="BJ855" t="s">
        <v>1615</v>
      </c>
      <c r="BK855" t="s">
        <v>100</v>
      </c>
      <c r="BL855" t="s">
        <v>1616</v>
      </c>
      <c r="BM855" t="s">
        <v>16223</v>
      </c>
      <c r="BN855" t="s">
        <v>74</v>
      </c>
      <c r="BO855" t="s">
        <v>131</v>
      </c>
      <c r="BP855" t="s">
        <v>74</v>
      </c>
      <c r="BQ855" t="s">
        <v>74</v>
      </c>
      <c r="BR855" t="s">
        <v>104</v>
      </c>
      <c r="BS855" t="s">
        <v>16224</v>
      </c>
      <c r="BT855" t="str">
        <f>HYPERLINK("https%3A%2F%2Fwww.webofscience.com%2Fwos%2Fwoscc%2Ffull-record%2FWOS:001093183300001","View Full Record in Web of Science")</f>
        <v>View Full Record in Web of Science</v>
      </c>
    </row>
    <row r="856" spans="1:72" x14ac:dyDescent="0.15">
      <c r="A856" t="s">
        <v>72</v>
      </c>
      <c r="B856" t="s">
        <v>16225</v>
      </c>
      <c r="C856" t="s">
        <v>74</v>
      </c>
      <c r="D856" t="s">
        <v>74</v>
      </c>
      <c r="E856" t="s">
        <v>74</v>
      </c>
      <c r="F856" t="s">
        <v>16226</v>
      </c>
      <c r="G856" t="s">
        <v>74</v>
      </c>
      <c r="H856" t="s">
        <v>74</v>
      </c>
      <c r="I856" t="s">
        <v>16227</v>
      </c>
      <c r="J856" t="s">
        <v>16228</v>
      </c>
      <c r="K856" t="s">
        <v>74</v>
      </c>
      <c r="L856" t="s">
        <v>74</v>
      </c>
      <c r="M856" t="s">
        <v>78</v>
      </c>
      <c r="N856" t="s">
        <v>79</v>
      </c>
      <c r="O856" t="s">
        <v>74</v>
      </c>
      <c r="P856" t="s">
        <v>74</v>
      </c>
      <c r="Q856" t="s">
        <v>74</v>
      </c>
      <c r="R856" t="s">
        <v>74</v>
      </c>
      <c r="S856" t="s">
        <v>74</v>
      </c>
      <c r="T856" t="s">
        <v>16229</v>
      </c>
      <c r="U856" t="s">
        <v>16230</v>
      </c>
      <c r="V856" t="s">
        <v>16231</v>
      </c>
      <c r="W856" t="s">
        <v>16232</v>
      </c>
      <c r="X856" t="s">
        <v>16233</v>
      </c>
      <c r="Y856" t="s">
        <v>16234</v>
      </c>
      <c r="Z856" t="s">
        <v>16235</v>
      </c>
      <c r="AA856" t="s">
        <v>74</v>
      </c>
      <c r="AB856" t="s">
        <v>74</v>
      </c>
      <c r="AC856" t="s">
        <v>16236</v>
      </c>
      <c r="AD856" t="s">
        <v>16237</v>
      </c>
      <c r="AE856" t="s">
        <v>16238</v>
      </c>
      <c r="AF856" t="s">
        <v>74</v>
      </c>
      <c r="AG856">
        <v>68</v>
      </c>
      <c r="AH856">
        <v>0</v>
      </c>
      <c r="AI856">
        <v>0</v>
      </c>
      <c r="AJ856">
        <v>21</v>
      </c>
      <c r="AK856">
        <v>21</v>
      </c>
      <c r="AL856" t="s">
        <v>3013</v>
      </c>
      <c r="AM856" t="s">
        <v>3014</v>
      </c>
      <c r="AN856" t="s">
        <v>3015</v>
      </c>
      <c r="AO856" t="s">
        <v>16239</v>
      </c>
      <c r="AP856" t="s">
        <v>16240</v>
      </c>
      <c r="AQ856" t="s">
        <v>74</v>
      </c>
      <c r="AR856" t="s">
        <v>16241</v>
      </c>
      <c r="AS856" t="s">
        <v>16242</v>
      </c>
      <c r="AT856" t="s">
        <v>1947</v>
      </c>
      <c r="AU856">
        <v>2023</v>
      </c>
      <c r="AV856">
        <v>141</v>
      </c>
      <c r="AW856" t="s">
        <v>74</v>
      </c>
      <c r="AX856" t="s">
        <v>74</v>
      </c>
      <c r="AY856" t="s">
        <v>74</v>
      </c>
      <c r="AZ856" t="s">
        <v>74</v>
      </c>
      <c r="BA856" t="s">
        <v>74</v>
      </c>
      <c r="BB856" t="s">
        <v>74</v>
      </c>
      <c r="BC856" t="s">
        <v>74</v>
      </c>
      <c r="BD856">
        <v>106884</v>
      </c>
      <c r="BE856" t="s">
        <v>16243</v>
      </c>
      <c r="BF856" t="str">
        <f>HYPERLINK("http://dx.doi.org/10.1016/j.bioorg.2023.106884","http://dx.doi.org/10.1016/j.bioorg.2023.106884")</f>
        <v>http://dx.doi.org/10.1016/j.bioorg.2023.106884</v>
      </c>
      <c r="BG856" t="s">
        <v>74</v>
      </c>
      <c r="BH856" t="s">
        <v>15880</v>
      </c>
      <c r="BI856">
        <v>13</v>
      </c>
      <c r="BJ856" t="s">
        <v>16244</v>
      </c>
      <c r="BK856" t="s">
        <v>100</v>
      </c>
      <c r="BL856" t="s">
        <v>6164</v>
      </c>
      <c r="BM856" t="s">
        <v>16245</v>
      </c>
      <c r="BN856">
        <v>37774435</v>
      </c>
      <c r="BO856" t="s">
        <v>74</v>
      </c>
      <c r="BP856" t="s">
        <v>74</v>
      </c>
      <c r="BQ856" t="s">
        <v>74</v>
      </c>
      <c r="BR856" t="s">
        <v>104</v>
      </c>
      <c r="BS856" t="s">
        <v>16246</v>
      </c>
      <c r="BT856" t="str">
        <f>HYPERLINK("https%3A%2F%2Fwww.webofscience.com%2Fwos%2Fwoscc%2Ffull-record%2FWOS:001085389900001","View Full Record in Web of Science")</f>
        <v>View Full Record in Web of Science</v>
      </c>
    </row>
    <row r="857" spans="1:72" x14ac:dyDescent="0.15">
      <c r="A857" t="s">
        <v>72</v>
      </c>
      <c r="B857" t="s">
        <v>16247</v>
      </c>
      <c r="C857" t="s">
        <v>74</v>
      </c>
      <c r="D857" t="s">
        <v>74</v>
      </c>
      <c r="E857" t="s">
        <v>74</v>
      </c>
      <c r="F857" t="s">
        <v>16248</v>
      </c>
      <c r="G857" t="s">
        <v>74</v>
      </c>
      <c r="H857" t="s">
        <v>74</v>
      </c>
      <c r="I857" t="s">
        <v>16249</v>
      </c>
      <c r="J857" t="s">
        <v>1746</v>
      </c>
      <c r="K857" t="s">
        <v>74</v>
      </c>
      <c r="L857" t="s">
        <v>74</v>
      </c>
      <c r="M857" t="s">
        <v>78</v>
      </c>
      <c r="N857" t="s">
        <v>79</v>
      </c>
      <c r="O857" t="s">
        <v>74</v>
      </c>
      <c r="P857" t="s">
        <v>74</v>
      </c>
      <c r="Q857" t="s">
        <v>74</v>
      </c>
      <c r="R857" t="s">
        <v>74</v>
      </c>
      <c r="S857" t="s">
        <v>74</v>
      </c>
      <c r="T857" t="s">
        <v>16250</v>
      </c>
      <c r="U857" t="s">
        <v>16251</v>
      </c>
      <c r="V857" t="s">
        <v>16252</v>
      </c>
      <c r="W857" t="s">
        <v>16253</v>
      </c>
      <c r="X857" t="s">
        <v>16254</v>
      </c>
      <c r="Y857" t="s">
        <v>16255</v>
      </c>
      <c r="Z857" t="s">
        <v>16256</v>
      </c>
      <c r="AA857" t="s">
        <v>74</v>
      </c>
      <c r="AB857" t="s">
        <v>74</v>
      </c>
      <c r="AC857" t="s">
        <v>16257</v>
      </c>
      <c r="AD857" t="s">
        <v>16257</v>
      </c>
      <c r="AE857" t="s">
        <v>16258</v>
      </c>
      <c r="AF857" t="s">
        <v>74</v>
      </c>
      <c r="AG857">
        <v>32</v>
      </c>
      <c r="AH857">
        <v>0</v>
      </c>
      <c r="AI857">
        <v>0</v>
      </c>
      <c r="AJ857">
        <v>2</v>
      </c>
      <c r="AK857">
        <v>2</v>
      </c>
      <c r="AL857" t="s">
        <v>1758</v>
      </c>
      <c r="AM857" t="s">
        <v>1759</v>
      </c>
      <c r="AN857" t="s">
        <v>1760</v>
      </c>
      <c r="AO857" t="s">
        <v>74</v>
      </c>
      <c r="AP857" t="s">
        <v>1761</v>
      </c>
      <c r="AQ857" t="s">
        <v>74</v>
      </c>
      <c r="AR857" t="s">
        <v>1762</v>
      </c>
      <c r="AS857" t="s">
        <v>1763</v>
      </c>
      <c r="AT857" t="s">
        <v>16202</v>
      </c>
      <c r="AU857">
        <v>2023</v>
      </c>
      <c r="AV857">
        <v>10</v>
      </c>
      <c r="AW857" t="s">
        <v>74</v>
      </c>
      <c r="AX857" t="s">
        <v>74</v>
      </c>
      <c r="AY857" t="s">
        <v>74</v>
      </c>
      <c r="AZ857" t="s">
        <v>74</v>
      </c>
      <c r="BA857" t="s">
        <v>74</v>
      </c>
      <c r="BB857" t="s">
        <v>74</v>
      </c>
      <c r="BC857" t="s">
        <v>74</v>
      </c>
      <c r="BD857">
        <v>1255425</v>
      </c>
      <c r="BE857" t="s">
        <v>16259</v>
      </c>
      <c r="BF857" t="str">
        <f>HYPERLINK("http://dx.doi.org/10.3389/fmars.2023.1255425","http://dx.doi.org/10.3389/fmars.2023.1255425")</f>
        <v>http://dx.doi.org/10.3389/fmars.2023.1255425</v>
      </c>
      <c r="BG857" t="s">
        <v>74</v>
      </c>
      <c r="BH857" t="s">
        <v>74</v>
      </c>
      <c r="BI857">
        <v>13</v>
      </c>
      <c r="BJ857" t="s">
        <v>1135</v>
      </c>
      <c r="BK857" t="s">
        <v>100</v>
      </c>
      <c r="BL857" t="s">
        <v>1136</v>
      </c>
      <c r="BM857" t="s">
        <v>16260</v>
      </c>
      <c r="BN857" t="s">
        <v>74</v>
      </c>
      <c r="BO857" t="s">
        <v>131</v>
      </c>
      <c r="BP857" t="s">
        <v>74</v>
      </c>
      <c r="BQ857" t="s">
        <v>74</v>
      </c>
      <c r="BR857" t="s">
        <v>104</v>
      </c>
      <c r="BS857" t="s">
        <v>16261</v>
      </c>
      <c r="BT857" t="str">
        <f>HYPERLINK("https%3A%2F%2Fwww.webofscience.com%2Fwos%2Fwoscc%2Ffull-record%2FWOS:001081685800001","View Full Record in Web of Science")</f>
        <v>View Full Record in Web of Science</v>
      </c>
    </row>
    <row r="858" spans="1:72" x14ac:dyDescent="0.15">
      <c r="A858" t="s">
        <v>72</v>
      </c>
      <c r="B858" t="s">
        <v>16262</v>
      </c>
      <c r="C858" t="s">
        <v>74</v>
      </c>
      <c r="D858" t="s">
        <v>74</v>
      </c>
      <c r="E858" t="s">
        <v>74</v>
      </c>
      <c r="F858" t="s">
        <v>16263</v>
      </c>
      <c r="G858" t="s">
        <v>74</v>
      </c>
      <c r="H858" t="s">
        <v>74</v>
      </c>
      <c r="I858" t="s">
        <v>16264</v>
      </c>
      <c r="J858" t="s">
        <v>7102</v>
      </c>
      <c r="K858" t="s">
        <v>74</v>
      </c>
      <c r="L858" t="s">
        <v>74</v>
      </c>
      <c r="M858" t="s">
        <v>78</v>
      </c>
      <c r="N858" t="s">
        <v>79</v>
      </c>
      <c r="O858" t="s">
        <v>74</v>
      </c>
      <c r="P858" t="s">
        <v>74</v>
      </c>
      <c r="Q858" t="s">
        <v>74</v>
      </c>
      <c r="R858" t="s">
        <v>74</v>
      </c>
      <c r="S858" t="s">
        <v>74</v>
      </c>
      <c r="T858" t="s">
        <v>16265</v>
      </c>
      <c r="U858" t="s">
        <v>16266</v>
      </c>
      <c r="V858" t="s">
        <v>16267</v>
      </c>
      <c r="W858" t="s">
        <v>16268</v>
      </c>
      <c r="X858" t="s">
        <v>16269</v>
      </c>
      <c r="Y858" t="s">
        <v>7427</v>
      </c>
      <c r="Z858" t="s">
        <v>7428</v>
      </c>
      <c r="AA858" t="s">
        <v>16270</v>
      </c>
      <c r="AB858" t="s">
        <v>16271</v>
      </c>
      <c r="AC858" t="s">
        <v>16272</v>
      </c>
      <c r="AD858" t="s">
        <v>16273</v>
      </c>
      <c r="AE858" t="s">
        <v>16274</v>
      </c>
      <c r="AF858" t="s">
        <v>74</v>
      </c>
      <c r="AG858">
        <v>83</v>
      </c>
      <c r="AH858">
        <v>0</v>
      </c>
      <c r="AI858">
        <v>0</v>
      </c>
      <c r="AJ858">
        <v>16</v>
      </c>
      <c r="AK858">
        <v>16</v>
      </c>
      <c r="AL858" t="s">
        <v>1101</v>
      </c>
      <c r="AM858" t="s">
        <v>1102</v>
      </c>
      <c r="AN858" t="s">
        <v>1103</v>
      </c>
      <c r="AO858" t="s">
        <v>7113</v>
      </c>
      <c r="AP858" t="s">
        <v>7114</v>
      </c>
      <c r="AQ858" t="s">
        <v>74</v>
      </c>
      <c r="AR858" t="s">
        <v>7115</v>
      </c>
      <c r="AS858" t="s">
        <v>7116</v>
      </c>
      <c r="AT858" t="s">
        <v>4525</v>
      </c>
      <c r="AU858">
        <v>2023</v>
      </c>
      <c r="AV858">
        <v>29</v>
      </c>
      <c r="AW858">
        <v>11</v>
      </c>
      <c r="AX858" t="s">
        <v>74</v>
      </c>
      <c r="AY858" t="s">
        <v>74</v>
      </c>
      <c r="AZ858" t="s">
        <v>74</v>
      </c>
      <c r="BA858" t="s">
        <v>74</v>
      </c>
      <c r="BB858">
        <v>1432</v>
      </c>
      <c r="BC858">
        <v>1444</v>
      </c>
      <c r="BD858" t="s">
        <v>74</v>
      </c>
      <c r="BE858" t="s">
        <v>16275</v>
      </c>
      <c r="BF858" t="str">
        <f>HYPERLINK("http://dx.doi.org/10.1111/ddi.13768","http://dx.doi.org/10.1111/ddi.13768")</f>
        <v>http://dx.doi.org/10.1111/ddi.13768</v>
      </c>
      <c r="BG858" t="s">
        <v>74</v>
      </c>
      <c r="BH858" t="s">
        <v>15880</v>
      </c>
      <c r="BI858">
        <v>13</v>
      </c>
      <c r="BJ858" t="s">
        <v>1261</v>
      </c>
      <c r="BK858" t="s">
        <v>100</v>
      </c>
      <c r="BL858" t="s">
        <v>913</v>
      </c>
      <c r="BM858" t="s">
        <v>16276</v>
      </c>
      <c r="BN858" t="s">
        <v>74</v>
      </c>
      <c r="BO858" t="s">
        <v>2561</v>
      </c>
      <c r="BP858" t="s">
        <v>74</v>
      </c>
      <c r="BQ858" t="s">
        <v>74</v>
      </c>
      <c r="BR858" t="s">
        <v>104</v>
      </c>
      <c r="BS858" t="s">
        <v>16277</v>
      </c>
      <c r="BT858" t="str">
        <f>HYPERLINK("https%3A%2F%2Fwww.webofscience.com%2Fwos%2Fwoscc%2Ffull-record%2FWOS:001077695500001","View Full Record in Web of Science")</f>
        <v>View Full Record in Web of Science</v>
      </c>
    </row>
    <row r="859" spans="1:72" x14ac:dyDescent="0.15">
      <c r="A859" t="s">
        <v>72</v>
      </c>
      <c r="B859" t="s">
        <v>16278</v>
      </c>
      <c r="C859" t="s">
        <v>74</v>
      </c>
      <c r="D859" t="s">
        <v>74</v>
      </c>
      <c r="E859" t="s">
        <v>74</v>
      </c>
      <c r="F859" t="s">
        <v>16279</v>
      </c>
      <c r="G859" t="s">
        <v>74</v>
      </c>
      <c r="H859" t="s">
        <v>74</v>
      </c>
      <c r="I859" t="s">
        <v>16280</v>
      </c>
      <c r="J859" t="s">
        <v>1243</v>
      </c>
      <c r="K859" t="s">
        <v>74</v>
      </c>
      <c r="L859" t="s">
        <v>74</v>
      </c>
      <c r="M859" t="s">
        <v>78</v>
      </c>
      <c r="N859" t="s">
        <v>79</v>
      </c>
      <c r="O859" t="s">
        <v>74</v>
      </c>
      <c r="P859" t="s">
        <v>74</v>
      </c>
      <c r="Q859" t="s">
        <v>74</v>
      </c>
      <c r="R859" t="s">
        <v>74</v>
      </c>
      <c r="S859" t="s">
        <v>74</v>
      </c>
      <c r="T859" t="s">
        <v>16281</v>
      </c>
      <c r="U859" t="s">
        <v>16282</v>
      </c>
      <c r="V859" t="s">
        <v>16283</v>
      </c>
      <c r="W859" t="s">
        <v>16284</v>
      </c>
      <c r="X859" t="s">
        <v>16285</v>
      </c>
      <c r="Y859" t="s">
        <v>16286</v>
      </c>
      <c r="Z859" t="s">
        <v>16287</v>
      </c>
      <c r="AA859" t="s">
        <v>74</v>
      </c>
      <c r="AB859" t="s">
        <v>16288</v>
      </c>
      <c r="AC859" t="s">
        <v>16289</v>
      </c>
      <c r="AD859" t="s">
        <v>16290</v>
      </c>
      <c r="AE859" t="s">
        <v>16291</v>
      </c>
      <c r="AF859" t="s">
        <v>74</v>
      </c>
      <c r="AG859">
        <v>41</v>
      </c>
      <c r="AH859">
        <v>0</v>
      </c>
      <c r="AI859">
        <v>0</v>
      </c>
      <c r="AJ859">
        <v>7</v>
      </c>
      <c r="AK859">
        <v>7</v>
      </c>
      <c r="AL859" t="s">
        <v>1075</v>
      </c>
      <c r="AM859" t="s">
        <v>1076</v>
      </c>
      <c r="AN859" t="s">
        <v>1077</v>
      </c>
      <c r="AO859" t="s">
        <v>1256</v>
      </c>
      <c r="AP859" t="s">
        <v>1257</v>
      </c>
      <c r="AQ859" t="s">
        <v>74</v>
      </c>
      <c r="AR859" t="s">
        <v>1258</v>
      </c>
      <c r="AS859" t="s">
        <v>1259</v>
      </c>
      <c r="AT859" t="s">
        <v>1947</v>
      </c>
      <c r="AU859">
        <v>2023</v>
      </c>
      <c r="AV859">
        <v>46</v>
      </c>
      <c r="AW859">
        <v>12</v>
      </c>
      <c r="AX859" t="s">
        <v>74</v>
      </c>
      <c r="AY859" t="s">
        <v>74</v>
      </c>
      <c r="AZ859" t="s">
        <v>74</v>
      </c>
      <c r="BA859" t="s">
        <v>74</v>
      </c>
      <c r="BB859">
        <v>1265</v>
      </c>
      <c r="BC859">
        <v>1274</v>
      </c>
      <c r="BD859" t="s">
        <v>74</v>
      </c>
      <c r="BE859" t="s">
        <v>16292</v>
      </c>
      <c r="BF859" t="str">
        <f>HYPERLINK("http://dx.doi.org/10.1007/s00300-023-03199-5","http://dx.doi.org/10.1007/s00300-023-03199-5")</f>
        <v>http://dx.doi.org/10.1007/s00300-023-03199-5</v>
      </c>
      <c r="BG859" t="s">
        <v>74</v>
      </c>
      <c r="BH859" t="s">
        <v>15880</v>
      </c>
      <c r="BI859">
        <v>10</v>
      </c>
      <c r="BJ859" t="s">
        <v>1261</v>
      </c>
      <c r="BK859" t="s">
        <v>100</v>
      </c>
      <c r="BL859" t="s">
        <v>913</v>
      </c>
      <c r="BM859" t="s">
        <v>11829</v>
      </c>
      <c r="BN859" t="s">
        <v>74</v>
      </c>
      <c r="BO859" t="s">
        <v>74</v>
      </c>
      <c r="BP859" t="s">
        <v>74</v>
      </c>
      <c r="BQ859" t="s">
        <v>74</v>
      </c>
      <c r="BR859" t="s">
        <v>104</v>
      </c>
      <c r="BS859" t="s">
        <v>16293</v>
      </c>
      <c r="BT859" t="str">
        <f>HYPERLINK("https%3A%2F%2Fwww.webofscience.com%2Fwos%2Fwoscc%2Ffull-record%2FWOS:001076523100001","View Full Record in Web of Science")</f>
        <v>View Full Record in Web of Science</v>
      </c>
    </row>
    <row r="860" spans="1:72" x14ac:dyDescent="0.15">
      <c r="A860" t="s">
        <v>72</v>
      </c>
      <c r="B860" t="s">
        <v>16294</v>
      </c>
      <c r="C860" t="s">
        <v>74</v>
      </c>
      <c r="D860" t="s">
        <v>74</v>
      </c>
      <c r="E860" t="s">
        <v>74</v>
      </c>
      <c r="F860" t="s">
        <v>16295</v>
      </c>
      <c r="G860" t="s">
        <v>74</v>
      </c>
      <c r="H860" t="s">
        <v>74</v>
      </c>
      <c r="I860" t="s">
        <v>16296</v>
      </c>
      <c r="J860" t="s">
        <v>4532</v>
      </c>
      <c r="K860" t="s">
        <v>74</v>
      </c>
      <c r="L860" t="s">
        <v>74</v>
      </c>
      <c r="M860" t="s">
        <v>78</v>
      </c>
      <c r="N860" t="s">
        <v>79</v>
      </c>
      <c r="O860" t="s">
        <v>74</v>
      </c>
      <c r="P860" t="s">
        <v>74</v>
      </c>
      <c r="Q860" t="s">
        <v>74</v>
      </c>
      <c r="R860" t="s">
        <v>74</v>
      </c>
      <c r="S860" t="s">
        <v>74</v>
      </c>
      <c r="T860" t="s">
        <v>16297</v>
      </c>
      <c r="U860" t="s">
        <v>16298</v>
      </c>
      <c r="V860" t="s">
        <v>16299</v>
      </c>
      <c r="W860" t="s">
        <v>16300</v>
      </c>
      <c r="X860" t="s">
        <v>16301</v>
      </c>
      <c r="Y860" t="s">
        <v>16302</v>
      </c>
      <c r="Z860" t="s">
        <v>16303</v>
      </c>
      <c r="AA860" t="s">
        <v>74</v>
      </c>
      <c r="AB860" t="s">
        <v>16304</v>
      </c>
      <c r="AC860" t="s">
        <v>16305</v>
      </c>
      <c r="AD860" t="s">
        <v>16305</v>
      </c>
      <c r="AE860" t="s">
        <v>16305</v>
      </c>
      <c r="AF860" t="s">
        <v>74</v>
      </c>
      <c r="AG860">
        <v>93</v>
      </c>
      <c r="AH860">
        <v>1</v>
      </c>
      <c r="AI860">
        <v>1</v>
      </c>
      <c r="AJ860">
        <v>8</v>
      </c>
      <c r="AK860">
        <v>8</v>
      </c>
      <c r="AL860" t="s">
        <v>2554</v>
      </c>
      <c r="AM860" t="s">
        <v>2294</v>
      </c>
      <c r="AN860" t="s">
        <v>2555</v>
      </c>
      <c r="AO860" t="s">
        <v>4544</v>
      </c>
      <c r="AP860" t="s">
        <v>74</v>
      </c>
      <c r="AQ860" t="s">
        <v>74</v>
      </c>
      <c r="AR860" t="s">
        <v>4545</v>
      </c>
      <c r="AS860" t="s">
        <v>4546</v>
      </c>
      <c r="AT860" t="s">
        <v>16202</v>
      </c>
      <c r="AU860">
        <v>2023</v>
      </c>
      <c r="AV860">
        <v>10</v>
      </c>
      <c r="AW860">
        <v>9</v>
      </c>
      <c r="AX860" t="s">
        <v>74</v>
      </c>
      <c r="AY860" t="s">
        <v>74</v>
      </c>
      <c r="AZ860" t="s">
        <v>74</v>
      </c>
      <c r="BA860" t="s">
        <v>74</v>
      </c>
      <c r="BB860" t="s">
        <v>74</v>
      </c>
      <c r="BC860" t="s">
        <v>74</v>
      </c>
      <c r="BD860">
        <v>230520</v>
      </c>
      <c r="BE860" t="s">
        <v>16306</v>
      </c>
      <c r="BF860" t="str">
        <f>HYPERLINK("http://dx.doi.org/10.1098/rsos.230520","http://dx.doi.org/10.1098/rsos.230520")</f>
        <v>http://dx.doi.org/10.1098/rsos.230520</v>
      </c>
      <c r="BG860" t="s">
        <v>74</v>
      </c>
      <c r="BH860" t="s">
        <v>74</v>
      </c>
      <c r="BI860">
        <v>17</v>
      </c>
      <c r="BJ860" t="s">
        <v>1035</v>
      </c>
      <c r="BK860" t="s">
        <v>100</v>
      </c>
      <c r="BL860" t="s">
        <v>1036</v>
      </c>
      <c r="BM860" t="s">
        <v>16307</v>
      </c>
      <c r="BN860">
        <v>37771962</v>
      </c>
      <c r="BO860" t="s">
        <v>16308</v>
      </c>
      <c r="BP860" t="s">
        <v>74</v>
      </c>
      <c r="BQ860" t="s">
        <v>74</v>
      </c>
      <c r="BR860" t="s">
        <v>104</v>
      </c>
      <c r="BS860" t="s">
        <v>16309</v>
      </c>
      <c r="BT860" t="str">
        <f>HYPERLINK("https%3A%2F%2Fwww.webofscience.com%2Fwos%2Fwoscc%2Ffull-record%2FWOS:001074333300004","View Full Record in Web of Science")</f>
        <v>View Full Record in Web of Science</v>
      </c>
    </row>
    <row r="861" spans="1:72" x14ac:dyDescent="0.15">
      <c r="A861" t="s">
        <v>72</v>
      </c>
      <c r="B861" t="s">
        <v>16310</v>
      </c>
      <c r="C861" t="s">
        <v>74</v>
      </c>
      <c r="D861" t="s">
        <v>74</v>
      </c>
      <c r="E861" t="s">
        <v>74</v>
      </c>
      <c r="F861" t="s">
        <v>16311</v>
      </c>
      <c r="G861" t="s">
        <v>74</v>
      </c>
      <c r="H861" t="s">
        <v>74</v>
      </c>
      <c r="I861" t="s">
        <v>16312</v>
      </c>
      <c r="J861" t="s">
        <v>1504</v>
      </c>
      <c r="K861" t="s">
        <v>74</v>
      </c>
      <c r="L861" t="s">
        <v>74</v>
      </c>
      <c r="M861" t="s">
        <v>78</v>
      </c>
      <c r="N861" t="s">
        <v>79</v>
      </c>
      <c r="O861" t="s">
        <v>74</v>
      </c>
      <c r="P861" t="s">
        <v>74</v>
      </c>
      <c r="Q861" t="s">
        <v>74</v>
      </c>
      <c r="R861" t="s">
        <v>74</v>
      </c>
      <c r="S861" t="s">
        <v>74</v>
      </c>
      <c r="T861" t="s">
        <v>16313</v>
      </c>
      <c r="U861" t="s">
        <v>16314</v>
      </c>
      <c r="V861" t="s">
        <v>16315</v>
      </c>
      <c r="W861" t="s">
        <v>16316</v>
      </c>
      <c r="X861" t="s">
        <v>16317</v>
      </c>
      <c r="Y861" t="s">
        <v>16318</v>
      </c>
      <c r="Z861" t="s">
        <v>16319</v>
      </c>
      <c r="AA861" t="s">
        <v>16320</v>
      </c>
      <c r="AB861" t="s">
        <v>16321</v>
      </c>
      <c r="AC861" t="s">
        <v>16322</v>
      </c>
      <c r="AD861" t="s">
        <v>16323</v>
      </c>
      <c r="AE861" t="s">
        <v>16324</v>
      </c>
      <c r="AF861" t="s">
        <v>74</v>
      </c>
      <c r="AG861">
        <v>65</v>
      </c>
      <c r="AH861">
        <v>1</v>
      </c>
      <c r="AI861">
        <v>1</v>
      </c>
      <c r="AJ861">
        <v>5</v>
      </c>
      <c r="AK861">
        <v>5</v>
      </c>
      <c r="AL861" t="s">
        <v>1208</v>
      </c>
      <c r="AM861" t="s">
        <v>1209</v>
      </c>
      <c r="AN861" t="s">
        <v>1210</v>
      </c>
      <c r="AO861" t="s">
        <v>1515</v>
      </c>
      <c r="AP861" t="s">
        <v>1516</v>
      </c>
      <c r="AQ861" t="s">
        <v>74</v>
      </c>
      <c r="AR861" t="s">
        <v>1517</v>
      </c>
      <c r="AS861" t="s">
        <v>1518</v>
      </c>
      <c r="AT861" t="s">
        <v>16202</v>
      </c>
      <c r="AU861">
        <v>2023</v>
      </c>
      <c r="AV861">
        <v>128</v>
      </c>
      <c r="AW861">
        <v>18</v>
      </c>
      <c r="AX861" t="s">
        <v>74</v>
      </c>
      <c r="AY861" t="s">
        <v>74</v>
      </c>
      <c r="AZ861" t="s">
        <v>74</v>
      </c>
      <c r="BA861" t="s">
        <v>74</v>
      </c>
      <c r="BB861" t="s">
        <v>74</v>
      </c>
      <c r="BC861" t="s">
        <v>74</v>
      </c>
      <c r="BD861" t="s">
        <v>16325</v>
      </c>
      <c r="BE861" t="s">
        <v>16326</v>
      </c>
      <c r="BF861" t="str">
        <f>HYPERLINK("http://dx.doi.org/10.1029/2022JD038389","http://dx.doi.org/10.1029/2022JD038389")</f>
        <v>http://dx.doi.org/10.1029/2022JD038389</v>
      </c>
      <c r="BG861" t="s">
        <v>74</v>
      </c>
      <c r="BH861" t="s">
        <v>74</v>
      </c>
      <c r="BI861">
        <v>16</v>
      </c>
      <c r="BJ861" t="s">
        <v>1522</v>
      </c>
      <c r="BK861" t="s">
        <v>100</v>
      </c>
      <c r="BL861" t="s">
        <v>1522</v>
      </c>
      <c r="BM861" t="s">
        <v>16327</v>
      </c>
      <c r="BN861" t="s">
        <v>74</v>
      </c>
      <c r="BO861" t="s">
        <v>74</v>
      </c>
      <c r="BP861" t="s">
        <v>74</v>
      </c>
      <c r="BQ861" t="s">
        <v>74</v>
      </c>
      <c r="BR861" t="s">
        <v>104</v>
      </c>
      <c r="BS861" t="s">
        <v>16328</v>
      </c>
      <c r="BT861" t="str">
        <f>HYPERLINK("https%3A%2F%2Fwww.webofscience.com%2Fwos%2Fwoscc%2Ffull-record%2FWOS:001067762600001","View Full Record in Web of Science")</f>
        <v>View Full Record in Web of Science</v>
      </c>
    </row>
    <row r="862" spans="1:72" x14ac:dyDescent="0.15">
      <c r="A862" t="s">
        <v>72</v>
      </c>
      <c r="B862" t="s">
        <v>16329</v>
      </c>
      <c r="C862" t="s">
        <v>74</v>
      </c>
      <c r="D862" t="s">
        <v>74</v>
      </c>
      <c r="E862" t="s">
        <v>74</v>
      </c>
      <c r="F862" t="s">
        <v>16330</v>
      </c>
      <c r="G862" t="s">
        <v>74</v>
      </c>
      <c r="H862" t="s">
        <v>74</v>
      </c>
      <c r="I862" t="s">
        <v>16331</v>
      </c>
      <c r="J862" t="s">
        <v>4729</v>
      </c>
      <c r="K862" t="s">
        <v>74</v>
      </c>
      <c r="L862" t="s">
        <v>74</v>
      </c>
      <c r="M862" t="s">
        <v>78</v>
      </c>
      <c r="N862" t="s">
        <v>79</v>
      </c>
      <c r="O862" t="s">
        <v>74</v>
      </c>
      <c r="P862" t="s">
        <v>74</v>
      </c>
      <c r="Q862" t="s">
        <v>74</v>
      </c>
      <c r="R862" t="s">
        <v>74</v>
      </c>
      <c r="S862" t="s">
        <v>74</v>
      </c>
      <c r="T862" t="s">
        <v>16332</v>
      </c>
      <c r="U862" t="s">
        <v>16333</v>
      </c>
      <c r="V862" t="s">
        <v>16334</v>
      </c>
      <c r="W862" t="s">
        <v>16335</v>
      </c>
      <c r="X862" t="s">
        <v>16336</v>
      </c>
      <c r="Y862" t="s">
        <v>16337</v>
      </c>
      <c r="Z862" t="s">
        <v>16338</v>
      </c>
      <c r="AA862" t="s">
        <v>16339</v>
      </c>
      <c r="AB862" t="s">
        <v>16340</v>
      </c>
      <c r="AC862" t="s">
        <v>16341</v>
      </c>
      <c r="AD862" t="s">
        <v>16342</v>
      </c>
      <c r="AE862" t="s">
        <v>16343</v>
      </c>
      <c r="AF862" t="s">
        <v>74</v>
      </c>
      <c r="AG862">
        <v>33</v>
      </c>
      <c r="AH862">
        <v>0</v>
      </c>
      <c r="AI862">
        <v>0</v>
      </c>
      <c r="AJ862">
        <v>1</v>
      </c>
      <c r="AK862">
        <v>1</v>
      </c>
      <c r="AL862" t="s">
        <v>3719</v>
      </c>
      <c r="AM862" t="s">
        <v>1209</v>
      </c>
      <c r="AN862" t="s">
        <v>3720</v>
      </c>
      <c r="AO862" t="s">
        <v>4741</v>
      </c>
      <c r="AP862" t="s">
        <v>74</v>
      </c>
      <c r="AQ862" t="s">
        <v>74</v>
      </c>
      <c r="AR862" t="s">
        <v>4742</v>
      </c>
      <c r="AS862" t="s">
        <v>4743</v>
      </c>
      <c r="AT862" t="s">
        <v>16202</v>
      </c>
      <c r="AU862">
        <v>2023</v>
      </c>
      <c r="AV862" t="s">
        <v>74</v>
      </c>
      <c r="AW862" t="s">
        <v>74</v>
      </c>
      <c r="AX862" t="s">
        <v>74</v>
      </c>
      <c r="AY862" t="s">
        <v>74</v>
      </c>
      <c r="AZ862" t="s">
        <v>74</v>
      </c>
      <c r="BA862" t="s">
        <v>74</v>
      </c>
      <c r="BB862" t="s">
        <v>74</v>
      </c>
      <c r="BC862" t="s">
        <v>74</v>
      </c>
      <c r="BD862" t="s">
        <v>16344</v>
      </c>
      <c r="BE862" t="s">
        <v>16345</v>
      </c>
      <c r="BF862" t="str">
        <f>HYPERLINK("http://dx.doi.org/10.1128/MRA.00388-23","http://dx.doi.org/10.1128/MRA.00388-23")</f>
        <v>http://dx.doi.org/10.1128/MRA.00388-23</v>
      </c>
      <c r="BG862" t="s">
        <v>74</v>
      </c>
      <c r="BH862" t="s">
        <v>74</v>
      </c>
      <c r="BI862">
        <v>5</v>
      </c>
      <c r="BJ862" t="s">
        <v>1084</v>
      </c>
      <c r="BK862" t="s">
        <v>912</v>
      </c>
      <c r="BL862" t="s">
        <v>1084</v>
      </c>
      <c r="BM862" t="s">
        <v>16346</v>
      </c>
      <c r="BN862">
        <v>37754785</v>
      </c>
      <c r="BO862" t="s">
        <v>265</v>
      </c>
      <c r="BP862" t="s">
        <v>74</v>
      </c>
      <c r="BQ862" t="s">
        <v>74</v>
      </c>
      <c r="BR862" t="s">
        <v>104</v>
      </c>
      <c r="BS862" t="s">
        <v>16347</v>
      </c>
      <c r="BT862" t="str">
        <f>HYPERLINK("https%3A%2F%2Fwww.webofscience.com%2Fwos%2Fwoscc%2Ffull-record%2FWOS:001073829000001","View Full Record in Web of Science")</f>
        <v>View Full Record in Web of Science</v>
      </c>
    </row>
    <row r="863" spans="1:72" x14ac:dyDescent="0.15">
      <c r="A863" t="s">
        <v>72</v>
      </c>
      <c r="B863" t="s">
        <v>16348</v>
      </c>
      <c r="C863" t="s">
        <v>74</v>
      </c>
      <c r="D863" t="s">
        <v>74</v>
      </c>
      <c r="E863" t="s">
        <v>74</v>
      </c>
      <c r="F863" t="s">
        <v>16349</v>
      </c>
      <c r="G863" t="s">
        <v>74</v>
      </c>
      <c r="H863" t="s">
        <v>74</v>
      </c>
      <c r="I863" t="s">
        <v>16350</v>
      </c>
      <c r="J863" t="s">
        <v>1504</v>
      </c>
      <c r="K863" t="s">
        <v>74</v>
      </c>
      <c r="L863" t="s">
        <v>74</v>
      </c>
      <c r="M863" t="s">
        <v>78</v>
      </c>
      <c r="N863" t="s">
        <v>79</v>
      </c>
      <c r="O863" t="s">
        <v>74</v>
      </c>
      <c r="P863" t="s">
        <v>74</v>
      </c>
      <c r="Q863" t="s">
        <v>74</v>
      </c>
      <c r="R863" t="s">
        <v>74</v>
      </c>
      <c r="S863" t="s">
        <v>74</v>
      </c>
      <c r="T863" t="s">
        <v>16351</v>
      </c>
      <c r="U863" t="s">
        <v>16352</v>
      </c>
      <c r="V863" t="s">
        <v>16353</v>
      </c>
      <c r="W863" t="s">
        <v>16354</v>
      </c>
      <c r="X863" t="s">
        <v>16355</v>
      </c>
      <c r="Y863" t="s">
        <v>16356</v>
      </c>
      <c r="Z863" t="s">
        <v>16357</v>
      </c>
      <c r="AA863" t="s">
        <v>74</v>
      </c>
      <c r="AB863" t="s">
        <v>74</v>
      </c>
      <c r="AC863" t="s">
        <v>16358</v>
      </c>
      <c r="AD863" t="s">
        <v>16359</v>
      </c>
      <c r="AE863" t="s">
        <v>16360</v>
      </c>
      <c r="AF863" t="s">
        <v>74</v>
      </c>
      <c r="AG863">
        <v>95</v>
      </c>
      <c r="AH863">
        <v>0</v>
      </c>
      <c r="AI863">
        <v>0</v>
      </c>
      <c r="AJ863">
        <v>9</v>
      </c>
      <c r="AK863">
        <v>13</v>
      </c>
      <c r="AL863" t="s">
        <v>1208</v>
      </c>
      <c r="AM863" t="s">
        <v>1209</v>
      </c>
      <c r="AN863" t="s">
        <v>1210</v>
      </c>
      <c r="AO863" t="s">
        <v>1515</v>
      </c>
      <c r="AP863" t="s">
        <v>1516</v>
      </c>
      <c r="AQ863" t="s">
        <v>74</v>
      </c>
      <c r="AR863" t="s">
        <v>1517</v>
      </c>
      <c r="AS863" t="s">
        <v>1518</v>
      </c>
      <c r="AT863" t="s">
        <v>16202</v>
      </c>
      <c r="AU863">
        <v>2023</v>
      </c>
      <c r="AV863">
        <v>128</v>
      </c>
      <c r="AW863">
        <v>18</v>
      </c>
      <c r="AX863" t="s">
        <v>74</v>
      </c>
      <c r="AY863" t="s">
        <v>74</v>
      </c>
      <c r="AZ863" t="s">
        <v>74</v>
      </c>
      <c r="BA863" t="s">
        <v>74</v>
      </c>
      <c r="BB863" t="s">
        <v>74</v>
      </c>
      <c r="BC863" t="s">
        <v>74</v>
      </c>
      <c r="BD863" t="s">
        <v>16361</v>
      </c>
      <c r="BE863" t="s">
        <v>16362</v>
      </c>
      <c r="BF863" t="str">
        <f>HYPERLINK("http://dx.doi.org/10.1029/2023JD039057","http://dx.doi.org/10.1029/2023JD039057")</f>
        <v>http://dx.doi.org/10.1029/2023JD039057</v>
      </c>
      <c r="BG863" t="s">
        <v>74</v>
      </c>
      <c r="BH863" t="s">
        <v>74</v>
      </c>
      <c r="BI863">
        <v>15</v>
      </c>
      <c r="BJ863" t="s">
        <v>1522</v>
      </c>
      <c r="BK863" t="s">
        <v>100</v>
      </c>
      <c r="BL863" t="s">
        <v>1522</v>
      </c>
      <c r="BM863" t="s">
        <v>16363</v>
      </c>
      <c r="BN863" t="s">
        <v>74</v>
      </c>
      <c r="BO863" t="s">
        <v>74</v>
      </c>
      <c r="BP863" t="s">
        <v>74</v>
      </c>
      <c r="BQ863" t="s">
        <v>74</v>
      </c>
      <c r="BR863" t="s">
        <v>104</v>
      </c>
      <c r="BS863" t="s">
        <v>16364</v>
      </c>
      <c r="BT863" t="str">
        <f>HYPERLINK("https%3A%2F%2Fwww.webofscience.com%2Fwos%2Fwoscc%2Ffull-record%2FWOS:001066325000001","View Full Record in Web of Science")</f>
        <v>View Full Record in Web of Science</v>
      </c>
    </row>
    <row r="864" spans="1:72" x14ac:dyDescent="0.15">
      <c r="A864" t="s">
        <v>72</v>
      </c>
      <c r="B864" t="s">
        <v>16365</v>
      </c>
      <c r="C864" t="s">
        <v>74</v>
      </c>
      <c r="D864" t="s">
        <v>74</v>
      </c>
      <c r="E864" t="s">
        <v>74</v>
      </c>
      <c r="F864" t="s">
        <v>16366</v>
      </c>
      <c r="G864" t="s">
        <v>74</v>
      </c>
      <c r="H864" t="s">
        <v>74</v>
      </c>
      <c r="I864" t="s">
        <v>16367</v>
      </c>
      <c r="J864" t="s">
        <v>16368</v>
      </c>
      <c r="K864" t="s">
        <v>74</v>
      </c>
      <c r="L864" t="s">
        <v>74</v>
      </c>
      <c r="M864" t="s">
        <v>78</v>
      </c>
      <c r="N864" t="s">
        <v>79</v>
      </c>
      <c r="O864" t="s">
        <v>74</v>
      </c>
      <c r="P864" t="s">
        <v>74</v>
      </c>
      <c r="Q864" t="s">
        <v>74</v>
      </c>
      <c r="R864" t="s">
        <v>74</v>
      </c>
      <c r="S864" t="s">
        <v>74</v>
      </c>
      <c r="T864" t="s">
        <v>16369</v>
      </c>
      <c r="U864" t="s">
        <v>16370</v>
      </c>
      <c r="V864" t="s">
        <v>16371</v>
      </c>
      <c r="W864" t="s">
        <v>16372</v>
      </c>
      <c r="X864" t="s">
        <v>16373</v>
      </c>
      <c r="Y864" t="s">
        <v>16374</v>
      </c>
      <c r="Z864" t="s">
        <v>16375</v>
      </c>
      <c r="AA864" t="s">
        <v>16376</v>
      </c>
      <c r="AB864" t="s">
        <v>16377</v>
      </c>
      <c r="AC864" t="s">
        <v>16378</v>
      </c>
      <c r="AD864" t="s">
        <v>16378</v>
      </c>
      <c r="AE864" t="s">
        <v>16379</v>
      </c>
      <c r="AF864" t="s">
        <v>74</v>
      </c>
      <c r="AG864">
        <v>106</v>
      </c>
      <c r="AH864">
        <v>0</v>
      </c>
      <c r="AI864">
        <v>0</v>
      </c>
      <c r="AJ864">
        <v>8</v>
      </c>
      <c r="AK864">
        <v>8</v>
      </c>
      <c r="AL864" t="s">
        <v>1560</v>
      </c>
      <c r="AM864" t="s">
        <v>976</v>
      </c>
      <c r="AN864" t="s">
        <v>1561</v>
      </c>
      <c r="AO864" t="s">
        <v>16380</v>
      </c>
      <c r="AP864" t="s">
        <v>16381</v>
      </c>
      <c r="AQ864" t="s">
        <v>74</v>
      </c>
      <c r="AR864" t="s">
        <v>16382</v>
      </c>
      <c r="AS864" t="s">
        <v>16383</v>
      </c>
      <c r="AT864" t="s">
        <v>4087</v>
      </c>
      <c r="AU864">
        <v>2023</v>
      </c>
      <c r="AV864">
        <v>45</v>
      </c>
      <c r="AW864">
        <v>6</v>
      </c>
      <c r="AX864" t="s">
        <v>74</v>
      </c>
      <c r="AY864" t="s">
        <v>74</v>
      </c>
      <c r="AZ864" t="s">
        <v>74</v>
      </c>
      <c r="BA864" t="s">
        <v>74</v>
      </c>
      <c r="BB864">
        <v>853</v>
      </c>
      <c r="BC864">
        <v>869</v>
      </c>
      <c r="BD864" t="s">
        <v>74</v>
      </c>
      <c r="BE864" t="s">
        <v>16384</v>
      </c>
      <c r="BF864" t="str">
        <f>HYPERLINK("http://dx.doi.org/10.1093/plankt/fbad040","http://dx.doi.org/10.1093/plankt/fbad040")</f>
        <v>http://dx.doi.org/10.1093/plankt/fbad040</v>
      </c>
      <c r="BG864" t="s">
        <v>74</v>
      </c>
      <c r="BH864" t="s">
        <v>15880</v>
      </c>
      <c r="BI864">
        <v>17</v>
      </c>
      <c r="BJ864" t="s">
        <v>1476</v>
      </c>
      <c r="BK864" t="s">
        <v>100</v>
      </c>
      <c r="BL864" t="s">
        <v>1476</v>
      </c>
      <c r="BM864" t="s">
        <v>16385</v>
      </c>
      <c r="BN864" t="s">
        <v>74</v>
      </c>
      <c r="BO864" t="s">
        <v>74</v>
      </c>
      <c r="BP864" t="s">
        <v>74</v>
      </c>
      <c r="BQ864" t="s">
        <v>74</v>
      </c>
      <c r="BR864" t="s">
        <v>104</v>
      </c>
      <c r="BS864" t="s">
        <v>16386</v>
      </c>
      <c r="BT864" t="str">
        <f>HYPERLINK("https%3A%2F%2Fwww.webofscience.com%2Fwos%2Fwoscc%2Ffull-record%2FWOS:001072777400001","View Full Record in Web of Science")</f>
        <v>View Full Record in Web of Science</v>
      </c>
    </row>
    <row r="865" spans="1:72" x14ac:dyDescent="0.15">
      <c r="A865" t="s">
        <v>72</v>
      </c>
      <c r="B865" t="s">
        <v>16387</v>
      </c>
      <c r="C865" t="s">
        <v>74</v>
      </c>
      <c r="D865" t="s">
        <v>74</v>
      </c>
      <c r="E865" t="s">
        <v>74</v>
      </c>
      <c r="F865" t="s">
        <v>16388</v>
      </c>
      <c r="G865" t="s">
        <v>74</v>
      </c>
      <c r="H865" t="s">
        <v>74</v>
      </c>
      <c r="I865" t="s">
        <v>16389</v>
      </c>
      <c r="J865" t="s">
        <v>8204</v>
      </c>
      <c r="K865" t="s">
        <v>74</v>
      </c>
      <c r="L865" t="s">
        <v>74</v>
      </c>
      <c r="M865" t="s">
        <v>78</v>
      </c>
      <c r="N865" t="s">
        <v>79</v>
      </c>
      <c r="O865" t="s">
        <v>74</v>
      </c>
      <c r="P865" t="s">
        <v>74</v>
      </c>
      <c r="Q865" t="s">
        <v>74</v>
      </c>
      <c r="R865" t="s">
        <v>74</v>
      </c>
      <c r="S865" t="s">
        <v>74</v>
      </c>
      <c r="T865" t="s">
        <v>16390</v>
      </c>
      <c r="U865" t="s">
        <v>16391</v>
      </c>
      <c r="V865" t="s">
        <v>16392</v>
      </c>
      <c r="W865" t="s">
        <v>16393</v>
      </c>
      <c r="X865" t="s">
        <v>16394</v>
      </c>
      <c r="Y865" t="s">
        <v>16395</v>
      </c>
      <c r="Z865" t="s">
        <v>16396</v>
      </c>
      <c r="AA865" t="s">
        <v>16397</v>
      </c>
      <c r="AB865" t="s">
        <v>16398</v>
      </c>
      <c r="AC865" t="s">
        <v>16399</v>
      </c>
      <c r="AD865" t="s">
        <v>16400</v>
      </c>
      <c r="AE865" t="s">
        <v>16401</v>
      </c>
      <c r="AF865" t="s">
        <v>74</v>
      </c>
      <c r="AG865">
        <v>56</v>
      </c>
      <c r="AH865">
        <v>6</v>
      </c>
      <c r="AI865">
        <v>6</v>
      </c>
      <c r="AJ865">
        <v>2</v>
      </c>
      <c r="AK865">
        <v>4</v>
      </c>
      <c r="AL865" t="s">
        <v>8217</v>
      </c>
      <c r="AM865" t="s">
        <v>1209</v>
      </c>
      <c r="AN865" t="s">
        <v>8218</v>
      </c>
      <c r="AO865" t="s">
        <v>8219</v>
      </c>
      <c r="AP865" t="s">
        <v>8220</v>
      </c>
      <c r="AQ865" t="s">
        <v>74</v>
      </c>
      <c r="AR865" t="s">
        <v>8221</v>
      </c>
      <c r="AS865" t="s">
        <v>8222</v>
      </c>
      <c r="AT865" t="s">
        <v>16402</v>
      </c>
      <c r="AU865">
        <v>2023</v>
      </c>
      <c r="AV865">
        <v>120</v>
      </c>
      <c r="AW865">
        <v>39</v>
      </c>
      <c r="AX865" t="s">
        <v>74</v>
      </c>
      <c r="AY865" t="s">
        <v>74</v>
      </c>
      <c r="AZ865" t="s">
        <v>74</v>
      </c>
      <c r="BA865" t="s">
        <v>74</v>
      </c>
      <c r="BB865" t="s">
        <v>74</v>
      </c>
      <c r="BC865" t="s">
        <v>74</v>
      </c>
      <c r="BD865" t="s">
        <v>16403</v>
      </c>
      <c r="BE865" t="s">
        <v>16404</v>
      </c>
      <c r="BF865" t="str">
        <f>HYPERLINK("http://dx.doi.org/10.1073/pnas.2307638120","http://dx.doi.org/10.1073/pnas.2307638120")</f>
        <v>http://dx.doi.org/10.1073/pnas.2307638120</v>
      </c>
      <c r="BG865" t="s">
        <v>74</v>
      </c>
      <c r="BH865" t="s">
        <v>74</v>
      </c>
      <c r="BI865">
        <v>9</v>
      </c>
      <c r="BJ865" t="s">
        <v>1035</v>
      </c>
      <c r="BK865" t="s">
        <v>100</v>
      </c>
      <c r="BL865" t="s">
        <v>1036</v>
      </c>
      <c r="BM865" t="s">
        <v>16405</v>
      </c>
      <c r="BN865">
        <v>37722052</v>
      </c>
      <c r="BO865" t="s">
        <v>103</v>
      </c>
      <c r="BP865" t="s">
        <v>74</v>
      </c>
      <c r="BQ865" t="s">
        <v>74</v>
      </c>
      <c r="BR865" t="s">
        <v>104</v>
      </c>
      <c r="BS865" t="s">
        <v>16406</v>
      </c>
      <c r="BT865" t="str">
        <f>HYPERLINK("https%3A%2F%2Fwww.webofscience.com%2Fwos%2Fwoscc%2Ffull-record%2FWOS:001169830700009","View Full Record in Web of Science")</f>
        <v>View Full Record in Web of Science</v>
      </c>
    </row>
    <row r="866" spans="1:72" x14ac:dyDescent="0.15">
      <c r="A866" t="s">
        <v>72</v>
      </c>
      <c r="B866" t="s">
        <v>16407</v>
      </c>
      <c r="C866" t="s">
        <v>74</v>
      </c>
      <c r="D866" t="s">
        <v>74</v>
      </c>
      <c r="E866" t="s">
        <v>74</v>
      </c>
      <c r="F866" t="s">
        <v>16408</v>
      </c>
      <c r="G866" t="s">
        <v>74</v>
      </c>
      <c r="H866" t="s">
        <v>74</v>
      </c>
      <c r="I866" t="s">
        <v>16409</v>
      </c>
      <c r="J866" t="s">
        <v>2366</v>
      </c>
      <c r="K866" t="s">
        <v>74</v>
      </c>
      <c r="L866" t="s">
        <v>74</v>
      </c>
      <c r="M866" t="s">
        <v>78</v>
      </c>
      <c r="N866" t="s">
        <v>79</v>
      </c>
      <c r="O866" t="s">
        <v>74</v>
      </c>
      <c r="P866" t="s">
        <v>74</v>
      </c>
      <c r="Q866" t="s">
        <v>74</v>
      </c>
      <c r="R866" t="s">
        <v>74</v>
      </c>
      <c r="S866" t="s">
        <v>74</v>
      </c>
      <c r="T866" t="s">
        <v>74</v>
      </c>
      <c r="U866" t="s">
        <v>16410</v>
      </c>
      <c r="V866" t="s">
        <v>16411</v>
      </c>
      <c r="W866" t="s">
        <v>16412</v>
      </c>
      <c r="X866" t="s">
        <v>16413</v>
      </c>
      <c r="Y866" t="s">
        <v>16414</v>
      </c>
      <c r="Z866" t="s">
        <v>16415</v>
      </c>
      <c r="AA866" t="s">
        <v>16416</v>
      </c>
      <c r="AB866" t="s">
        <v>16417</v>
      </c>
      <c r="AC866" t="s">
        <v>16418</v>
      </c>
      <c r="AD866" t="s">
        <v>16419</v>
      </c>
      <c r="AE866" t="s">
        <v>16420</v>
      </c>
      <c r="AF866" t="s">
        <v>74</v>
      </c>
      <c r="AG866">
        <v>77</v>
      </c>
      <c r="AH866">
        <v>0</v>
      </c>
      <c r="AI866">
        <v>0</v>
      </c>
      <c r="AJ866">
        <v>5</v>
      </c>
      <c r="AK866">
        <v>5</v>
      </c>
      <c r="AL866" t="s">
        <v>1838</v>
      </c>
      <c r="AM866" t="s">
        <v>1839</v>
      </c>
      <c r="AN866" t="s">
        <v>1840</v>
      </c>
      <c r="AO866" t="s">
        <v>2377</v>
      </c>
      <c r="AP866" t="s">
        <v>2378</v>
      </c>
      <c r="AQ866" t="s">
        <v>74</v>
      </c>
      <c r="AR866" t="s">
        <v>2379</v>
      </c>
      <c r="AS866" t="s">
        <v>2380</v>
      </c>
      <c r="AT866" t="s">
        <v>16402</v>
      </c>
      <c r="AU866">
        <v>2023</v>
      </c>
      <c r="AV866">
        <v>23</v>
      </c>
      <c r="AW866">
        <v>18</v>
      </c>
      <c r="AX866" t="s">
        <v>74</v>
      </c>
      <c r="AY866" t="s">
        <v>74</v>
      </c>
      <c r="AZ866" t="s">
        <v>74</v>
      </c>
      <c r="BA866" t="s">
        <v>74</v>
      </c>
      <c r="BB866">
        <v>10697</v>
      </c>
      <c r="BC866">
        <v>10711</v>
      </c>
      <c r="BD866" t="s">
        <v>74</v>
      </c>
      <c r="BE866" t="s">
        <v>16421</v>
      </c>
      <c r="BF866" t="str">
        <f>HYPERLINK("http://dx.doi.org/10.5194/acp-23-10697-2023","http://dx.doi.org/10.5194/acp-23-10697-2023")</f>
        <v>http://dx.doi.org/10.5194/acp-23-10697-2023</v>
      </c>
      <c r="BG866" t="s">
        <v>74</v>
      </c>
      <c r="BH866" t="s">
        <v>74</v>
      </c>
      <c r="BI866">
        <v>15</v>
      </c>
      <c r="BJ866" t="s">
        <v>2382</v>
      </c>
      <c r="BK866" t="s">
        <v>100</v>
      </c>
      <c r="BL866" t="s">
        <v>2383</v>
      </c>
      <c r="BM866" t="s">
        <v>16422</v>
      </c>
      <c r="BN866" t="s">
        <v>74</v>
      </c>
      <c r="BO866" t="s">
        <v>183</v>
      </c>
      <c r="BP866" t="s">
        <v>74</v>
      </c>
      <c r="BQ866" t="s">
        <v>74</v>
      </c>
      <c r="BR866" t="s">
        <v>104</v>
      </c>
      <c r="BS866" t="s">
        <v>16423</v>
      </c>
      <c r="BT866" t="str">
        <f>HYPERLINK("https%3A%2F%2Fwww.webofscience.com%2Fwos%2Fwoscc%2Ffull-record%2FWOS:001162407900001","View Full Record in Web of Science")</f>
        <v>View Full Record in Web of Science</v>
      </c>
    </row>
    <row r="867" spans="1:72" x14ac:dyDescent="0.15">
      <c r="A867" t="s">
        <v>72</v>
      </c>
      <c r="B867" t="s">
        <v>16424</v>
      </c>
      <c r="C867" t="s">
        <v>74</v>
      </c>
      <c r="D867" t="s">
        <v>74</v>
      </c>
      <c r="E867" t="s">
        <v>74</v>
      </c>
      <c r="F867" t="s">
        <v>16425</v>
      </c>
      <c r="G867" t="s">
        <v>74</v>
      </c>
      <c r="H867" t="s">
        <v>74</v>
      </c>
      <c r="I867" t="s">
        <v>16426</v>
      </c>
      <c r="J867" t="s">
        <v>2809</v>
      </c>
      <c r="K867" t="s">
        <v>74</v>
      </c>
      <c r="L867" t="s">
        <v>74</v>
      </c>
      <c r="M867" t="s">
        <v>78</v>
      </c>
      <c r="N867" t="s">
        <v>79</v>
      </c>
      <c r="O867" t="s">
        <v>74</v>
      </c>
      <c r="P867" t="s">
        <v>74</v>
      </c>
      <c r="Q867" t="s">
        <v>74</v>
      </c>
      <c r="R867" t="s">
        <v>74</v>
      </c>
      <c r="S867" t="s">
        <v>74</v>
      </c>
      <c r="T867" t="s">
        <v>74</v>
      </c>
      <c r="U867" t="s">
        <v>16427</v>
      </c>
      <c r="V867" t="s">
        <v>16428</v>
      </c>
      <c r="W867" t="s">
        <v>16429</v>
      </c>
      <c r="X867" t="s">
        <v>16430</v>
      </c>
      <c r="Y867" t="s">
        <v>16431</v>
      </c>
      <c r="Z867" t="s">
        <v>16432</v>
      </c>
      <c r="AA867" t="s">
        <v>74</v>
      </c>
      <c r="AB867" t="s">
        <v>16433</v>
      </c>
      <c r="AC867" t="s">
        <v>16434</v>
      </c>
      <c r="AD867" t="s">
        <v>16435</v>
      </c>
      <c r="AE867" t="s">
        <v>16436</v>
      </c>
      <c r="AF867" t="s">
        <v>74</v>
      </c>
      <c r="AG867">
        <v>108</v>
      </c>
      <c r="AH867">
        <v>1</v>
      </c>
      <c r="AI867">
        <v>1</v>
      </c>
      <c r="AJ867">
        <v>1</v>
      </c>
      <c r="AK867">
        <v>1</v>
      </c>
      <c r="AL867" t="s">
        <v>1838</v>
      </c>
      <c r="AM867" t="s">
        <v>1839</v>
      </c>
      <c r="AN867" t="s">
        <v>1840</v>
      </c>
      <c r="AO867" t="s">
        <v>2818</v>
      </c>
      <c r="AP867" t="s">
        <v>2819</v>
      </c>
      <c r="AQ867" t="s">
        <v>74</v>
      </c>
      <c r="AR867" t="s">
        <v>2809</v>
      </c>
      <c r="AS867" t="s">
        <v>2820</v>
      </c>
      <c r="AT867" t="s">
        <v>16402</v>
      </c>
      <c r="AU867">
        <v>2023</v>
      </c>
      <c r="AV867">
        <v>17</v>
      </c>
      <c r="AW867">
        <v>9</v>
      </c>
      <c r="AX867" t="s">
        <v>74</v>
      </c>
      <c r="AY867" t="s">
        <v>74</v>
      </c>
      <c r="AZ867" t="s">
        <v>74</v>
      </c>
      <c r="BA867" t="s">
        <v>74</v>
      </c>
      <c r="BB867">
        <v>4079</v>
      </c>
      <c r="BC867">
        <v>4101</v>
      </c>
      <c r="BD867" t="s">
        <v>74</v>
      </c>
      <c r="BE867" t="s">
        <v>16437</v>
      </c>
      <c r="BF867" t="str">
        <f>HYPERLINK("http://dx.doi.org/10.5194/tc-17-4079-2023","http://dx.doi.org/10.5194/tc-17-4079-2023")</f>
        <v>http://dx.doi.org/10.5194/tc-17-4079-2023</v>
      </c>
      <c r="BG867" t="s">
        <v>74</v>
      </c>
      <c r="BH867" t="s">
        <v>74</v>
      </c>
      <c r="BI867">
        <v>23</v>
      </c>
      <c r="BJ867" t="s">
        <v>984</v>
      </c>
      <c r="BK867" t="s">
        <v>100</v>
      </c>
      <c r="BL867" t="s">
        <v>985</v>
      </c>
      <c r="BM867" t="s">
        <v>16438</v>
      </c>
      <c r="BN867" t="s">
        <v>74</v>
      </c>
      <c r="BO867" t="s">
        <v>5400</v>
      </c>
      <c r="BP867" t="s">
        <v>74</v>
      </c>
      <c r="BQ867" t="s">
        <v>74</v>
      </c>
      <c r="BR867" t="s">
        <v>104</v>
      </c>
      <c r="BS867" t="s">
        <v>16439</v>
      </c>
      <c r="BT867" t="str">
        <f>HYPERLINK("https%3A%2F%2Fwww.webofscience.com%2Fwos%2Fwoscc%2Ffull-record%2FWOS:001161771200001","View Full Record in Web of Science")</f>
        <v>View Full Record in Web of Science</v>
      </c>
    </row>
    <row r="868" spans="1:72" x14ac:dyDescent="0.15">
      <c r="A868" t="s">
        <v>72</v>
      </c>
      <c r="B868" t="s">
        <v>16440</v>
      </c>
      <c r="C868" t="s">
        <v>74</v>
      </c>
      <c r="D868" t="s">
        <v>74</v>
      </c>
      <c r="E868" t="s">
        <v>74</v>
      </c>
      <c r="F868" t="s">
        <v>16441</v>
      </c>
      <c r="G868" t="s">
        <v>74</v>
      </c>
      <c r="H868" t="s">
        <v>74</v>
      </c>
      <c r="I868" t="s">
        <v>16442</v>
      </c>
      <c r="J868" t="s">
        <v>8204</v>
      </c>
      <c r="K868" t="s">
        <v>74</v>
      </c>
      <c r="L868" t="s">
        <v>74</v>
      </c>
      <c r="M868" t="s">
        <v>78</v>
      </c>
      <c r="N868" t="s">
        <v>79</v>
      </c>
      <c r="O868" t="s">
        <v>74</v>
      </c>
      <c r="P868" t="s">
        <v>74</v>
      </c>
      <c r="Q868" t="s">
        <v>74</v>
      </c>
      <c r="R868" t="s">
        <v>74</v>
      </c>
      <c r="S868" t="s">
        <v>74</v>
      </c>
      <c r="T868" t="s">
        <v>16443</v>
      </c>
      <c r="U868" t="s">
        <v>16444</v>
      </c>
      <c r="V868" t="s">
        <v>16445</v>
      </c>
      <c r="W868" t="s">
        <v>16446</v>
      </c>
      <c r="X868" t="s">
        <v>16447</v>
      </c>
      <c r="Y868" t="s">
        <v>16448</v>
      </c>
      <c r="Z868" t="s">
        <v>16449</v>
      </c>
      <c r="AA868" t="s">
        <v>16450</v>
      </c>
      <c r="AB868" t="s">
        <v>16451</v>
      </c>
      <c r="AC868" t="s">
        <v>16452</v>
      </c>
      <c r="AD868" t="s">
        <v>16453</v>
      </c>
      <c r="AE868" t="s">
        <v>16454</v>
      </c>
      <c r="AF868" t="s">
        <v>74</v>
      </c>
      <c r="AG868">
        <v>67</v>
      </c>
      <c r="AH868">
        <v>1</v>
      </c>
      <c r="AI868">
        <v>1</v>
      </c>
      <c r="AJ868">
        <v>16</v>
      </c>
      <c r="AK868">
        <v>20</v>
      </c>
      <c r="AL868" t="s">
        <v>8217</v>
      </c>
      <c r="AM868" t="s">
        <v>1209</v>
      </c>
      <c r="AN868" t="s">
        <v>8218</v>
      </c>
      <c r="AO868" t="s">
        <v>8219</v>
      </c>
      <c r="AP868" t="s">
        <v>8220</v>
      </c>
      <c r="AQ868" t="s">
        <v>74</v>
      </c>
      <c r="AR868" t="s">
        <v>8221</v>
      </c>
      <c r="AS868" t="s">
        <v>8222</v>
      </c>
      <c r="AT868" t="s">
        <v>16402</v>
      </c>
      <c r="AU868">
        <v>2023</v>
      </c>
      <c r="AV868">
        <v>120</v>
      </c>
      <c r="AW868">
        <v>39</v>
      </c>
      <c r="AX868" t="s">
        <v>74</v>
      </c>
      <c r="AY868" t="s">
        <v>74</v>
      </c>
      <c r="AZ868" t="s">
        <v>74</v>
      </c>
      <c r="BA868" t="s">
        <v>74</v>
      </c>
      <c r="BB868" t="s">
        <v>74</v>
      </c>
      <c r="BC868" t="s">
        <v>74</v>
      </c>
      <c r="BD868" t="s">
        <v>16455</v>
      </c>
      <c r="BE868" t="s">
        <v>16456</v>
      </c>
      <c r="BF868" t="str">
        <f>HYPERLINK("http://dx.doi.org/10.1073/pnas.2302292120","http://dx.doi.org/10.1073/pnas.2302292120")</f>
        <v>http://dx.doi.org/10.1073/pnas.2302292120</v>
      </c>
      <c r="BG868" t="s">
        <v>74</v>
      </c>
      <c r="BH868" t="s">
        <v>74</v>
      </c>
      <c r="BI868">
        <v>9</v>
      </c>
      <c r="BJ868" t="s">
        <v>1035</v>
      </c>
      <c r="BK868" t="s">
        <v>100</v>
      </c>
      <c r="BL868" t="s">
        <v>1036</v>
      </c>
      <c r="BM868" t="s">
        <v>16457</v>
      </c>
      <c r="BN868">
        <v>37722044</v>
      </c>
      <c r="BO868" t="s">
        <v>103</v>
      </c>
      <c r="BP868" t="s">
        <v>74</v>
      </c>
      <c r="BQ868" t="s">
        <v>74</v>
      </c>
      <c r="BR868" t="s">
        <v>104</v>
      </c>
      <c r="BS868" t="s">
        <v>16458</v>
      </c>
      <c r="BT868" t="str">
        <f>HYPERLINK("https%3A%2F%2Fwww.webofscience.com%2Fwos%2Fwoscc%2Ffull-record%2FWOS:001157671600007","View Full Record in Web of Science")</f>
        <v>View Full Record in Web of Science</v>
      </c>
    </row>
    <row r="869" spans="1:72" x14ac:dyDescent="0.15">
      <c r="A869" t="s">
        <v>72</v>
      </c>
      <c r="B869" t="s">
        <v>16459</v>
      </c>
      <c r="C869" t="s">
        <v>74</v>
      </c>
      <c r="D869" t="s">
        <v>74</v>
      </c>
      <c r="E869" t="s">
        <v>74</v>
      </c>
      <c r="F869" t="s">
        <v>16460</v>
      </c>
      <c r="G869" t="s">
        <v>74</v>
      </c>
      <c r="H869" t="s">
        <v>74</v>
      </c>
      <c r="I869" t="s">
        <v>16461</v>
      </c>
      <c r="J869" t="s">
        <v>3748</v>
      </c>
      <c r="K869" t="s">
        <v>74</v>
      </c>
      <c r="L869" t="s">
        <v>74</v>
      </c>
      <c r="M869" t="s">
        <v>78</v>
      </c>
      <c r="N869" t="s">
        <v>3749</v>
      </c>
      <c r="O869" t="s">
        <v>74</v>
      </c>
      <c r="P869" t="s">
        <v>74</v>
      </c>
      <c r="Q869" t="s">
        <v>74</v>
      </c>
      <c r="R869" t="s">
        <v>74</v>
      </c>
      <c r="S869" t="s">
        <v>74</v>
      </c>
      <c r="T869" t="s">
        <v>74</v>
      </c>
      <c r="U869" t="s">
        <v>16462</v>
      </c>
      <c r="V869" t="s">
        <v>16463</v>
      </c>
      <c r="W869" t="s">
        <v>16464</v>
      </c>
      <c r="X869" t="s">
        <v>16465</v>
      </c>
      <c r="Y869" t="s">
        <v>16466</v>
      </c>
      <c r="Z869" t="s">
        <v>3755</v>
      </c>
      <c r="AA869" t="s">
        <v>74</v>
      </c>
      <c r="AB869" t="s">
        <v>74</v>
      </c>
      <c r="AC869" t="s">
        <v>16467</v>
      </c>
      <c r="AD869" t="s">
        <v>16468</v>
      </c>
      <c r="AE869" t="s">
        <v>16469</v>
      </c>
      <c r="AF869" t="s">
        <v>74</v>
      </c>
      <c r="AG869">
        <v>47</v>
      </c>
      <c r="AH869">
        <v>0</v>
      </c>
      <c r="AI869">
        <v>0</v>
      </c>
      <c r="AJ869">
        <v>0</v>
      </c>
      <c r="AK869">
        <v>0</v>
      </c>
      <c r="AL869" t="s">
        <v>3057</v>
      </c>
      <c r="AM869" t="s">
        <v>3058</v>
      </c>
      <c r="AN869" t="s">
        <v>3059</v>
      </c>
      <c r="AO869" t="s">
        <v>74</v>
      </c>
      <c r="AP869" t="s">
        <v>3760</v>
      </c>
      <c r="AQ869" t="s">
        <v>74</v>
      </c>
      <c r="AR869" t="s">
        <v>3761</v>
      </c>
      <c r="AS869" t="s">
        <v>3762</v>
      </c>
      <c r="AT869" t="s">
        <v>16402</v>
      </c>
      <c r="AU869">
        <v>2023</v>
      </c>
      <c r="AV869">
        <v>10</v>
      </c>
      <c r="AW869">
        <v>1</v>
      </c>
      <c r="AX869" t="s">
        <v>74</v>
      </c>
      <c r="AY869" t="s">
        <v>74</v>
      </c>
      <c r="AZ869" t="s">
        <v>74</v>
      </c>
      <c r="BA869" t="s">
        <v>74</v>
      </c>
      <c r="BB869" t="s">
        <v>74</v>
      </c>
      <c r="BC869" t="s">
        <v>74</v>
      </c>
      <c r="BD869" t="s">
        <v>74</v>
      </c>
      <c r="BE869" t="s">
        <v>74</v>
      </c>
      <c r="BF869" t="s">
        <v>74</v>
      </c>
      <c r="BG869" t="s">
        <v>74</v>
      </c>
      <c r="BH869" t="s">
        <v>74</v>
      </c>
      <c r="BI869">
        <v>9</v>
      </c>
      <c r="BJ869" t="s">
        <v>1035</v>
      </c>
      <c r="BK869" t="s">
        <v>100</v>
      </c>
      <c r="BL869" t="s">
        <v>1036</v>
      </c>
      <c r="BM869" t="s">
        <v>16470</v>
      </c>
      <c r="BN869" t="s">
        <v>74</v>
      </c>
      <c r="BO869" t="s">
        <v>74</v>
      </c>
      <c r="BP869" t="s">
        <v>74</v>
      </c>
      <c r="BQ869" t="s">
        <v>74</v>
      </c>
      <c r="BR869" t="s">
        <v>104</v>
      </c>
      <c r="BS869" t="s">
        <v>16471</v>
      </c>
      <c r="BT869" t="str">
        <f>HYPERLINK("https%3A%2F%2Fwww.webofscience.com%2Fwos%2Fwoscc%2Ffull-record%2FWOS:001073851500003","View Full Record in Web of Science")</f>
        <v>View Full Record in Web of Science</v>
      </c>
    </row>
    <row r="870" spans="1:72" x14ac:dyDescent="0.15">
      <c r="A870" t="s">
        <v>72</v>
      </c>
      <c r="B870" t="s">
        <v>16472</v>
      </c>
      <c r="C870" t="s">
        <v>74</v>
      </c>
      <c r="D870" t="s">
        <v>74</v>
      </c>
      <c r="E870" t="s">
        <v>74</v>
      </c>
      <c r="F870" t="s">
        <v>16473</v>
      </c>
      <c r="G870" t="s">
        <v>74</v>
      </c>
      <c r="H870" t="s">
        <v>74</v>
      </c>
      <c r="I870" t="s">
        <v>16474</v>
      </c>
      <c r="J870" t="s">
        <v>991</v>
      </c>
      <c r="K870" t="s">
        <v>74</v>
      </c>
      <c r="L870" t="s">
        <v>74</v>
      </c>
      <c r="M870" t="s">
        <v>78</v>
      </c>
      <c r="N870" t="s">
        <v>79</v>
      </c>
      <c r="O870" t="s">
        <v>74</v>
      </c>
      <c r="P870" t="s">
        <v>74</v>
      </c>
      <c r="Q870" t="s">
        <v>74</v>
      </c>
      <c r="R870" t="s">
        <v>74</v>
      </c>
      <c r="S870" t="s">
        <v>74</v>
      </c>
      <c r="T870" t="s">
        <v>16475</v>
      </c>
      <c r="U870" t="s">
        <v>16476</v>
      </c>
      <c r="V870" t="s">
        <v>16477</v>
      </c>
      <c r="W870" t="s">
        <v>16478</v>
      </c>
      <c r="X870" t="s">
        <v>16479</v>
      </c>
      <c r="Y870" t="s">
        <v>16480</v>
      </c>
      <c r="Z870" t="s">
        <v>16481</v>
      </c>
      <c r="AA870" t="s">
        <v>74</v>
      </c>
      <c r="AB870" t="s">
        <v>16482</v>
      </c>
      <c r="AC870" t="s">
        <v>74</v>
      </c>
      <c r="AD870" t="s">
        <v>74</v>
      </c>
      <c r="AE870" t="s">
        <v>74</v>
      </c>
      <c r="AF870" t="s">
        <v>74</v>
      </c>
      <c r="AG870">
        <v>145</v>
      </c>
      <c r="AH870">
        <v>2</v>
      </c>
      <c r="AI870">
        <v>2</v>
      </c>
      <c r="AJ870">
        <v>12</v>
      </c>
      <c r="AK870">
        <v>12</v>
      </c>
      <c r="AL870" t="s">
        <v>947</v>
      </c>
      <c r="AM870" t="s">
        <v>948</v>
      </c>
      <c r="AN870" t="s">
        <v>949</v>
      </c>
      <c r="AO870" t="s">
        <v>1004</v>
      </c>
      <c r="AP870" t="s">
        <v>1005</v>
      </c>
      <c r="AQ870" t="s">
        <v>74</v>
      </c>
      <c r="AR870" t="s">
        <v>1006</v>
      </c>
      <c r="AS870" t="s">
        <v>1007</v>
      </c>
      <c r="AT870" t="s">
        <v>2358</v>
      </c>
      <c r="AU870">
        <v>2023</v>
      </c>
      <c r="AV870">
        <v>905</v>
      </c>
      <c r="AW870" t="s">
        <v>74</v>
      </c>
      <c r="AX870" t="s">
        <v>74</v>
      </c>
      <c r="AY870" t="s">
        <v>74</v>
      </c>
      <c r="AZ870" t="s">
        <v>74</v>
      </c>
      <c r="BA870" t="s">
        <v>74</v>
      </c>
      <c r="BB870" t="s">
        <v>74</v>
      </c>
      <c r="BC870" t="s">
        <v>74</v>
      </c>
      <c r="BD870">
        <v>167239</v>
      </c>
      <c r="BE870" t="s">
        <v>16483</v>
      </c>
      <c r="BF870" t="str">
        <f>HYPERLINK("http://dx.doi.org/10.1016/j.scitotenv.2023.167239","http://dx.doi.org/10.1016/j.scitotenv.2023.167239")</f>
        <v>http://dx.doi.org/10.1016/j.scitotenv.2023.167239</v>
      </c>
      <c r="BG870" t="s">
        <v>74</v>
      </c>
      <c r="BH870" t="s">
        <v>15880</v>
      </c>
      <c r="BI870">
        <v>16</v>
      </c>
      <c r="BJ870" t="s">
        <v>1010</v>
      </c>
      <c r="BK870" t="s">
        <v>100</v>
      </c>
      <c r="BL870" t="s">
        <v>1011</v>
      </c>
      <c r="BM870" t="s">
        <v>16484</v>
      </c>
      <c r="BN870">
        <v>37742970</v>
      </c>
      <c r="BO870" t="s">
        <v>74</v>
      </c>
      <c r="BP870" t="s">
        <v>74</v>
      </c>
      <c r="BQ870" t="s">
        <v>74</v>
      </c>
      <c r="BR870" t="s">
        <v>104</v>
      </c>
      <c r="BS870" t="s">
        <v>16485</v>
      </c>
      <c r="BT870" t="str">
        <f>HYPERLINK("https%3A%2F%2Fwww.webofscience.com%2Fwos%2Fwoscc%2Ffull-record%2FWOS:001097307200001","View Full Record in Web of Science")</f>
        <v>View Full Record in Web of Science</v>
      </c>
    </row>
    <row r="871" spans="1:72" x14ac:dyDescent="0.15">
      <c r="A871" t="s">
        <v>72</v>
      </c>
      <c r="B871" t="s">
        <v>16486</v>
      </c>
      <c r="C871" t="s">
        <v>74</v>
      </c>
      <c r="D871" t="s">
        <v>74</v>
      </c>
      <c r="E871" t="s">
        <v>74</v>
      </c>
      <c r="F871" t="s">
        <v>16487</v>
      </c>
      <c r="G871" t="s">
        <v>74</v>
      </c>
      <c r="H871" t="s">
        <v>74</v>
      </c>
      <c r="I871" t="s">
        <v>16488</v>
      </c>
      <c r="J871" t="s">
        <v>16489</v>
      </c>
      <c r="K871" t="s">
        <v>74</v>
      </c>
      <c r="L871" t="s">
        <v>74</v>
      </c>
      <c r="M871" t="s">
        <v>78</v>
      </c>
      <c r="N871" t="s">
        <v>79</v>
      </c>
      <c r="O871" t="s">
        <v>74</v>
      </c>
      <c r="P871" t="s">
        <v>74</v>
      </c>
      <c r="Q871" t="s">
        <v>74</v>
      </c>
      <c r="R871" t="s">
        <v>74</v>
      </c>
      <c r="S871" t="s">
        <v>74</v>
      </c>
      <c r="T871" t="s">
        <v>16490</v>
      </c>
      <c r="U871" t="s">
        <v>16491</v>
      </c>
      <c r="V871" t="s">
        <v>16492</v>
      </c>
      <c r="W871" t="s">
        <v>16493</v>
      </c>
      <c r="X871" t="s">
        <v>16494</v>
      </c>
      <c r="Y871" t="s">
        <v>16495</v>
      </c>
      <c r="Z871" t="s">
        <v>16496</v>
      </c>
      <c r="AA871" t="s">
        <v>16497</v>
      </c>
      <c r="AB871" t="s">
        <v>16498</v>
      </c>
      <c r="AC871" t="s">
        <v>16499</v>
      </c>
      <c r="AD871" t="s">
        <v>16500</v>
      </c>
      <c r="AE871" t="s">
        <v>16501</v>
      </c>
      <c r="AF871" t="s">
        <v>74</v>
      </c>
      <c r="AG871">
        <v>71</v>
      </c>
      <c r="AH871">
        <v>1</v>
      </c>
      <c r="AI871">
        <v>2</v>
      </c>
      <c r="AJ871">
        <v>25</v>
      </c>
      <c r="AK871">
        <v>27</v>
      </c>
      <c r="AL871" t="s">
        <v>1101</v>
      </c>
      <c r="AM871" t="s">
        <v>1102</v>
      </c>
      <c r="AN871" t="s">
        <v>1103</v>
      </c>
      <c r="AO871" t="s">
        <v>16502</v>
      </c>
      <c r="AP871" t="s">
        <v>16503</v>
      </c>
      <c r="AQ871" t="s">
        <v>74</v>
      </c>
      <c r="AR871" t="s">
        <v>16504</v>
      </c>
      <c r="AS871" t="s">
        <v>16505</v>
      </c>
      <c r="AT871" t="s">
        <v>954</v>
      </c>
      <c r="AU871">
        <v>2024</v>
      </c>
      <c r="AV871">
        <v>25</v>
      </c>
      <c r="AW871">
        <v>1</v>
      </c>
      <c r="AX871" t="s">
        <v>74</v>
      </c>
      <c r="AY871" t="s">
        <v>74</v>
      </c>
      <c r="AZ871" t="s">
        <v>74</v>
      </c>
      <c r="BA871" t="s">
        <v>74</v>
      </c>
      <c r="BB871">
        <v>38</v>
      </c>
      <c r="BC871">
        <v>59</v>
      </c>
      <c r="BD871" t="s">
        <v>74</v>
      </c>
      <c r="BE871" t="s">
        <v>16506</v>
      </c>
      <c r="BF871" t="str">
        <f>HYPERLINK("http://dx.doi.org/10.1111/faf.12790","http://dx.doi.org/10.1111/faf.12790")</f>
        <v>http://dx.doi.org/10.1111/faf.12790</v>
      </c>
      <c r="BG871" t="s">
        <v>74</v>
      </c>
      <c r="BH871" t="s">
        <v>15880</v>
      </c>
      <c r="BI871">
        <v>22</v>
      </c>
      <c r="BJ871" t="s">
        <v>3362</v>
      </c>
      <c r="BK871" t="s">
        <v>100</v>
      </c>
      <c r="BL871" t="s">
        <v>3362</v>
      </c>
      <c r="BM871" t="s">
        <v>16507</v>
      </c>
      <c r="BN871" t="s">
        <v>74</v>
      </c>
      <c r="BO871" t="s">
        <v>103</v>
      </c>
      <c r="BP871" t="s">
        <v>74</v>
      </c>
      <c r="BQ871" t="s">
        <v>74</v>
      </c>
      <c r="BR871" t="s">
        <v>104</v>
      </c>
      <c r="BS871" t="s">
        <v>16508</v>
      </c>
      <c r="BT871" t="str">
        <f>HYPERLINK("https%3A%2F%2Fwww.webofscience.com%2Fwos%2Fwoscc%2Ffull-record%2FWOS:001070512700001","View Full Record in Web of Science")</f>
        <v>View Full Record in Web of Science</v>
      </c>
    </row>
    <row r="872" spans="1:72" x14ac:dyDescent="0.15">
      <c r="A872" t="s">
        <v>72</v>
      </c>
      <c r="B872" t="s">
        <v>16509</v>
      </c>
      <c r="C872" t="s">
        <v>74</v>
      </c>
      <c r="D872" t="s">
        <v>74</v>
      </c>
      <c r="E872" t="s">
        <v>74</v>
      </c>
      <c r="F872" t="s">
        <v>16510</v>
      </c>
      <c r="G872" t="s">
        <v>74</v>
      </c>
      <c r="H872" t="s">
        <v>74</v>
      </c>
      <c r="I872" t="s">
        <v>16511</v>
      </c>
      <c r="J872" t="s">
        <v>3045</v>
      </c>
      <c r="K872" t="s">
        <v>74</v>
      </c>
      <c r="L872" t="s">
        <v>74</v>
      </c>
      <c r="M872" t="s">
        <v>78</v>
      </c>
      <c r="N872" t="s">
        <v>79</v>
      </c>
      <c r="O872" t="s">
        <v>74</v>
      </c>
      <c r="P872" t="s">
        <v>74</v>
      </c>
      <c r="Q872" t="s">
        <v>74</v>
      </c>
      <c r="R872" t="s">
        <v>74</v>
      </c>
      <c r="S872" t="s">
        <v>74</v>
      </c>
      <c r="T872" t="s">
        <v>74</v>
      </c>
      <c r="U872" t="s">
        <v>16512</v>
      </c>
      <c r="V872" t="s">
        <v>16513</v>
      </c>
      <c r="W872" t="s">
        <v>16514</v>
      </c>
      <c r="X872" t="s">
        <v>16515</v>
      </c>
      <c r="Y872" t="s">
        <v>16516</v>
      </c>
      <c r="Z872" t="s">
        <v>16517</v>
      </c>
      <c r="AA872" t="s">
        <v>16518</v>
      </c>
      <c r="AB872" t="s">
        <v>16519</v>
      </c>
      <c r="AC872" t="s">
        <v>16520</v>
      </c>
      <c r="AD872" t="s">
        <v>16521</v>
      </c>
      <c r="AE872" t="s">
        <v>16522</v>
      </c>
      <c r="AF872" t="s">
        <v>74</v>
      </c>
      <c r="AG872">
        <v>68</v>
      </c>
      <c r="AH872">
        <v>0</v>
      </c>
      <c r="AI872">
        <v>0</v>
      </c>
      <c r="AJ872">
        <v>0</v>
      </c>
      <c r="AK872">
        <v>0</v>
      </c>
      <c r="AL872" t="s">
        <v>3057</v>
      </c>
      <c r="AM872" t="s">
        <v>3058</v>
      </c>
      <c r="AN872" t="s">
        <v>3059</v>
      </c>
      <c r="AO872" t="s">
        <v>3060</v>
      </c>
      <c r="AP872" t="s">
        <v>74</v>
      </c>
      <c r="AQ872" t="s">
        <v>74</v>
      </c>
      <c r="AR872" t="s">
        <v>3061</v>
      </c>
      <c r="AS872" t="s">
        <v>3062</v>
      </c>
      <c r="AT872" t="s">
        <v>16523</v>
      </c>
      <c r="AU872">
        <v>2023</v>
      </c>
      <c r="AV872">
        <v>13</v>
      </c>
      <c r="AW872">
        <v>1</v>
      </c>
      <c r="AX872" t="s">
        <v>74</v>
      </c>
      <c r="AY872" t="s">
        <v>74</v>
      </c>
      <c r="AZ872" t="s">
        <v>74</v>
      </c>
      <c r="BA872" t="s">
        <v>74</v>
      </c>
      <c r="BB872" t="s">
        <v>74</v>
      </c>
      <c r="BC872" t="s">
        <v>74</v>
      </c>
      <c r="BD872">
        <v>15959</v>
      </c>
      <c r="BE872" t="s">
        <v>16524</v>
      </c>
      <c r="BF872" t="str">
        <f>HYPERLINK("http://dx.doi.org/10.1038/s41598-023-42910-8","http://dx.doi.org/10.1038/s41598-023-42910-8")</f>
        <v>http://dx.doi.org/10.1038/s41598-023-42910-8</v>
      </c>
      <c r="BG872" t="s">
        <v>74</v>
      </c>
      <c r="BH872" t="s">
        <v>74</v>
      </c>
      <c r="BI872">
        <v>14</v>
      </c>
      <c r="BJ872" t="s">
        <v>1035</v>
      </c>
      <c r="BK872" t="s">
        <v>100</v>
      </c>
      <c r="BL872" t="s">
        <v>1036</v>
      </c>
      <c r="BM872" t="s">
        <v>16525</v>
      </c>
      <c r="BN872">
        <v>37749123</v>
      </c>
      <c r="BO872" t="s">
        <v>265</v>
      </c>
      <c r="BP872" t="s">
        <v>74</v>
      </c>
      <c r="BQ872" t="s">
        <v>74</v>
      </c>
      <c r="BR872" t="s">
        <v>104</v>
      </c>
      <c r="BS872" t="s">
        <v>16526</v>
      </c>
      <c r="BT872" t="str">
        <f>HYPERLINK("https%3A%2F%2Fwww.webofscience.com%2Fwos%2Fwoscc%2Ffull-record%2FWOS:001116558400039","View Full Record in Web of Science")</f>
        <v>View Full Record in Web of Science</v>
      </c>
    </row>
    <row r="873" spans="1:72" x14ac:dyDescent="0.15">
      <c r="A873" t="s">
        <v>72</v>
      </c>
      <c r="B873" t="s">
        <v>16527</v>
      </c>
      <c r="C873" t="s">
        <v>74</v>
      </c>
      <c r="D873" t="s">
        <v>74</v>
      </c>
      <c r="E873" t="s">
        <v>74</v>
      </c>
      <c r="F873" t="s">
        <v>16528</v>
      </c>
      <c r="G873" t="s">
        <v>74</v>
      </c>
      <c r="H873" t="s">
        <v>74</v>
      </c>
      <c r="I873" t="s">
        <v>16529</v>
      </c>
      <c r="J873" t="s">
        <v>16530</v>
      </c>
      <c r="K873" t="s">
        <v>74</v>
      </c>
      <c r="L873" t="s">
        <v>74</v>
      </c>
      <c r="M873" t="s">
        <v>78</v>
      </c>
      <c r="N873" t="s">
        <v>79</v>
      </c>
      <c r="O873" t="s">
        <v>74</v>
      </c>
      <c r="P873" t="s">
        <v>74</v>
      </c>
      <c r="Q873" t="s">
        <v>74</v>
      </c>
      <c r="R873" t="s">
        <v>74</v>
      </c>
      <c r="S873" t="s">
        <v>74</v>
      </c>
      <c r="T873" t="s">
        <v>16531</v>
      </c>
      <c r="U873" t="s">
        <v>16532</v>
      </c>
      <c r="V873" t="s">
        <v>16533</v>
      </c>
      <c r="W873" t="s">
        <v>16534</v>
      </c>
      <c r="X873" t="s">
        <v>16535</v>
      </c>
      <c r="Y873" t="s">
        <v>16536</v>
      </c>
      <c r="Z873" t="s">
        <v>16537</v>
      </c>
      <c r="AA873" t="s">
        <v>74</v>
      </c>
      <c r="AB873" t="s">
        <v>16538</v>
      </c>
      <c r="AC873" t="s">
        <v>16539</v>
      </c>
      <c r="AD873" t="s">
        <v>16539</v>
      </c>
      <c r="AE873" t="s">
        <v>16540</v>
      </c>
      <c r="AF873" t="s">
        <v>74</v>
      </c>
      <c r="AG873">
        <v>89</v>
      </c>
      <c r="AH873">
        <v>0</v>
      </c>
      <c r="AI873">
        <v>0</v>
      </c>
      <c r="AJ873">
        <v>9</v>
      </c>
      <c r="AK873">
        <v>9</v>
      </c>
      <c r="AL873" t="s">
        <v>947</v>
      </c>
      <c r="AM873" t="s">
        <v>948</v>
      </c>
      <c r="AN873" t="s">
        <v>949</v>
      </c>
      <c r="AO873" t="s">
        <v>16541</v>
      </c>
      <c r="AP873" t="s">
        <v>16542</v>
      </c>
      <c r="AQ873" t="s">
        <v>74</v>
      </c>
      <c r="AR873" t="s">
        <v>16543</v>
      </c>
      <c r="AS873" t="s">
        <v>16544</v>
      </c>
      <c r="AT873" t="s">
        <v>9002</v>
      </c>
      <c r="AU873">
        <v>2023</v>
      </c>
      <c r="AV873">
        <v>390</v>
      </c>
      <c r="AW873" t="s">
        <v>74</v>
      </c>
      <c r="AX873" t="s">
        <v>16545</v>
      </c>
      <c r="AY873" t="s">
        <v>74</v>
      </c>
      <c r="AZ873" t="s">
        <v>74</v>
      </c>
      <c r="BA873" t="s">
        <v>74</v>
      </c>
      <c r="BB873" t="s">
        <v>74</v>
      </c>
      <c r="BC873" t="s">
        <v>74</v>
      </c>
      <c r="BD873">
        <v>123050</v>
      </c>
      <c r="BE873" t="s">
        <v>16546</v>
      </c>
      <c r="BF873" t="str">
        <f>HYPERLINK("http://dx.doi.org/10.1016/j.molliq.2023.123050","http://dx.doi.org/10.1016/j.molliq.2023.123050")</f>
        <v>http://dx.doi.org/10.1016/j.molliq.2023.123050</v>
      </c>
      <c r="BG873" t="s">
        <v>74</v>
      </c>
      <c r="BH873" t="s">
        <v>15880</v>
      </c>
      <c r="BI873">
        <v>14</v>
      </c>
      <c r="BJ873" t="s">
        <v>16547</v>
      </c>
      <c r="BK873" t="s">
        <v>100</v>
      </c>
      <c r="BL873" t="s">
        <v>16548</v>
      </c>
      <c r="BM873" t="s">
        <v>16549</v>
      </c>
      <c r="BN873" t="s">
        <v>74</v>
      </c>
      <c r="BO873" t="s">
        <v>74</v>
      </c>
      <c r="BP873" t="s">
        <v>74</v>
      </c>
      <c r="BQ873" t="s">
        <v>74</v>
      </c>
      <c r="BR873" t="s">
        <v>104</v>
      </c>
      <c r="BS873" t="s">
        <v>16550</v>
      </c>
      <c r="BT873" t="str">
        <f>HYPERLINK("https%3A%2F%2Fwww.webofscience.com%2Fwos%2Fwoscc%2Ffull-record%2FWOS:001084783400001","View Full Record in Web of Science")</f>
        <v>View Full Record in Web of Science</v>
      </c>
    </row>
    <row r="874" spans="1:72" x14ac:dyDescent="0.15">
      <c r="A874" t="s">
        <v>72</v>
      </c>
      <c r="B874" t="s">
        <v>16551</v>
      </c>
      <c r="C874" t="s">
        <v>74</v>
      </c>
      <c r="D874" t="s">
        <v>74</v>
      </c>
      <c r="E874" t="s">
        <v>74</v>
      </c>
      <c r="F874" t="s">
        <v>16552</v>
      </c>
      <c r="G874" t="s">
        <v>74</v>
      </c>
      <c r="H874" t="s">
        <v>74</v>
      </c>
      <c r="I874" t="s">
        <v>16553</v>
      </c>
      <c r="J874" t="s">
        <v>7079</v>
      </c>
      <c r="K874" t="s">
        <v>74</v>
      </c>
      <c r="L874" t="s">
        <v>74</v>
      </c>
      <c r="M874" t="s">
        <v>78</v>
      </c>
      <c r="N874" t="s">
        <v>1459</v>
      </c>
      <c r="O874" t="s">
        <v>74</v>
      </c>
      <c r="P874" t="s">
        <v>74</v>
      </c>
      <c r="Q874" t="s">
        <v>74</v>
      </c>
      <c r="R874" t="s">
        <v>74</v>
      </c>
      <c r="S874" t="s">
        <v>74</v>
      </c>
      <c r="T874" t="s">
        <v>74</v>
      </c>
      <c r="U874" t="s">
        <v>74</v>
      </c>
      <c r="V874" t="s">
        <v>74</v>
      </c>
      <c r="W874" t="s">
        <v>16554</v>
      </c>
      <c r="X874" t="s">
        <v>16555</v>
      </c>
      <c r="Y874" t="s">
        <v>16556</v>
      </c>
      <c r="Z874" t="s">
        <v>16557</v>
      </c>
      <c r="AA874" t="s">
        <v>16558</v>
      </c>
      <c r="AB874" t="s">
        <v>16559</v>
      </c>
      <c r="AC874" t="s">
        <v>74</v>
      </c>
      <c r="AD874" t="s">
        <v>74</v>
      </c>
      <c r="AE874" t="s">
        <v>74</v>
      </c>
      <c r="AF874" t="s">
        <v>74</v>
      </c>
      <c r="AG874">
        <v>3</v>
      </c>
      <c r="AH874">
        <v>0</v>
      </c>
      <c r="AI874">
        <v>0</v>
      </c>
      <c r="AJ874">
        <v>9</v>
      </c>
      <c r="AK874">
        <v>9</v>
      </c>
      <c r="AL874" t="s">
        <v>3057</v>
      </c>
      <c r="AM874" t="s">
        <v>3058</v>
      </c>
      <c r="AN874" t="s">
        <v>3059</v>
      </c>
      <c r="AO874" t="s">
        <v>7091</v>
      </c>
      <c r="AP874" t="s">
        <v>74</v>
      </c>
      <c r="AQ874" t="s">
        <v>74</v>
      </c>
      <c r="AR874" t="s">
        <v>7092</v>
      </c>
      <c r="AS874" t="s">
        <v>7093</v>
      </c>
      <c r="AT874" t="s">
        <v>4525</v>
      </c>
      <c r="AU874">
        <v>2023</v>
      </c>
      <c r="AV874">
        <v>6</v>
      </c>
      <c r="AW874">
        <v>11</v>
      </c>
      <c r="AX874" t="s">
        <v>74</v>
      </c>
      <c r="AY874" t="s">
        <v>74</v>
      </c>
      <c r="AZ874" t="s">
        <v>74</v>
      </c>
      <c r="BA874" t="s">
        <v>74</v>
      </c>
      <c r="BB874">
        <v>1314</v>
      </c>
      <c r="BC874">
        <v>1315</v>
      </c>
      <c r="BD874" t="s">
        <v>74</v>
      </c>
      <c r="BE874" t="s">
        <v>16560</v>
      </c>
      <c r="BF874" t="str">
        <f>HYPERLINK("http://dx.doi.org/10.1038/s41893-023-01223-4","http://dx.doi.org/10.1038/s41893-023-01223-4")</f>
        <v>http://dx.doi.org/10.1038/s41893-023-01223-4</v>
      </c>
      <c r="BG874" t="s">
        <v>74</v>
      </c>
      <c r="BH874" t="s">
        <v>15880</v>
      </c>
      <c r="BI874">
        <v>2</v>
      </c>
      <c r="BJ874" t="s">
        <v>7095</v>
      </c>
      <c r="BK874" t="s">
        <v>456</v>
      </c>
      <c r="BL874" t="s">
        <v>7096</v>
      </c>
      <c r="BM874" t="s">
        <v>16561</v>
      </c>
      <c r="BN874" t="s">
        <v>74</v>
      </c>
      <c r="BO874" t="s">
        <v>74</v>
      </c>
      <c r="BP874" t="s">
        <v>74</v>
      </c>
      <c r="BQ874" t="s">
        <v>74</v>
      </c>
      <c r="BR874" t="s">
        <v>104</v>
      </c>
      <c r="BS874" t="s">
        <v>16562</v>
      </c>
      <c r="BT874" t="str">
        <f>HYPERLINK("https%3A%2F%2Fwww.webofscience.com%2Fwos%2Fwoscc%2Ffull-record%2FWOS:001073512000002","View Full Record in Web of Science")</f>
        <v>View Full Record in Web of Science</v>
      </c>
    </row>
    <row r="875" spans="1:72" x14ac:dyDescent="0.15">
      <c r="A875" t="s">
        <v>72</v>
      </c>
      <c r="B875" t="s">
        <v>16563</v>
      </c>
      <c r="C875" t="s">
        <v>74</v>
      </c>
      <c r="D875" t="s">
        <v>74</v>
      </c>
      <c r="E875" t="s">
        <v>74</v>
      </c>
      <c r="F875" t="s">
        <v>16564</v>
      </c>
      <c r="G875" t="s">
        <v>74</v>
      </c>
      <c r="H875" t="s">
        <v>74</v>
      </c>
      <c r="I875" t="s">
        <v>16565</v>
      </c>
      <c r="J875" t="s">
        <v>1243</v>
      </c>
      <c r="K875" t="s">
        <v>74</v>
      </c>
      <c r="L875" t="s">
        <v>74</v>
      </c>
      <c r="M875" t="s">
        <v>78</v>
      </c>
      <c r="N875" t="s">
        <v>1547</v>
      </c>
      <c r="O875" t="s">
        <v>74</v>
      </c>
      <c r="P875" t="s">
        <v>74</v>
      </c>
      <c r="Q875" t="s">
        <v>74</v>
      </c>
      <c r="R875" t="s">
        <v>74</v>
      </c>
      <c r="S875" t="s">
        <v>74</v>
      </c>
      <c r="T875" t="s">
        <v>16566</v>
      </c>
      <c r="U875" t="s">
        <v>16567</v>
      </c>
      <c r="V875" t="s">
        <v>16568</v>
      </c>
      <c r="W875" t="s">
        <v>16569</v>
      </c>
      <c r="X875" t="s">
        <v>16570</v>
      </c>
      <c r="Y875" t="s">
        <v>16571</v>
      </c>
      <c r="Z875" t="s">
        <v>16572</v>
      </c>
      <c r="AA875" t="s">
        <v>16573</v>
      </c>
      <c r="AB875" t="s">
        <v>16574</v>
      </c>
      <c r="AC875" t="s">
        <v>16575</v>
      </c>
      <c r="AD875" t="s">
        <v>16575</v>
      </c>
      <c r="AE875" t="s">
        <v>16575</v>
      </c>
      <c r="AF875" t="s">
        <v>74</v>
      </c>
      <c r="AG875">
        <v>132</v>
      </c>
      <c r="AH875">
        <v>0</v>
      </c>
      <c r="AI875">
        <v>0</v>
      </c>
      <c r="AJ875">
        <v>7</v>
      </c>
      <c r="AK875">
        <v>8</v>
      </c>
      <c r="AL875" t="s">
        <v>1075</v>
      </c>
      <c r="AM875" t="s">
        <v>1076</v>
      </c>
      <c r="AN875" t="s">
        <v>1077</v>
      </c>
      <c r="AO875" t="s">
        <v>1256</v>
      </c>
      <c r="AP875" t="s">
        <v>1257</v>
      </c>
      <c r="AQ875" t="s">
        <v>74</v>
      </c>
      <c r="AR875" t="s">
        <v>1258</v>
      </c>
      <c r="AS875" t="s">
        <v>1259</v>
      </c>
      <c r="AT875" t="s">
        <v>16576</v>
      </c>
      <c r="AU875">
        <v>2023</v>
      </c>
      <c r="AV875" t="s">
        <v>74</v>
      </c>
      <c r="AW875" t="s">
        <v>74</v>
      </c>
      <c r="AX875" t="s">
        <v>74</v>
      </c>
      <c r="AY875" t="s">
        <v>74</v>
      </c>
      <c r="AZ875" t="s">
        <v>74</v>
      </c>
      <c r="BA875" t="s">
        <v>74</v>
      </c>
      <c r="BB875" t="s">
        <v>74</v>
      </c>
      <c r="BC875" t="s">
        <v>74</v>
      </c>
      <c r="BD875" t="s">
        <v>74</v>
      </c>
      <c r="BE875" t="s">
        <v>16577</v>
      </c>
      <c r="BF875" t="str">
        <f>HYPERLINK("http://dx.doi.org/10.1007/s00300-023-03198-6","http://dx.doi.org/10.1007/s00300-023-03198-6")</f>
        <v>http://dx.doi.org/10.1007/s00300-023-03198-6</v>
      </c>
      <c r="BG875" t="s">
        <v>74</v>
      </c>
      <c r="BH875" t="s">
        <v>15880</v>
      </c>
      <c r="BI875">
        <v>17</v>
      </c>
      <c r="BJ875" t="s">
        <v>1261</v>
      </c>
      <c r="BK875" t="s">
        <v>100</v>
      </c>
      <c r="BL875" t="s">
        <v>913</v>
      </c>
      <c r="BM875" t="s">
        <v>16578</v>
      </c>
      <c r="BN875" t="s">
        <v>74</v>
      </c>
      <c r="BO875" t="s">
        <v>322</v>
      </c>
      <c r="BP875" t="s">
        <v>74</v>
      </c>
      <c r="BQ875" t="s">
        <v>74</v>
      </c>
      <c r="BR875" t="s">
        <v>104</v>
      </c>
      <c r="BS875" t="s">
        <v>16579</v>
      </c>
      <c r="BT875" t="str">
        <f>HYPERLINK("https%3A%2F%2Fwww.webofscience.com%2Fwos%2Fwoscc%2Ffull-record%2FWOS:001070150900001","View Full Record in Web of Science")</f>
        <v>View Full Record in Web of Science</v>
      </c>
    </row>
    <row r="876" spans="1:72" x14ac:dyDescent="0.15">
      <c r="A876" t="s">
        <v>72</v>
      </c>
      <c r="B876" t="s">
        <v>16580</v>
      </c>
      <c r="C876" t="s">
        <v>74</v>
      </c>
      <c r="D876" t="s">
        <v>74</v>
      </c>
      <c r="E876" t="s">
        <v>74</v>
      </c>
      <c r="F876" t="s">
        <v>16581</v>
      </c>
      <c r="G876" t="s">
        <v>74</v>
      </c>
      <c r="H876" t="s">
        <v>74</v>
      </c>
      <c r="I876" t="s">
        <v>16582</v>
      </c>
      <c r="J876" t="s">
        <v>16583</v>
      </c>
      <c r="K876" t="s">
        <v>74</v>
      </c>
      <c r="L876" t="s">
        <v>74</v>
      </c>
      <c r="M876" t="s">
        <v>78</v>
      </c>
      <c r="N876" t="s">
        <v>79</v>
      </c>
      <c r="O876" t="s">
        <v>74</v>
      </c>
      <c r="P876" t="s">
        <v>74</v>
      </c>
      <c r="Q876" t="s">
        <v>74</v>
      </c>
      <c r="R876" t="s">
        <v>74</v>
      </c>
      <c r="S876" t="s">
        <v>74</v>
      </c>
      <c r="T876" t="s">
        <v>16584</v>
      </c>
      <c r="U876" t="s">
        <v>16585</v>
      </c>
      <c r="V876" t="s">
        <v>16586</v>
      </c>
      <c r="W876" t="s">
        <v>16587</v>
      </c>
      <c r="X876" t="s">
        <v>16588</v>
      </c>
      <c r="Y876" t="s">
        <v>16589</v>
      </c>
      <c r="Z876" t="s">
        <v>16590</v>
      </c>
      <c r="AA876" t="s">
        <v>74</v>
      </c>
      <c r="AB876" t="s">
        <v>16591</v>
      </c>
      <c r="AC876" t="s">
        <v>16592</v>
      </c>
      <c r="AD876" t="s">
        <v>16593</v>
      </c>
      <c r="AE876" t="s">
        <v>16594</v>
      </c>
      <c r="AF876" t="s">
        <v>74</v>
      </c>
      <c r="AG876">
        <v>100</v>
      </c>
      <c r="AH876">
        <v>1</v>
      </c>
      <c r="AI876">
        <v>1</v>
      </c>
      <c r="AJ876">
        <v>4</v>
      </c>
      <c r="AK876">
        <v>4</v>
      </c>
      <c r="AL876" t="s">
        <v>975</v>
      </c>
      <c r="AM876" t="s">
        <v>976</v>
      </c>
      <c r="AN876" t="s">
        <v>977</v>
      </c>
      <c r="AO876" t="s">
        <v>16595</v>
      </c>
      <c r="AP876" t="s">
        <v>16596</v>
      </c>
      <c r="AQ876" t="s">
        <v>74</v>
      </c>
      <c r="AR876" t="s">
        <v>16597</v>
      </c>
      <c r="AS876" t="s">
        <v>16598</v>
      </c>
      <c r="AT876" t="s">
        <v>16599</v>
      </c>
      <c r="AU876">
        <v>2023</v>
      </c>
      <c r="AV876">
        <v>268</v>
      </c>
      <c r="AW876" t="s">
        <v>74</v>
      </c>
      <c r="AX876" t="s">
        <v>74</v>
      </c>
      <c r="AY876" t="s">
        <v>74</v>
      </c>
      <c r="AZ876" t="s">
        <v>74</v>
      </c>
      <c r="BA876" t="s">
        <v>74</v>
      </c>
      <c r="BB876" t="s">
        <v>74</v>
      </c>
      <c r="BC876" t="s">
        <v>74</v>
      </c>
      <c r="BD876">
        <v>105126</v>
      </c>
      <c r="BE876" t="s">
        <v>16600</v>
      </c>
      <c r="BF876" t="str">
        <f>HYPERLINK("http://dx.doi.org/10.1016/j.csr.2023.105126","http://dx.doi.org/10.1016/j.csr.2023.105126")</f>
        <v>http://dx.doi.org/10.1016/j.csr.2023.105126</v>
      </c>
      <c r="BG876" t="s">
        <v>74</v>
      </c>
      <c r="BH876" t="s">
        <v>15880</v>
      </c>
      <c r="BI876">
        <v>12</v>
      </c>
      <c r="BJ876" t="s">
        <v>5060</v>
      </c>
      <c r="BK876" t="s">
        <v>100</v>
      </c>
      <c r="BL876" t="s">
        <v>5060</v>
      </c>
      <c r="BM876" t="s">
        <v>16601</v>
      </c>
      <c r="BN876" t="s">
        <v>74</v>
      </c>
      <c r="BO876" t="s">
        <v>103</v>
      </c>
      <c r="BP876" t="s">
        <v>74</v>
      </c>
      <c r="BQ876" t="s">
        <v>74</v>
      </c>
      <c r="BR876" t="s">
        <v>104</v>
      </c>
      <c r="BS876" t="s">
        <v>16602</v>
      </c>
      <c r="BT876" t="str">
        <f>HYPERLINK("https%3A%2F%2Fwww.webofscience.com%2Fwos%2Fwoscc%2Ffull-record%2FWOS:001149788100001","View Full Record in Web of Science")</f>
        <v>View Full Record in Web of Science</v>
      </c>
    </row>
    <row r="877" spans="1:72" x14ac:dyDescent="0.15">
      <c r="A877" t="s">
        <v>72</v>
      </c>
      <c r="B877" t="s">
        <v>16603</v>
      </c>
      <c r="C877" t="s">
        <v>74</v>
      </c>
      <c r="D877" t="s">
        <v>74</v>
      </c>
      <c r="E877" t="s">
        <v>74</v>
      </c>
      <c r="F877" t="s">
        <v>16604</v>
      </c>
      <c r="G877" t="s">
        <v>74</v>
      </c>
      <c r="H877" t="s">
        <v>74</v>
      </c>
      <c r="I877" t="s">
        <v>16605</v>
      </c>
      <c r="J877" t="s">
        <v>3045</v>
      </c>
      <c r="K877" t="s">
        <v>74</v>
      </c>
      <c r="L877" t="s">
        <v>74</v>
      </c>
      <c r="M877" t="s">
        <v>78</v>
      </c>
      <c r="N877" t="s">
        <v>79</v>
      </c>
      <c r="O877" t="s">
        <v>74</v>
      </c>
      <c r="P877" t="s">
        <v>74</v>
      </c>
      <c r="Q877" t="s">
        <v>74</v>
      </c>
      <c r="R877" t="s">
        <v>74</v>
      </c>
      <c r="S877" t="s">
        <v>74</v>
      </c>
      <c r="T877" t="s">
        <v>74</v>
      </c>
      <c r="U877" t="s">
        <v>16606</v>
      </c>
      <c r="V877" t="s">
        <v>16607</v>
      </c>
      <c r="W877" t="s">
        <v>16608</v>
      </c>
      <c r="X877" t="s">
        <v>16609</v>
      </c>
      <c r="Y877" t="s">
        <v>16610</v>
      </c>
      <c r="Z877" t="s">
        <v>16611</v>
      </c>
      <c r="AA877" t="s">
        <v>74</v>
      </c>
      <c r="AB877" t="s">
        <v>74</v>
      </c>
      <c r="AC877" t="s">
        <v>16612</v>
      </c>
      <c r="AD877" t="s">
        <v>16613</v>
      </c>
      <c r="AE877" t="s">
        <v>16614</v>
      </c>
      <c r="AF877" t="s">
        <v>74</v>
      </c>
      <c r="AG877">
        <v>60</v>
      </c>
      <c r="AH877">
        <v>0</v>
      </c>
      <c r="AI877">
        <v>0</v>
      </c>
      <c r="AJ877">
        <v>0</v>
      </c>
      <c r="AK877">
        <v>0</v>
      </c>
      <c r="AL877" t="s">
        <v>3057</v>
      </c>
      <c r="AM877" t="s">
        <v>3058</v>
      </c>
      <c r="AN877" t="s">
        <v>3059</v>
      </c>
      <c r="AO877" t="s">
        <v>3060</v>
      </c>
      <c r="AP877" t="s">
        <v>74</v>
      </c>
      <c r="AQ877" t="s">
        <v>74</v>
      </c>
      <c r="AR877" t="s">
        <v>3061</v>
      </c>
      <c r="AS877" t="s">
        <v>3062</v>
      </c>
      <c r="AT877" t="s">
        <v>16615</v>
      </c>
      <c r="AU877">
        <v>2023</v>
      </c>
      <c r="AV877">
        <v>13</v>
      </c>
      <c r="AW877">
        <v>1</v>
      </c>
      <c r="AX877" t="s">
        <v>74</v>
      </c>
      <c r="AY877" t="s">
        <v>74</v>
      </c>
      <c r="AZ877" t="s">
        <v>74</v>
      </c>
      <c r="BA877" t="s">
        <v>74</v>
      </c>
      <c r="BB877" t="s">
        <v>74</v>
      </c>
      <c r="BC877" t="s">
        <v>74</v>
      </c>
      <c r="BD877">
        <v>15957</v>
      </c>
      <c r="BE877" t="s">
        <v>16616</v>
      </c>
      <c r="BF877" t="str">
        <f>HYPERLINK("http://dx.doi.org/10.1038/s41598-023-43102-0","http://dx.doi.org/10.1038/s41598-023-43102-0")</f>
        <v>http://dx.doi.org/10.1038/s41598-023-43102-0</v>
      </c>
      <c r="BG877" t="s">
        <v>74</v>
      </c>
      <c r="BH877" t="s">
        <v>74</v>
      </c>
      <c r="BI877">
        <v>9</v>
      </c>
      <c r="BJ877" t="s">
        <v>1035</v>
      </c>
      <c r="BK877" t="s">
        <v>100</v>
      </c>
      <c r="BL877" t="s">
        <v>1036</v>
      </c>
      <c r="BM877" t="s">
        <v>16617</v>
      </c>
      <c r="BN877">
        <v>37743400</v>
      </c>
      <c r="BO877" t="s">
        <v>200</v>
      </c>
      <c r="BP877" t="s">
        <v>74</v>
      </c>
      <c r="BQ877" t="s">
        <v>74</v>
      </c>
      <c r="BR877" t="s">
        <v>104</v>
      </c>
      <c r="BS877" t="s">
        <v>16618</v>
      </c>
      <c r="BT877" t="str">
        <f>HYPERLINK("https%3A%2F%2Fwww.webofscience.com%2Fwos%2Fwoscc%2Ffull-record%2FWOS:001104198800010","View Full Record in Web of Science")</f>
        <v>View Full Record in Web of Science</v>
      </c>
    </row>
    <row r="878" spans="1:72" x14ac:dyDescent="0.15">
      <c r="A878" t="s">
        <v>72</v>
      </c>
      <c r="B878" t="s">
        <v>16619</v>
      </c>
      <c r="C878" t="s">
        <v>74</v>
      </c>
      <c r="D878" t="s">
        <v>74</v>
      </c>
      <c r="E878" t="s">
        <v>74</v>
      </c>
      <c r="F878" t="s">
        <v>16620</v>
      </c>
      <c r="G878" t="s">
        <v>74</v>
      </c>
      <c r="H878" t="s">
        <v>74</v>
      </c>
      <c r="I878" t="s">
        <v>16621</v>
      </c>
      <c r="J878" t="s">
        <v>16622</v>
      </c>
      <c r="K878" t="s">
        <v>74</v>
      </c>
      <c r="L878" t="s">
        <v>74</v>
      </c>
      <c r="M878" t="s">
        <v>78</v>
      </c>
      <c r="N878" t="s">
        <v>79</v>
      </c>
      <c r="O878" t="s">
        <v>74</v>
      </c>
      <c r="P878" t="s">
        <v>74</v>
      </c>
      <c r="Q878" t="s">
        <v>74</v>
      </c>
      <c r="R878" t="s">
        <v>74</v>
      </c>
      <c r="S878" t="s">
        <v>74</v>
      </c>
      <c r="T878" t="s">
        <v>16623</v>
      </c>
      <c r="U878" t="s">
        <v>16624</v>
      </c>
      <c r="V878" t="s">
        <v>16625</v>
      </c>
      <c r="W878" t="s">
        <v>16626</v>
      </c>
      <c r="X878" t="s">
        <v>16627</v>
      </c>
      <c r="Y878" t="s">
        <v>16628</v>
      </c>
      <c r="Z878" t="s">
        <v>16629</v>
      </c>
      <c r="AA878" t="s">
        <v>74</v>
      </c>
      <c r="AB878" t="s">
        <v>16630</v>
      </c>
      <c r="AC878" t="s">
        <v>16631</v>
      </c>
      <c r="AD878" t="s">
        <v>16632</v>
      </c>
      <c r="AE878" t="s">
        <v>16633</v>
      </c>
      <c r="AF878" t="s">
        <v>74</v>
      </c>
      <c r="AG878">
        <v>66</v>
      </c>
      <c r="AH878">
        <v>1</v>
      </c>
      <c r="AI878">
        <v>1</v>
      </c>
      <c r="AJ878">
        <v>6</v>
      </c>
      <c r="AK878">
        <v>7</v>
      </c>
      <c r="AL878" t="s">
        <v>2884</v>
      </c>
      <c r="AM878" t="s">
        <v>2294</v>
      </c>
      <c r="AN878" t="s">
        <v>2885</v>
      </c>
      <c r="AO878" t="s">
        <v>16634</v>
      </c>
      <c r="AP878" t="s">
        <v>16635</v>
      </c>
      <c r="AQ878" t="s">
        <v>74</v>
      </c>
      <c r="AR878" t="s">
        <v>16636</v>
      </c>
      <c r="AS878" t="s">
        <v>16637</v>
      </c>
      <c r="AT878" t="s">
        <v>4525</v>
      </c>
      <c r="AU878">
        <v>2023</v>
      </c>
      <c r="AV878">
        <v>142</v>
      </c>
      <c r="AW878" t="s">
        <v>74</v>
      </c>
      <c r="AX878" t="s">
        <v>74</v>
      </c>
      <c r="AY878" t="s">
        <v>74</v>
      </c>
      <c r="AZ878" t="s">
        <v>74</v>
      </c>
      <c r="BA878" t="s">
        <v>74</v>
      </c>
      <c r="BB878" t="s">
        <v>74</v>
      </c>
      <c r="BC878" t="s">
        <v>74</v>
      </c>
      <c r="BD878">
        <v>109099</v>
      </c>
      <c r="BE878" t="s">
        <v>16638</v>
      </c>
      <c r="BF878" t="str">
        <f>HYPERLINK("http://dx.doi.org/10.1016/j.fsi.2023.109099","http://dx.doi.org/10.1016/j.fsi.2023.109099")</f>
        <v>http://dx.doi.org/10.1016/j.fsi.2023.109099</v>
      </c>
      <c r="BG878" t="s">
        <v>74</v>
      </c>
      <c r="BH878" t="s">
        <v>15880</v>
      </c>
      <c r="BI878">
        <v>17</v>
      </c>
      <c r="BJ878" t="s">
        <v>16639</v>
      </c>
      <c r="BK878" t="s">
        <v>100</v>
      </c>
      <c r="BL878" t="s">
        <v>16639</v>
      </c>
      <c r="BM878" t="s">
        <v>16640</v>
      </c>
      <c r="BN878">
        <v>37734650</v>
      </c>
      <c r="BO878" t="s">
        <v>103</v>
      </c>
      <c r="BP878" t="s">
        <v>74</v>
      </c>
      <c r="BQ878" t="s">
        <v>74</v>
      </c>
      <c r="BR878" t="s">
        <v>104</v>
      </c>
      <c r="BS878" t="s">
        <v>16641</v>
      </c>
      <c r="BT878" t="str">
        <f>HYPERLINK("https%3A%2F%2Fwww.webofscience.com%2Fwos%2Fwoscc%2Ffull-record%2FWOS:001095514900001","View Full Record in Web of Science")</f>
        <v>View Full Record in Web of Science</v>
      </c>
    </row>
    <row r="879" spans="1:72" x14ac:dyDescent="0.15">
      <c r="A879" t="s">
        <v>72</v>
      </c>
      <c r="B879" t="s">
        <v>16642</v>
      </c>
      <c r="C879" t="s">
        <v>74</v>
      </c>
      <c r="D879" t="s">
        <v>74</v>
      </c>
      <c r="E879" t="s">
        <v>74</v>
      </c>
      <c r="F879" t="s">
        <v>16643</v>
      </c>
      <c r="G879" t="s">
        <v>74</v>
      </c>
      <c r="H879" t="s">
        <v>74</v>
      </c>
      <c r="I879" t="s">
        <v>16644</v>
      </c>
      <c r="J879" t="s">
        <v>1243</v>
      </c>
      <c r="K879" t="s">
        <v>74</v>
      </c>
      <c r="L879" t="s">
        <v>74</v>
      </c>
      <c r="M879" t="s">
        <v>78</v>
      </c>
      <c r="N879" t="s">
        <v>79</v>
      </c>
      <c r="O879" t="s">
        <v>74</v>
      </c>
      <c r="P879" t="s">
        <v>74</v>
      </c>
      <c r="Q879" t="s">
        <v>74</v>
      </c>
      <c r="R879" t="s">
        <v>74</v>
      </c>
      <c r="S879" t="s">
        <v>74</v>
      </c>
      <c r="T879" t="s">
        <v>16645</v>
      </c>
      <c r="U879" t="s">
        <v>16646</v>
      </c>
      <c r="V879" t="s">
        <v>16647</v>
      </c>
      <c r="W879" t="s">
        <v>16648</v>
      </c>
      <c r="X879" t="s">
        <v>16649</v>
      </c>
      <c r="Y879" t="s">
        <v>16650</v>
      </c>
      <c r="Z879" t="s">
        <v>16651</v>
      </c>
      <c r="AA879" t="s">
        <v>16652</v>
      </c>
      <c r="AB879" t="s">
        <v>16653</v>
      </c>
      <c r="AC879" t="s">
        <v>16654</v>
      </c>
      <c r="AD879" t="s">
        <v>16655</v>
      </c>
      <c r="AE879" t="s">
        <v>16656</v>
      </c>
      <c r="AF879" t="s">
        <v>74</v>
      </c>
      <c r="AG879">
        <v>57</v>
      </c>
      <c r="AH879">
        <v>0</v>
      </c>
      <c r="AI879">
        <v>0</v>
      </c>
      <c r="AJ879">
        <v>6</v>
      </c>
      <c r="AK879">
        <v>6</v>
      </c>
      <c r="AL879" t="s">
        <v>1075</v>
      </c>
      <c r="AM879" t="s">
        <v>1076</v>
      </c>
      <c r="AN879" t="s">
        <v>1077</v>
      </c>
      <c r="AO879" t="s">
        <v>1256</v>
      </c>
      <c r="AP879" t="s">
        <v>1257</v>
      </c>
      <c r="AQ879" t="s">
        <v>74</v>
      </c>
      <c r="AR879" t="s">
        <v>1258</v>
      </c>
      <c r="AS879" t="s">
        <v>1259</v>
      </c>
      <c r="AT879" t="s">
        <v>4525</v>
      </c>
      <c r="AU879">
        <v>2023</v>
      </c>
      <c r="AV879">
        <v>46</v>
      </c>
      <c r="AW879">
        <v>11</v>
      </c>
      <c r="AX879" t="s">
        <v>74</v>
      </c>
      <c r="AY879" t="s">
        <v>74</v>
      </c>
      <c r="AZ879" t="s">
        <v>74</v>
      </c>
      <c r="BA879" t="s">
        <v>74</v>
      </c>
      <c r="BB879">
        <v>1163</v>
      </c>
      <c r="BC879">
        <v>1173</v>
      </c>
      <c r="BD879" t="s">
        <v>74</v>
      </c>
      <c r="BE879" t="s">
        <v>16657</v>
      </c>
      <c r="BF879" t="str">
        <f>HYPERLINK("http://dx.doi.org/10.1007/s00300-023-03191-z","http://dx.doi.org/10.1007/s00300-023-03191-z")</f>
        <v>http://dx.doi.org/10.1007/s00300-023-03191-z</v>
      </c>
      <c r="BG879" t="s">
        <v>74</v>
      </c>
      <c r="BH879" t="s">
        <v>15880</v>
      </c>
      <c r="BI879">
        <v>11</v>
      </c>
      <c r="BJ879" t="s">
        <v>1261</v>
      </c>
      <c r="BK879" t="s">
        <v>100</v>
      </c>
      <c r="BL879" t="s">
        <v>913</v>
      </c>
      <c r="BM879" t="s">
        <v>16658</v>
      </c>
      <c r="BN879" t="s">
        <v>74</v>
      </c>
      <c r="BO879" t="s">
        <v>103</v>
      </c>
      <c r="BP879" t="s">
        <v>74</v>
      </c>
      <c r="BQ879" t="s">
        <v>74</v>
      </c>
      <c r="BR879" t="s">
        <v>104</v>
      </c>
      <c r="BS879" t="s">
        <v>16659</v>
      </c>
      <c r="BT879" t="str">
        <f>HYPERLINK("https%3A%2F%2Fwww.webofscience.com%2Fwos%2Fwoscc%2Ffull-record%2FWOS:001070715600001","View Full Record in Web of Science")</f>
        <v>View Full Record in Web of Science</v>
      </c>
    </row>
    <row r="880" spans="1:72" x14ac:dyDescent="0.15">
      <c r="A880" t="s">
        <v>72</v>
      </c>
      <c r="B880" t="s">
        <v>16660</v>
      </c>
      <c r="C880" t="s">
        <v>74</v>
      </c>
      <c r="D880" t="s">
        <v>74</v>
      </c>
      <c r="E880" t="s">
        <v>74</v>
      </c>
      <c r="F880" t="s">
        <v>16661</v>
      </c>
      <c r="G880" t="s">
        <v>74</v>
      </c>
      <c r="H880" t="s">
        <v>74</v>
      </c>
      <c r="I880" t="s">
        <v>16662</v>
      </c>
      <c r="J880" t="s">
        <v>1243</v>
      </c>
      <c r="K880" t="s">
        <v>74</v>
      </c>
      <c r="L880" t="s">
        <v>74</v>
      </c>
      <c r="M880" t="s">
        <v>78</v>
      </c>
      <c r="N880" t="s">
        <v>1547</v>
      </c>
      <c r="O880" t="s">
        <v>74</v>
      </c>
      <c r="P880" t="s">
        <v>74</v>
      </c>
      <c r="Q880" t="s">
        <v>74</v>
      </c>
      <c r="R880" t="s">
        <v>74</v>
      </c>
      <c r="S880" t="s">
        <v>74</v>
      </c>
      <c r="T880" t="s">
        <v>16663</v>
      </c>
      <c r="U880" t="s">
        <v>16664</v>
      </c>
      <c r="V880" t="s">
        <v>16665</v>
      </c>
      <c r="W880" t="s">
        <v>16666</v>
      </c>
      <c r="X880" t="s">
        <v>16667</v>
      </c>
      <c r="Y880" t="s">
        <v>16668</v>
      </c>
      <c r="Z880" t="s">
        <v>16669</v>
      </c>
      <c r="AA880" t="s">
        <v>74</v>
      </c>
      <c r="AB880" t="s">
        <v>74</v>
      </c>
      <c r="AC880" t="s">
        <v>16670</v>
      </c>
      <c r="AD880" t="s">
        <v>16670</v>
      </c>
      <c r="AE880" t="s">
        <v>16671</v>
      </c>
      <c r="AF880" t="s">
        <v>74</v>
      </c>
      <c r="AG880">
        <v>42</v>
      </c>
      <c r="AH880">
        <v>1</v>
      </c>
      <c r="AI880">
        <v>1</v>
      </c>
      <c r="AJ880">
        <v>2</v>
      </c>
      <c r="AK880">
        <v>2</v>
      </c>
      <c r="AL880" t="s">
        <v>1075</v>
      </c>
      <c r="AM880" t="s">
        <v>1076</v>
      </c>
      <c r="AN880" t="s">
        <v>1077</v>
      </c>
      <c r="AO880" t="s">
        <v>1256</v>
      </c>
      <c r="AP880" t="s">
        <v>1257</v>
      </c>
      <c r="AQ880" t="s">
        <v>74</v>
      </c>
      <c r="AR880" t="s">
        <v>1258</v>
      </c>
      <c r="AS880" t="s">
        <v>1259</v>
      </c>
      <c r="AT880" t="s">
        <v>16672</v>
      </c>
      <c r="AU880">
        <v>2023</v>
      </c>
      <c r="AV880" t="s">
        <v>74</v>
      </c>
      <c r="AW880" t="s">
        <v>74</v>
      </c>
      <c r="AX880" t="s">
        <v>74</v>
      </c>
      <c r="AY880" t="s">
        <v>74</v>
      </c>
      <c r="AZ880" t="s">
        <v>74</v>
      </c>
      <c r="BA880" t="s">
        <v>74</v>
      </c>
      <c r="BB880" t="s">
        <v>74</v>
      </c>
      <c r="BC880" t="s">
        <v>74</v>
      </c>
      <c r="BD880" t="s">
        <v>74</v>
      </c>
      <c r="BE880" t="s">
        <v>16673</v>
      </c>
      <c r="BF880" t="str">
        <f>HYPERLINK("http://dx.doi.org/10.1007/s00300-023-03197-7","http://dx.doi.org/10.1007/s00300-023-03197-7")</f>
        <v>http://dx.doi.org/10.1007/s00300-023-03197-7</v>
      </c>
      <c r="BG880" t="s">
        <v>74</v>
      </c>
      <c r="BH880" t="s">
        <v>15880</v>
      </c>
      <c r="BI880">
        <v>15</v>
      </c>
      <c r="BJ880" t="s">
        <v>1261</v>
      </c>
      <c r="BK880" t="s">
        <v>100</v>
      </c>
      <c r="BL880" t="s">
        <v>913</v>
      </c>
      <c r="BM880" t="s">
        <v>16674</v>
      </c>
      <c r="BN880" t="s">
        <v>74</v>
      </c>
      <c r="BO880" t="s">
        <v>322</v>
      </c>
      <c r="BP880" t="s">
        <v>74</v>
      </c>
      <c r="BQ880" t="s">
        <v>74</v>
      </c>
      <c r="BR880" t="s">
        <v>104</v>
      </c>
      <c r="BS880" t="s">
        <v>16675</v>
      </c>
      <c r="BT880" t="str">
        <f>HYPERLINK("https%3A%2F%2Fwww.webofscience.com%2Fwos%2Fwoscc%2Ffull-record%2FWOS:001166946900001","View Full Record in Web of Science")</f>
        <v>View Full Record in Web of Science</v>
      </c>
    </row>
    <row r="881" spans="1:72" x14ac:dyDescent="0.15">
      <c r="A881" t="s">
        <v>72</v>
      </c>
      <c r="B881" t="s">
        <v>16676</v>
      </c>
      <c r="C881" t="s">
        <v>74</v>
      </c>
      <c r="D881" t="s">
        <v>74</v>
      </c>
      <c r="E881" t="s">
        <v>74</v>
      </c>
      <c r="F881" t="s">
        <v>16677</v>
      </c>
      <c r="G881" t="s">
        <v>74</v>
      </c>
      <c r="H881" t="s">
        <v>74</v>
      </c>
      <c r="I881" t="s">
        <v>16678</v>
      </c>
      <c r="J881" t="s">
        <v>10106</v>
      </c>
      <c r="K881" t="s">
        <v>74</v>
      </c>
      <c r="L881" t="s">
        <v>74</v>
      </c>
      <c r="M881" t="s">
        <v>78</v>
      </c>
      <c r="N881" t="s">
        <v>79</v>
      </c>
      <c r="O881" t="s">
        <v>74</v>
      </c>
      <c r="P881" t="s">
        <v>74</v>
      </c>
      <c r="Q881" t="s">
        <v>74</v>
      </c>
      <c r="R881" t="s">
        <v>74</v>
      </c>
      <c r="S881" t="s">
        <v>74</v>
      </c>
      <c r="T881" t="s">
        <v>16679</v>
      </c>
      <c r="U881" t="s">
        <v>74</v>
      </c>
      <c r="V881" t="s">
        <v>16680</v>
      </c>
      <c r="W881" t="s">
        <v>16681</v>
      </c>
      <c r="X881" t="s">
        <v>16682</v>
      </c>
      <c r="Y881" t="s">
        <v>16683</v>
      </c>
      <c r="Z881" t="s">
        <v>16684</v>
      </c>
      <c r="AA881" t="s">
        <v>16685</v>
      </c>
      <c r="AB881" t="s">
        <v>16686</v>
      </c>
      <c r="AC881" t="s">
        <v>4777</v>
      </c>
      <c r="AD881" t="s">
        <v>3278</v>
      </c>
      <c r="AE881" t="s">
        <v>16687</v>
      </c>
      <c r="AF881" t="s">
        <v>74</v>
      </c>
      <c r="AG881">
        <v>73</v>
      </c>
      <c r="AH881">
        <v>0</v>
      </c>
      <c r="AI881">
        <v>0</v>
      </c>
      <c r="AJ881">
        <v>1</v>
      </c>
      <c r="AK881">
        <v>1</v>
      </c>
      <c r="AL881" t="s">
        <v>1075</v>
      </c>
      <c r="AM881" t="s">
        <v>1076</v>
      </c>
      <c r="AN881" t="s">
        <v>1077</v>
      </c>
      <c r="AO881" t="s">
        <v>10117</v>
      </c>
      <c r="AP881" t="s">
        <v>10118</v>
      </c>
      <c r="AQ881" t="s">
        <v>74</v>
      </c>
      <c r="AR881" t="s">
        <v>10119</v>
      </c>
      <c r="AS881" t="s">
        <v>10120</v>
      </c>
      <c r="AT881" t="s">
        <v>1133</v>
      </c>
      <c r="AU881">
        <v>2024</v>
      </c>
      <c r="AV881">
        <v>62</v>
      </c>
      <c r="AW881">
        <v>2</v>
      </c>
      <c r="AX881" t="s">
        <v>74</v>
      </c>
      <c r="AY881" t="s">
        <v>74</v>
      </c>
      <c r="AZ881" t="s">
        <v>74</v>
      </c>
      <c r="BA881" t="s">
        <v>74</v>
      </c>
      <c r="BB881">
        <v>989</v>
      </c>
      <c r="BC881">
        <v>1012</v>
      </c>
      <c r="BD881" t="s">
        <v>74</v>
      </c>
      <c r="BE881" t="s">
        <v>16688</v>
      </c>
      <c r="BF881" t="str">
        <f>HYPERLINK("http://dx.doi.org/10.1007/s00382-023-06951-z","http://dx.doi.org/10.1007/s00382-023-06951-z")</f>
        <v>http://dx.doi.org/10.1007/s00382-023-06951-z</v>
      </c>
      <c r="BG881" t="s">
        <v>74</v>
      </c>
      <c r="BH881" t="s">
        <v>15880</v>
      </c>
      <c r="BI881">
        <v>24</v>
      </c>
      <c r="BJ881" t="s">
        <v>1522</v>
      </c>
      <c r="BK881" t="s">
        <v>100</v>
      </c>
      <c r="BL881" t="s">
        <v>1522</v>
      </c>
      <c r="BM881" t="s">
        <v>16689</v>
      </c>
      <c r="BN881" t="s">
        <v>74</v>
      </c>
      <c r="BO881" t="s">
        <v>3040</v>
      </c>
      <c r="BP881" t="s">
        <v>74</v>
      </c>
      <c r="BQ881" t="s">
        <v>74</v>
      </c>
      <c r="BR881" t="s">
        <v>104</v>
      </c>
      <c r="BS881" t="s">
        <v>16690</v>
      </c>
      <c r="BT881" t="str">
        <f>HYPERLINK("https%3A%2F%2Fwww.webofscience.com%2Fwos%2Fwoscc%2Ffull-record%2FWOS:001068837100001","View Full Record in Web of Science")</f>
        <v>View Full Record in Web of Science</v>
      </c>
    </row>
    <row r="882" spans="1:72" x14ac:dyDescent="0.15">
      <c r="A882" t="s">
        <v>72</v>
      </c>
      <c r="B882" t="s">
        <v>16691</v>
      </c>
      <c r="C882" t="s">
        <v>74</v>
      </c>
      <c r="D882" t="s">
        <v>74</v>
      </c>
      <c r="E882" t="s">
        <v>74</v>
      </c>
      <c r="F882" t="s">
        <v>16692</v>
      </c>
      <c r="G882" t="s">
        <v>74</v>
      </c>
      <c r="H882" t="s">
        <v>74</v>
      </c>
      <c r="I882" t="s">
        <v>16693</v>
      </c>
      <c r="J882" t="s">
        <v>16694</v>
      </c>
      <c r="K882" t="s">
        <v>74</v>
      </c>
      <c r="L882" t="s">
        <v>74</v>
      </c>
      <c r="M882" t="s">
        <v>78</v>
      </c>
      <c r="N882" t="s">
        <v>441</v>
      </c>
      <c r="O882" t="s">
        <v>74</v>
      </c>
      <c r="P882" t="s">
        <v>74</v>
      </c>
      <c r="Q882" t="s">
        <v>74</v>
      </c>
      <c r="R882" t="s">
        <v>74</v>
      </c>
      <c r="S882" t="s">
        <v>74</v>
      </c>
      <c r="T882" t="s">
        <v>16695</v>
      </c>
      <c r="U882" t="s">
        <v>16696</v>
      </c>
      <c r="V882" t="s">
        <v>16697</v>
      </c>
      <c r="W882" t="s">
        <v>16698</v>
      </c>
      <c r="X882" t="s">
        <v>16699</v>
      </c>
      <c r="Y882" t="s">
        <v>16700</v>
      </c>
      <c r="Z882" t="s">
        <v>16701</v>
      </c>
      <c r="AA882" t="s">
        <v>74</v>
      </c>
      <c r="AB882" t="s">
        <v>16702</v>
      </c>
      <c r="AC882" t="s">
        <v>16703</v>
      </c>
      <c r="AD882" t="s">
        <v>16704</v>
      </c>
      <c r="AE882" t="s">
        <v>16705</v>
      </c>
      <c r="AF882" t="s">
        <v>74</v>
      </c>
      <c r="AG882">
        <v>105</v>
      </c>
      <c r="AH882">
        <v>0</v>
      </c>
      <c r="AI882">
        <v>0</v>
      </c>
      <c r="AJ882">
        <v>5</v>
      </c>
      <c r="AK882">
        <v>5</v>
      </c>
      <c r="AL882" t="s">
        <v>2352</v>
      </c>
      <c r="AM882" t="s">
        <v>2353</v>
      </c>
      <c r="AN882" t="s">
        <v>2354</v>
      </c>
      <c r="AO882" t="s">
        <v>16706</v>
      </c>
      <c r="AP882" t="s">
        <v>74</v>
      </c>
      <c r="AQ882" t="s">
        <v>74</v>
      </c>
      <c r="AR882" t="s">
        <v>16707</v>
      </c>
      <c r="AS882" t="s">
        <v>16708</v>
      </c>
      <c r="AT882" t="s">
        <v>16709</v>
      </c>
      <c r="AU882">
        <v>2023</v>
      </c>
      <c r="AV882">
        <v>75</v>
      </c>
      <c r="AW882">
        <v>1</v>
      </c>
      <c r="AX882" t="s">
        <v>74</v>
      </c>
      <c r="AY882" t="s">
        <v>74</v>
      </c>
      <c r="AZ882" t="s">
        <v>74</v>
      </c>
      <c r="BA882" t="s">
        <v>74</v>
      </c>
      <c r="BB882" t="s">
        <v>74</v>
      </c>
      <c r="BC882" t="s">
        <v>74</v>
      </c>
      <c r="BD882" t="s">
        <v>74</v>
      </c>
      <c r="BE882" t="s">
        <v>16710</v>
      </c>
      <c r="BF882" t="str">
        <f>HYPERLINK("http://dx.doi.org/10.16993/tellusb.1869","http://dx.doi.org/10.16993/tellusb.1869")</f>
        <v>http://dx.doi.org/10.16993/tellusb.1869</v>
      </c>
      <c r="BG882" t="s">
        <v>74</v>
      </c>
      <c r="BH882" t="s">
        <v>74</v>
      </c>
      <c r="BI882">
        <v>18</v>
      </c>
      <c r="BJ882" t="s">
        <v>1522</v>
      </c>
      <c r="BK882" t="s">
        <v>100</v>
      </c>
      <c r="BL882" t="s">
        <v>1522</v>
      </c>
      <c r="BM882" t="s">
        <v>16711</v>
      </c>
      <c r="BN882" t="s">
        <v>74</v>
      </c>
      <c r="BO882" t="s">
        <v>200</v>
      </c>
      <c r="BP882" t="s">
        <v>74</v>
      </c>
      <c r="BQ882" t="s">
        <v>74</v>
      </c>
      <c r="BR882" t="s">
        <v>104</v>
      </c>
      <c r="BS882" t="s">
        <v>16712</v>
      </c>
      <c r="BT882" t="str">
        <f>HYPERLINK("https%3A%2F%2Fwww.webofscience.com%2Fwos%2Fwoscc%2Ffull-record%2FWOS:001155711900002","View Full Record in Web of Science")</f>
        <v>View Full Record in Web of Science</v>
      </c>
    </row>
    <row r="883" spans="1:72" x14ac:dyDescent="0.15">
      <c r="A883" t="s">
        <v>72</v>
      </c>
      <c r="B883" t="s">
        <v>16713</v>
      </c>
      <c r="C883" t="s">
        <v>74</v>
      </c>
      <c r="D883" t="s">
        <v>74</v>
      </c>
      <c r="E883" t="s">
        <v>74</v>
      </c>
      <c r="F883" t="s">
        <v>16714</v>
      </c>
      <c r="G883" t="s">
        <v>74</v>
      </c>
      <c r="H883" t="s">
        <v>74</v>
      </c>
      <c r="I883" t="s">
        <v>16715</v>
      </c>
      <c r="J883" t="s">
        <v>2711</v>
      </c>
      <c r="K883" t="s">
        <v>74</v>
      </c>
      <c r="L883" t="s">
        <v>74</v>
      </c>
      <c r="M883" t="s">
        <v>78</v>
      </c>
      <c r="N883" t="s">
        <v>79</v>
      </c>
      <c r="O883" t="s">
        <v>74</v>
      </c>
      <c r="P883" t="s">
        <v>74</v>
      </c>
      <c r="Q883" t="s">
        <v>74</v>
      </c>
      <c r="R883" t="s">
        <v>74</v>
      </c>
      <c r="S883" t="s">
        <v>74</v>
      </c>
      <c r="T883" t="s">
        <v>16716</v>
      </c>
      <c r="U883" t="s">
        <v>16717</v>
      </c>
      <c r="V883" t="s">
        <v>16718</v>
      </c>
      <c r="W883" t="s">
        <v>16719</v>
      </c>
      <c r="X883" t="s">
        <v>16720</v>
      </c>
      <c r="Y883" t="s">
        <v>16721</v>
      </c>
      <c r="Z883" t="s">
        <v>16722</v>
      </c>
      <c r="AA883" t="s">
        <v>74</v>
      </c>
      <c r="AB883" t="s">
        <v>16723</v>
      </c>
      <c r="AC883" t="s">
        <v>16724</v>
      </c>
      <c r="AD883" t="s">
        <v>16725</v>
      </c>
      <c r="AE883" t="s">
        <v>16726</v>
      </c>
      <c r="AF883" t="s">
        <v>74</v>
      </c>
      <c r="AG883">
        <v>132</v>
      </c>
      <c r="AH883">
        <v>1</v>
      </c>
      <c r="AI883">
        <v>1</v>
      </c>
      <c r="AJ883">
        <v>1</v>
      </c>
      <c r="AK883">
        <v>1</v>
      </c>
      <c r="AL883" t="s">
        <v>947</v>
      </c>
      <c r="AM883" t="s">
        <v>948</v>
      </c>
      <c r="AN883" t="s">
        <v>949</v>
      </c>
      <c r="AO883" t="s">
        <v>2723</v>
      </c>
      <c r="AP883" t="s">
        <v>2724</v>
      </c>
      <c r="AQ883" t="s">
        <v>74</v>
      </c>
      <c r="AR883" t="s">
        <v>2725</v>
      </c>
      <c r="AS883" t="s">
        <v>2726</v>
      </c>
      <c r="AT883" t="s">
        <v>10415</v>
      </c>
      <c r="AU883">
        <v>2023</v>
      </c>
      <c r="AV883">
        <v>464</v>
      </c>
      <c r="AW883" t="s">
        <v>74</v>
      </c>
      <c r="AX883" t="s">
        <v>74</v>
      </c>
      <c r="AY883" t="s">
        <v>74</v>
      </c>
      <c r="AZ883" t="s">
        <v>74</v>
      </c>
      <c r="BA883" t="s">
        <v>74</v>
      </c>
      <c r="BB883" t="s">
        <v>74</v>
      </c>
      <c r="BC883" t="s">
        <v>74</v>
      </c>
      <c r="BD883">
        <v>107144</v>
      </c>
      <c r="BE883" t="s">
        <v>16727</v>
      </c>
      <c r="BF883" t="str">
        <f>HYPERLINK("http://dx.doi.org/10.1016/j.margeo.2023.107144","http://dx.doi.org/10.1016/j.margeo.2023.107144")</f>
        <v>http://dx.doi.org/10.1016/j.margeo.2023.107144</v>
      </c>
      <c r="BG883" t="s">
        <v>74</v>
      </c>
      <c r="BH883" t="s">
        <v>15880</v>
      </c>
      <c r="BI883">
        <v>21</v>
      </c>
      <c r="BJ883" t="s">
        <v>2728</v>
      </c>
      <c r="BK883" t="s">
        <v>100</v>
      </c>
      <c r="BL883" t="s">
        <v>2729</v>
      </c>
      <c r="BM883" t="s">
        <v>16728</v>
      </c>
      <c r="BN883" t="s">
        <v>74</v>
      </c>
      <c r="BO883" t="s">
        <v>103</v>
      </c>
      <c r="BP883" t="s">
        <v>74</v>
      </c>
      <c r="BQ883" t="s">
        <v>74</v>
      </c>
      <c r="BR883" t="s">
        <v>104</v>
      </c>
      <c r="BS883" t="s">
        <v>16729</v>
      </c>
      <c r="BT883" t="str">
        <f>HYPERLINK("https%3A%2F%2Fwww.webofscience.com%2Fwos%2Fwoscc%2Ffull-record%2FWOS:001150141200001","View Full Record in Web of Science")</f>
        <v>View Full Record in Web of Science</v>
      </c>
    </row>
    <row r="884" spans="1:72" x14ac:dyDescent="0.15">
      <c r="A884" t="s">
        <v>72</v>
      </c>
      <c r="B884" t="s">
        <v>16730</v>
      </c>
      <c r="C884" t="s">
        <v>74</v>
      </c>
      <c r="D884" t="s">
        <v>74</v>
      </c>
      <c r="E884" t="s">
        <v>74</v>
      </c>
      <c r="F884" t="s">
        <v>16731</v>
      </c>
      <c r="G884" t="s">
        <v>74</v>
      </c>
      <c r="H884" t="s">
        <v>74</v>
      </c>
      <c r="I884" t="s">
        <v>16732</v>
      </c>
      <c r="J884" t="s">
        <v>16733</v>
      </c>
      <c r="K884" t="s">
        <v>74</v>
      </c>
      <c r="L884" t="s">
        <v>74</v>
      </c>
      <c r="M884" t="s">
        <v>78</v>
      </c>
      <c r="N884" t="s">
        <v>79</v>
      </c>
      <c r="O884" t="s">
        <v>74</v>
      </c>
      <c r="P884" t="s">
        <v>74</v>
      </c>
      <c r="Q884" t="s">
        <v>74</v>
      </c>
      <c r="R884" t="s">
        <v>74</v>
      </c>
      <c r="S884" t="s">
        <v>74</v>
      </c>
      <c r="T884" t="s">
        <v>16734</v>
      </c>
      <c r="U884" t="s">
        <v>16735</v>
      </c>
      <c r="V884" t="s">
        <v>16736</v>
      </c>
      <c r="W884" t="s">
        <v>16737</v>
      </c>
      <c r="X884" t="s">
        <v>16738</v>
      </c>
      <c r="Y884" t="s">
        <v>16739</v>
      </c>
      <c r="Z884" t="s">
        <v>1900</v>
      </c>
      <c r="AA884" t="s">
        <v>16740</v>
      </c>
      <c r="AB884" t="s">
        <v>16741</v>
      </c>
      <c r="AC884" t="s">
        <v>16742</v>
      </c>
      <c r="AD884" t="s">
        <v>16743</v>
      </c>
      <c r="AE884" t="s">
        <v>16744</v>
      </c>
      <c r="AF884" t="s">
        <v>74</v>
      </c>
      <c r="AG884">
        <v>122</v>
      </c>
      <c r="AH884">
        <v>2</v>
      </c>
      <c r="AI884">
        <v>2</v>
      </c>
      <c r="AJ884">
        <v>1</v>
      </c>
      <c r="AK884">
        <v>1</v>
      </c>
      <c r="AL884" t="s">
        <v>975</v>
      </c>
      <c r="AM884" t="s">
        <v>976</v>
      </c>
      <c r="AN884" t="s">
        <v>977</v>
      </c>
      <c r="AO884" t="s">
        <v>16745</v>
      </c>
      <c r="AP884" t="s">
        <v>74</v>
      </c>
      <c r="AQ884" t="s">
        <v>74</v>
      </c>
      <c r="AR884" t="s">
        <v>16746</v>
      </c>
      <c r="AS884" t="s">
        <v>16747</v>
      </c>
      <c r="AT884" t="s">
        <v>1947</v>
      </c>
      <c r="AU884">
        <v>2023</v>
      </c>
      <c r="AV884">
        <v>158</v>
      </c>
      <c r="AW884" t="s">
        <v>74</v>
      </c>
      <c r="AX884" t="s">
        <v>74</v>
      </c>
      <c r="AY884" t="s">
        <v>74</v>
      </c>
      <c r="AZ884" t="s">
        <v>74</v>
      </c>
      <c r="BA884" t="s">
        <v>74</v>
      </c>
      <c r="BB884" t="s">
        <v>74</v>
      </c>
      <c r="BC884" t="s">
        <v>74</v>
      </c>
      <c r="BD884">
        <v>101997</v>
      </c>
      <c r="BE884" t="s">
        <v>16748</v>
      </c>
      <c r="BF884" t="str">
        <f>HYPERLINK("http://dx.doi.org/10.1016/j.jog.2023.101997","http://dx.doi.org/10.1016/j.jog.2023.101997")</f>
        <v>http://dx.doi.org/10.1016/j.jog.2023.101997</v>
      </c>
      <c r="BG884" t="s">
        <v>74</v>
      </c>
      <c r="BH884" t="s">
        <v>15880</v>
      </c>
      <c r="BI884">
        <v>28</v>
      </c>
      <c r="BJ884" t="s">
        <v>4252</v>
      </c>
      <c r="BK884" t="s">
        <v>100</v>
      </c>
      <c r="BL884" t="s">
        <v>4252</v>
      </c>
      <c r="BM884" t="s">
        <v>16749</v>
      </c>
      <c r="BN884" t="s">
        <v>74</v>
      </c>
      <c r="BO884" t="s">
        <v>74</v>
      </c>
      <c r="BP884" t="s">
        <v>74</v>
      </c>
      <c r="BQ884" t="s">
        <v>74</v>
      </c>
      <c r="BR884" t="s">
        <v>104</v>
      </c>
      <c r="BS884" t="s">
        <v>16750</v>
      </c>
      <c r="BT884" t="str">
        <f>HYPERLINK("https%3A%2F%2Fwww.webofscience.com%2Fwos%2Fwoscc%2Ffull-record%2FWOS:001106159500001","View Full Record in Web of Science")</f>
        <v>View Full Record in Web of Science</v>
      </c>
    </row>
    <row r="885" spans="1:72" x14ac:dyDescent="0.15">
      <c r="A885" t="s">
        <v>72</v>
      </c>
      <c r="B885" t="s">
        <v>16751</v>
      </c>
      <c r="C885" t="s">
        <v>74</v>
      </c>
      <c r="D885" t="s">
        <v>74</v>
      </c>
      <c r="E885" t="s">
        <v>74</v>
      </c>
      <c r="F885" t="s">
        <v>16752</v>
      </c>
      <c r="G885" t="s">
        <v>74</v>
      </c>
      <c r="H885" t="s">
        <v>74</v>
      </c>
      <c r="I885" t="s">
        <v>16753</v>
      </c>
      <c r="J885" t="s">
        <v>3045</v>
      </c>
      <c r="K885" t="s">
        <v>74</v>
      </c>
      <c r="L885" t="s">
        <v>74</v>
      </c>
      <c r="M885" t="s">
        <v>78</v>
      </c>
      <c r="N885" t="s">
        <v>79</v>
      </c>
      <c r="O885" t="s">
        <v>74</v>
      </c>
      <c r="P885" t="s">
        <v>74</v>
      </c>
      <c r="Q885" t="s">
        <v>74</v>
      </c>
      <c r="R885" t="s">
        <v>74</v>
      </c>
      <c r="S885" t="s">
        <v>74</v>
      </c>
      <c r="T885" t="s">
        <v>74</v>
      </c>
      <c r="U885" t="s">
        <v>16754</v>
      </c>
      <c r="V885" t="s">
        <v>16755</v>
      </c>
      <c r="W885" t="s">
        <v>16756</v>
      </c>
      <c r="X885" t="s">
        <v>16757</v>
      </c>
      <c r="Y885" t="s">
        <v>16758</v>
      </c>
      <c r="Z885" t="s">
        <v>16759</v>
      </c>
      <c r="AA885" t="s">
        <v>74</v>
      </c>
      <c r="AB885" t="s">
        <v>16760</v>
      </c>
      <c r="AC885" t="s">
        <v>16761</v>
      </c>
      <c r="AD885" t="s">
        <v>16762</v>
      </c>
      <c r="AE885" t="s">
        <v>16763</v>
      </c>
      <c r="AF885" t="s">
        <v>74</v>
      </c>
      <c r="AG885">
        <v>97</v>
      </c>
      <c r="AH885">
        <v>0</v>
      </c>
      <c r="AI885">
        <v>0</v>
      </c>
      <c r="AJ885">
        <v>5</v>
      </c>
      <c r="AK885">
        <v>5</v>
      </c>
      <c r="AL885" t="s">
        <v>3057</v>
      </c>
      <c r="AM885" t="s">
        <v>3058</v>
      </c>
      <c r="AN885" t="s">
        <v>3059</v>
      </c>
      <c r="AO885" t="s">
        <v>3060</v>
      </c>
      <c r="AP885" t="s">
        <v>74</v>
      </c>
      <c r="AQ885" t="s">
        <v>74</v>
      </c>
      <c r="AR885" t="s">
        <v>3061</v>
      </c>
      <c r="AS885" t="s">
        <v>3062</v>
      </c>
      <c r="AT885" t="s">
        <v>16709</v>
      </c>
      <c r="AU885">
        <v>2023</v>
      </c>
      <c r="AV885">
        <v>13</v>
      </c>
      <c r="AW885">
        <v>1</v>
      </c>
      <c r="AX885" t="s">
        <v>74</v>
      </c>
      <c r="AY885" t="s">
        <v>74</v>
      </c>
      <c r="AZ885" t="s">
        <v>74</v>
      </c>
      <c r="BA885" t="s">
        <v>74</v>
      </c>
      <c r="BB885" t="s">
        <v>74</v>
      </c>
      <c r="BC885" t="s">
        <v>74</v>
      </c>
      <c r="BD885">
        <v>15867</v>
      </c>
      <c r="BE885" t="s">
        <v>16764</v>
      </c>
      <c r="BF885" t="str">
        <f>HYPERLINK("http://dx.doi.org/10.1038/s41598-023-42942-0","http://dx.doi.org/10.1038/s41598-023-42942-0")</f>
        <v>http://dx.doi.org/10.1038/s41598-023-42942-0</v>
      </c>
      <c r="BG885" t="s">
        <v>74</v>
      </c>
      <c r="BH885" t="s">
        <v>74</v>
      </c>
      <c r="BI885">
        <v>12</v>
      </c>
      <c r="BJ885" t="s">
        <v>1035</v>
      </c>
      <c r="BK885" t="s">
        <v>100</v>
      </c>
      <c r="BL885" t="s">
        <v>1036</v>
      </c>
      <c r="BM885" t="s">
        <v>16765</v>
      </c>
      <c r="BN885">
        <v>37739991</v>
      </c>
      <c r="BO885" t="s">
        <v>265</v>
      </c>
      <c r="BP885" t="s">
        <v>74</v>
      </c>
      <c r="BQ885" t="s">
        <v>74</v>
      </c>
      <c r="BR885" t="s">
        <v>104</v>
      </c>
      <c r="BS885" t="s">
        <v>16766</v>
      </c>
      <c r="BT885" t="str">
        <f>HYPERLINK("https%3A%2F%2Fwww.webofscience.com%2Fwos%2Fwoscc%2Ffull-record%2FWOS:001087778000070","View Full Record in Web of Science")</f>
        <v>View Full Record in Web of Science</v>
      </c>
    </row>
    <row r="886" spans="1:72" x14ac:dyDescent="0.15">
      <c r="A886" t="s">
        <v>72</v>
      </c>
      <c r="B886" t="s">
        <v>16767</v>
      </c>
      <c r="C886" t="s">
        <v>74</v>
      </c>
      <c r="D886" t="s">
        <v>74</v>
      </c>
      <c r="E886" t="s">
        <v>74</v>
      </c>
      <c r="F886" t="s">
        <v>16768</v>
      </c>
      <c r="G886" t="s">
        <v>74</v>
      </c>
      <c r="H886" t="s">
        <v>74</v>
      </c>
      <c r="I886" t="s">
        <v>16769</v>
      </c>
      <c r="J886" t="s">
        <v>2434</v>
      </c>
      <c r="K886" t="s">
        <v>74</v>
      </c>
      <c r="L886" t="s">
        <v>74</v>
      </c>
      <c r="M886" t="s">
        <v>78</v>
      </c>
      <c r="N886" t="s">
        <v>79</v>
      </c>
      <c r="O886" t="s">
        <v>74</v>
      </c>
      <c r="P886" t="s">
        <v>74</v>
      </c>
      <c r="Q886" t="s">
        <v>74</v>
      </c>
      <c r="R886" t="s">
        <v>74</v>
      </c>
      <c r="S886" t="s">
        <v>74</v>
      </c>
      <c r="T886" t="s">
        <v>16770</v>
      </c>
      <c r="U886" t="s">
        <v>16771</v>
      </c>
      <c r="V886" t="s">
        <v>16772</v>
      </c>
      <c r="W886" t="s">
        <v>16773</v>
      </c>
      <c r="X886" t="s">
        <v>3221</v>
      </c>
      <c r="Y886" t="s">
        <v>16774</v>
      </c>
      <c r="Z886" t="s">
        <v>16775</v>
      </c>
      <c r="AA886" t="s">
        <v>74</v>
      </c>
      <c r="AB886" t="s">
        <v>74</v>
      </c>
      <c r="AC886" t="s">
        <v>16776</v>
      </c>
      <c r="AD886" t="s">
        <v>16777</v>
      </c>
      <c r="AE886" t="s">
        <v>16778</v>
      </c>
      <c r="AF886" t="s">
        <v>74</v>
      </c>
      <c r="AG886">
        <v>36</v>
      </c>
      <c r="AH886">
        <v>2</v>
      </c>
      <c r="AI886">
        <v>2</v>
      </c>
      <c r="AJ886">
        <v>1</v>
      </c>
      <c r="AK886">
        <v>1</v>
      </c>
      <c r="AL886" t="s">
        <v>975</v>
      </c>
      <c r="AM886" t="s">
        <v>976</v>
      </c>
      <c r="AN886" t="s">
        <v>977</v>
      </c>
      <c r="AO886" t="s">
        <v>2446</v>
      </c>
      <c r="AP886" t="s">
        <v>2447</v>
      </c>
      <c r="AQ886" t="s">
        <v>74</v>
      </c>
      <c r="AR886" t="s">
        <v>2448</v>
      </c>
      <c r="AS886" t="s">
        <v>2449</v>
      </c>
      <c r="AT886" t="s">
        <v>5341</v>
      </c>
      <c r="AU886">
        <v>2023</v>
      </c>
      <c r="AV886">
        <v>314</v>
      </c>
      <c r="AW886" t="s">
        <v>74</v>
      </c>
      <c r="AX886" t="s">
        <v>74</v>
      </c>
      <c r="AY886" t="s">
        <v>74</v>
      </c>
      <c r="AZ886" t="s">
        <v>74</v>
      </c>
      <c r="BA886" t="s">
        <v>74</v>
      </c>
      <c r="BB886" t="s">
        <v>74</v>
      </c>
      <c r="BC886" t="s">
        <v>74</v>
      </c>
      <c r="BD886">
        <v>120085</v>
      </c>
      <c r="BE886" t="s">
        <v>16779</v>
      </c>
      <c r="BF886" t="str">
        <f>HYPERLINK("http://dx.doi.org/10.1016/j.atmosenv.2023.120085","http://dx.doi.org/10.1016/j.atmosenv.2023.120085")</f>
        <v>http://dx.doi.org/10.1016/j.atmosenv.2023.120085</v>
      </c>
      <c r="BG886" t="s">
        <v>74</v>
      </c>
      <c r="BH886" t="s">
        <v>15880</v>
      </c>
      <c r="BI886">
        <v>11</v>
      </c>
      <c r="BJ886" t="s">
        <v>2382</v>
      </c>
      <c r="BK886" t="s">
        <v>100</v>
      </c>
      <c r="BL886" t="s">
        <v>2383</v>
      </c>
      <c r="BM886" t="s">
        <v>16780</v>
      </c>
      <c r="BN886" t="s">
        <v>74</v>
      </c>
      <c r="BO886" t="s">
        <v>103</v>
      </c>
      <c r="BP886" t="s">
        <v>74</v>
      </c>
      <c r="BQ886" t="s">
        <v>74</v>
      </c>
      <c r="BR886" t="s">
        <v>104</v>
      </c>
      <c r="BS886" t="s">
        <v>16781</v>
      </c>
      <c r="BT886" t="str">
        <f>HYPERLINK("https%3A%2F%2Fwww.webofscience.com%2Fwos%2Fwoscc%2Ffull-record%2FWOS:001084513000001","View Full Record in Web of Science")</f>
        <v>View Full Record in Web of Science</v>
      </c>
    </row>
    <row r="887" spans="1:72" x14ac:dyDescent="0.15">
      <c r="A887" t="s">
        <v>72</v>
      </c>
      <c r="B887" t="s">
        <v>16782</v>
      </c>
      <c r="C887" t="s">
        <v>74</v>
      </c>
      <c r="D887" t="s">
        <v>74</v>
      </c>
      <c r="E887" t="s">
        <v>74</v>
      </c>
      <c r="F887" t="s">
        <v>16783</v>
      </c>
      <c r="G887" t="s">
        <v>74</v>
      </c>
      <c r="H887" t="s">
        <v>74</v>
      </c>
      <c r="I887" t="s">
        <v>16784</v>
      </c>
      <c r="J887" t="s">
        <v>8457</v>
      </c>
      <c r="K887" t="s">
        <v>74</v>
      </c>
      <c r="L887" t="s">
        <v>74</v>
      </c>
      <c r="M887" t="s">
        <v>78</v>
      </c>
      <c r="N887" t="s">
        <v>79</v>
      </c>
      <c r="O887" t="s">
        <v>74</v>
      </c>
      <c r="P887" t="s">
        <v>74</v>
      </c>
      <c r="Q887" t="s">
        <v>74</v>
      </c>
      <c r="R887" t="s">
        <v>74</v>
      </c>
      <c r="S887" t="s">
        <v>74</v>
      </c>
      <c r="T887" t="s">
        <v>16785</v>
      </c>
      <c r="U887" t="s">
        <v>16786</v>
      </c>
      <c r="V887" t="s">
        <v>16787</v>
      </c>
      <c r="W887" t="s">
        <v>16788</v>
      </c>
      <c r="X887" t="s">
        <v>16789</v>
      </c>
      <c r="Y887" t="s">
        <v>16790</v>
      </c>
      <c r="Z887" t="s">
        <v>8464</v>
      </c>
      <c r="AA887" t="s">
        <v>16791</v>
      </c>
      <c r="AB887" t="s">
        <v>16792</v>
      </c>
      <c r="AC887" t="s">
        <v>16793</v>
      </c>
      <c r="AD887" t="s">
        <v>16794</v>
      </c>
      <c r="AE887" t="s">
        <v>16795</v>
      </c>
      <c r="AF887" t="s">
        <v>74</v>
      </c>
      <c r="AG887">
        <v>67</v>
      </c>
      <c r="AH887">
        <v>1</v>
      </c>
      <c r="AI887">
        <v>1</v>
      </c>
      <c r="AJ887">
        <v>8</v>
      </c>
      <c r="AK887">
        <v>8</v>
      </c>
      <c r="AL887" t="s">
        <v>947</v>
      </c>
      <c r="AM887" t="s">
        <v>948</v>
      </c>
      <c r="AN887" t="s">
        <v>949</v>
      </c>
      <c r="AO887" t="s">
        <v>8470</v>
      </c>
      <c r="AP887" t="s">
        <v>8471</v>
      </c>
      <c r="AQ887" t="s">
        <v>74</v>
      </c>
      <c r="AR887" t="s">
        <v>8472</v>
      </c>
      <c r="AS887" t="s">
        <v>8473</v>
      </c>
      <c r="AT887" t="s">
        <v>13270</v>
      </c>
      <c r="AU887">
        <v>2023</v>
      </c>
      <c r="AV887">
        <v>336</v>
      </c>
      <c r="AW887" t="s">
        <v>74</v>
      </c>
      <c r="AX887" t="s">
        <v>74</v>
      </c>
      <c r="AY887" t="s">
        <v>74</v>
      </c>
      <c r="AZ887" t="s">
        <v>74</v>
      </c>
      <c r="BA887" t="s">
        <v>74</v>
      </c>
      <c r="BB887" t="s">
        <v>74</v>
      </c>
      <c r="BC887" t="s">
        <v>74</v>
      </c>
      <c r="BD887">
        <v>199226</v>
      </c>
      <c r="BE887" t="s">
        <v>16796</v>
      </c>
      <c r="BF887" t="str">
        <f>HYPERLINK("http://dx.doi.org/10.1016/j.virusres.2023.199226","http://dx.doi.org/10.1016/j.virusres.2023.199226")</f>
        <v>http://dx.doi.org/10.1016/j.virusres.2023.199226</v>
      </c>
      <c r="BG887" t="s">
        <v>74</v>
      </c>
      <c r="BH887" t="s">
        <v>15880</v>
      </c>
      <c r="BI887">
        <v>10</v>
      </c>
      <c r="BJ887" t="s">
        <v>8475</v>
      </c>
      <c r="BK887" t="s">
        <v>100</v>
      </c>
      <c r="BL887" t="s">
        <v>8475</v>
      </c>
      <c r="BM887" t="s">
        <v>16797</v>
      </c>
      <c r="BN887">
        <v>37739268</v>
      </c>
      <c r="BO887" t="s">
        <v>3456</v>
      </c>
      <c r="BP887" t="s">
        <v>74</v>
      </c>
      <c r="BQ887" t="s">
        <v>74</v>
      </c>
      <c r="BR887" t="s">
        <v>104</v>
      </c>
      <c r="BS887" t="s">
        <v>16798</v>
      </c>
      <c r="BT887" t="str">
        <f>HYPERLINK("https%3A%2F%2Fwww.webofscience.com%2Fwos%2Fwoscc%2Ffull-record%2FWOS:001081375000001","View Full Record in Web of Science")</f>
        <v>View Full Record in Web of Science</v>
      </c>
    </row>
    <row r="888" spans="1:72" x14ac:dyDescent="0.15">
      <c r="A888" t="s">
        <v>72</v>
      </c>
      <c r="B888" t="s">
        <v>16799</v>
      </c>
      <c r="C888" t="s">
        <v>74</v>
      </c>
      <c r="D888" t="s">
        <v>74</v>
      </c>
      <c r="E888" t="s">
        <v>74</v>
      </c>
      <c r="F888" t="s">
        <v>16800</v>
      </c>
      <c r="G888" t="s">
        <v>74</v>
      </c>
      <c r="H888" t="s">
        <v>74</v>
      </c>
      <c r="I888" t="s">
        <v>16801</v>
      </c>
      <c r="J888" t="s">
        <v>16802</v>
      </c>
      <c r="K888" t="s">
        <v>74</v>
      </c>
      <c r="L888" t="s">
        <v>74</v>
      </c>
      <c r="M888" t="s">
        <v>78</v>
      </c>
      <c r="N888" t="s">
        <v>79</v>
      </c>
      <c r="O888" t="s">
        <v>74</v>
      </c>
      <c r="P888" t="s">
        <v>74</v>
      </c>
      <c r="Q888" t="s">
        <v>74</v>
      </c>
      <c r="R888" t="s">
        <v>74</v>
      </c>
      <c r="S888" t="s">
        <v>74</v>
      </c>
      <c r="T888" t="s">
        <v>16803</v>
      </c>
      <c r="U888" t="s">
        <v>16804</v>
      </c>
      <c r="V888" t="s">
        <v>16805</v>
      </c>
      <c r="W888" t="s">
        <v>16806</v>
      </c>
      <c r="X888" t="s">
        <v>16807</v>
      </c>
      <c r="Y888" t="s">
        <v>16808</v>
      </c>
      <c r="Z888" t="s">
        <v>16809</v>
      </c>
      <c r="AA888" t="s">
        <v>74</v>
      </c>
      <c r="AB888" t="s">
        <v>16810</v>
      </c>
      <c r="AC888" t="s">
        <v>16811</v>
      </c>
      <c r="AD888" t="s">
        <v>16812</v>
      </c>
      <c r="AE888" t="s">
        <v>16813</v>
      </c>
      <c r="AF888" t="s">
        <v>74</v>
      </c>
      <c r="AG888">
        <v>57</v>
      </c>
      <c r="AH888">
        <v>0</v>
      </c>
      <c r="AI888">
        <v>0</v>
      </c>
      <c r="AJ888">
        <v>2</v>
      </c>
      <c r="AK888">
        <v>2</v>
      </c>
      <c r="AL888" t="s">
        <v>89</v>
      </c>
      <c r="AM888" t="s">
        <v>976</v>
      </c>
      <c r="AN888" t="s">
        <v>11027</v>
      </c>
      <c r="AO888" t="s">
        <v>16814</v>
      </c>
      <c r="AP888" t="s">
        <v>16815</v>
      </c>
      <c r="AQ888" t="s">
        <v>74</v>
      </c>
      <c r="AR888" t="s">
        <v>16816</v>
      </c>
      <c r="AS888" t="s">
        <v>16817</v>
      </c>
      <c r="AT888" t="s">
        <v>1947</v>
      </c>
      <c r="AU888">
        <v>2023</v>
      </c>
      <c r="AV888">
        <v>149</v>
      </c>
      <c r="AW888" t="s">
        <v>74</v>
      </c>
      <c r="AX888" t="s">
        <v>74</v>
      </c>
      <c r="AY888" t="s">
        <v>74</v>
      </c>
      <c r="AZ888" t="s">
        <v>74</v>
      </c>
      <c r="BA888" t="s">
        <v>74</v>
      </c>
      <c r="BB888" t="s">
        <v>74</v>
      </c>
      <c r="BC888" t="s">
        <v>74</v>
      </c>
      <c r="BD888">
        <v>105056</v>
      </c>
      <c r="BE888" t="s">
        <v>16818</v>
      </c>
      <c r="BF888" t="str">
        <f>HYPERLINK("http://dx.doi.org/10.1016/j.dci.2023.105056","http://dx.doi.org/10.1016/j.dci.2023.105056")</f>
        <v>http://dx.doi.org/10.1016/j.dci.2023.105056</v>
      </c>
      <c r="BG888" t="s">
        <v>74</v>
      </c>
      <c r="BH888" t="s">
        <v>15880</v>
      </c>
      <c r="BI888">
        <v>9</v>
      </c>
      <c r="BJ888" t="s">
        <v>16819</v>
      </c>
      <c r="BK888" t="s">
        <v>100</v>
      </c>
      <c r="BL888" t="s">
        <v>16819</v>
      </c>
      <c r="BM888" t="s">
        <v>16820</v>
      </c>
      <c r="BN888">
        <v>37730191</v>
      </c>
      <c r="BO888" t="s">
        <v>74</v>
      </c>
      <c r="BP888" t="s">
        <v>74</v>
      </c>
      <c r="BQ888" t="s">
        <v>74</v>
      </c>
      <c r="BR888" t="s">
        <v>104</v>
      </c>
      <c r="BS888" t="s">
        <v>16821</v>
      </c>
      <c r="BT888" t="str">
        <f>HYPERLINK("https%3A%2F%2Fwww.webofscience.com%2Fwos%2Fwoscc%2Ffull-record%2FWOS:001082119900001","View Full Record in Web of Science")</f>
        <v>View Full Record in Web of Science</v>
      </c>
    </row>
    <row r="889" spans="1:72" x14ac:dyDescent="0.15">
      <c r="A889" t="s">
        <v>72</v>
      </c>
      <c r="B889" t="s">
        <v>16822</v>
      </c>
      <c r="C889" t="s">
        <v>74</v>
      </c>
      <c r="D889" t="s">
        <v>74</v>
      </c>
      <c r="E889" t="s">
        <v>74</v>
      </c>
      <c r="F889" t="s">
        <v>16823</v>
      </c>
      <c r="G889" t="s">
        <v>74</v>
      </c>
      <c r="H889" t="s">
        <v>74</v>
      </c>
      <c r="I889" t="s">
        <v>16824</v>
      </c>
      <c r="J889" t="s">
        <v>16825</v>
      </c>
      <c r="K889" t="s">
        <v>74</v>
      </c>
      <c r="L889" t="s">
        <v>74</v>
      </c>
      <c r="M889" t="s">
        <v>78</v>
      </c>
      <c r="N889" t="s">
        <v>1547</v>
      </c>
      <c r="O889" t="s">
        <v>74</v>
      </c>
      <c r="P889" t="s">
        <v>74</v>
      </c>
      <c r="Q889" t="s">
        <v>74</v>
      </c>
      <c r="R889" t="s">
        <v>74</v>
      </c>
      <c r="S889" t="s">
        <v>74</v>
      </c>
      <c r="T889" t="s">
        <v>16826</v>
      </c>
      <c r="U889" t="s">
        <v>16827</v>
      </c>
      <c r="V889" t="s">
        <v>16828</v>
      </c>
      <c r="W889" t="s">
        <v>16829</v>
      </c>
      <c r="X889" t="s">
        <v>11563</v>
      </c>
      <c r="Y889" t="s">
        <v>16830</v>
      </c>
      <c r="Z889" t="s">
        <v>13406</v>
      </c>
      <c r="AA889" t="s">
        <v>16831</v>
      </c>
      <c r="AB889" t="s">
        <v>16832</v>
      </c>
      <c r="AC889" t="s">
        <v>16833</v>
      </c>
      <c r="AD889" t="s">
        <v>16834</v>
      </c>
      <c r="AE889" t="s">
        <v>16835</v>
      </c>
      <c r="AF889" t="s">
        <v>74</v>
      </c>
      <c r="AG889">
        <v>52</v>
      </c>
      <c r="AH889">
        <v>0</v>
      </c>
      <c r="AI889">
        <v>0</v>
      </c>
      <c r="AJ889">
        <v>30</v>
      </c>
      <c r="AK889">
        <v>30</v>
      </c>
      <c r="AL889" t="s">
        <v>1075</v>
      </c>
      <c r="AM889" t="s">
        <v>1076</v>
      </c>
      <c r="AN889" t="s">
        <v>1077</v>
      </c>
      <c r="AO889" t="s">
        <v>16836</v>
      </c>
      <c r="AP889" t="s">
        <v>16837</v>
      </c>
      <c r="AQ889" t="s">
        <v>74</v>
      </c>
      <c r="AR889" t="s">
        <v>16838</v>
      </c>
      <c r="AS889" t="s">
        <v>16839</v>
      </c>
      <c r="AT889" t="s">
        <v>16840</v>
      </c>
      <c r="AU889">
        <v>2023</v>
      </c>
      <c r="AV889" t="s">
        <v>74</v>
      </c>
      <c r="AW889" t="s">
        <v>74</v>
      </c>
      <c r="AX889" t="s">
        <v>74</v>
      </c>
      <c r="AY889" t="s">
        <v>74</v>
      </c>
      <c r="AZ889" t="s">
        <v>74</v>
      </c>
      <c r="BA889" t="s">
        <v>74</v>
      </c>
      <c r="BB889" t="s">
        <v>74</v>
      </c>
      <c r="BC889" t="s">
        <v>74</v>
      </c>
      <c r="BD889" t="s">
        <v>74</v>
      </c>
      <c r="BE889" t="s">
        <v>16841</v>
      </c>
      <c r="BF889" t="str">
        <f>HYPERLINK("http://dx.doi.org/10.1007/s11947-023-03205-y","http://dx.doi.org/10.1007/s11947-023-03205-y")</f>
        <v>http://dx.doi.org/10.1007/s11947-023-03205-y</v>
      </c>
      <c r="BG889" t="s">
        <v>74</v>
      </c>
      <c r="BH889" t="s">
        <v>15880</v>
      </c>
      <c r="BI889">
        <v>14</v>
      </c>
      <c r="BJ889" t="s">
        <v>6029</v>
      </c>
      <c r="BK889" t="s">
        <v>100</v>
      </c>
      <c r="BL889" t="s">
        <v>6029</v>
      </c>
      <c r="BM889" t="s">
        <v>16842</v>
      </c>
      <c r="BN889" t="s">
        <v>74</v>
      </c>
      <c r="BO889" t="s">
        <v>322</v>
      </c>
      <c r="BP889" t="s">
        <v>74</v>
      </c>
      <c r="BQ889" t="s">
        <v>74</v>
      </c>
      <c r="BR889" t="s">
        <v>104</v>
      </c>
      <c r="BS889" t="s">
        <v>16843</v>
      </c>
      <c r="BT889" t="str">
        <f>HYPERLINK("https%3A%2F%2Fwww.webofscience.com%2Fwos%2Fwoscc%2Ffull-record%2FWOS:001070990700002","View Full Record in Web of Science")</f>
        <v>View Full Record in Web of Science</v>
      </c>
    </row>
    <row r="890" spans="1:72" x14ac:dyDescent="0.15">
      <c r="A890" t="s">
        <v>72</v>
      </c>
      <c r="B890" t="s">
        <v>16844</v>
      </c>
      <c r="C890" t="s">
        <v>74</v>
      </c>
      <c r="D890" t="s">
        <v>74</v>
      </c>
      <c r="E890" t="s">
        <v>74</v>
      </c>
      <c r="F890" t="s">
        <v>16845</v>
      </c>
      <c r="G890" t="s">
        <v>74</v>
      </c>
      <c r="H890" t="s">
        <v>74</v>
      </c>
      <c r="I890" t="s">
        <v>16846</v>
      </c>
      <c r="J890" t="s">
        <v>4870</v>
      </c>
      <c r="K890" t="s">
        <v>74</v>
      </c>
      <c r="L890" t="s">
        <v>74</v>
      </c>
      <c r="M890" t="s">
        <v>78</v>
      </c>
      <c r="N890" t="s">
        <v>79</v>
      </c>
      <c r="O890" t="s">
        <v>74</v>
      </c>
      <c r="P890" t="s">
        <v>74</v>
      </c>
      <c r="Q890" t="s">
        <v>74</v>
      </c>
      <c r="R890" t="s">
        <v>74</v>
      </c>
      <c r="S890" t="s">
        <v>74</v>
      </c>
      <c r="T890" t="s">
        <v>74</v>
      </c>
      <c r="U890" t="s">
        <v>16847</v>
      </c>
      <c r="V890" t="s">
        <v>16848</v>
      </c>
      <c r="W890" t="s">
        <v>16849</v>
      </c>
      <c r="X890" t="s">
        <v>16850</v>
      </c>
      <c r="Y890" t="s">
        <v>16851</v>
      </c>
      <c r="Z890" t="s">
        <v>16852</v>
      </c>
      <c r="AA890" t="s">
        <v>16853</v>
      </c>
      <c r="AB890" t="s">
        <v>16854</v>
      </c>
      <c r="AC890" t="s">
        <v>16855</v>
      </c>
      <c r="AD890" t="s">
        <v>16856</v>
      </c>
      <c r="AE890" t="s">
        <v>16857</v>
      </c>
      <c r="AF890" t="s">
        <v>74</v>
      </c>
      <c r="AG890">
        <v>77</v>
      </c>
      <c r="AH890">
        <v>0</v>
      </c>
      <c r="AI890">
        <v>0</v>
      </c>
      <c r="AJ890">
        <v>7</v>
      </c>
      <c r="AK890">
        <v>9</v>
      </c>
      <c r="AL890" t="s">
        <v>3057</v>
      </c>
      <c r="AM890" t="s">
        <v>3058</v>
      </c>
      <c r="AN890" t="s">
        <v>3059</v>
      </c>
      <c r="AO890" t="s">
        <v>4881</v>
      </c>
      <c r="AP890" t="s">
        <v>4882</v>
      </c>
      <c r="AQ890" t="s">
        <v>74</v>
      </c>
      <c r="AR890" t="s">
        <v>4883</v>
      </c>
      <c r="AS890" t="s">
        <v>4884</v>
      </c>
      <c r="AT890" t="s">
        <v>10415</v>
      </c>
      <c r="AU890">
        <v>2023</v>
      </c>
      <c r="AV890">
        <v>16</v>
      </c>
      <c r="AW890">
        <v>10</v>
      </c>
      <c r="AX890" t="s">
        <v>74</v>
      </c>
      <c r="AY890" t="s">
        <v>74</v>
      </c>
      <c r="AZ890" t="s">
        <v>74</v>
      </c>
      <c r="BA890" t="s">
        <v>74</v>
      </c>
      <c r="BB890">
        <v>877</v>
      </c>
      <c r="BC890" t="s">
        <v>4088</v>
      </c>
      <c r="BD890" t="s">
        <v>74</v>
      </c>
      <c r="BE890" t="s">
        <v>16858</v>
      </c>
      <c r="BF890" t="str">
        <f>HYPERLINK("http://dx.doi.org/10.1038/s41561-023-01273-5","http://dx.doi.org/10.1038/s41561-023-01273-5")</f>
        <v>http://dx.doi.org/10.1038/s41561-023-01273-5</v>
      </c>
      <c r="BG890" t="s">
        <v>74</v>
      </c>
      <c r="BH890" t="s">
        <v>15880</v>
      </c>
      <c r="BI890">
        <v>21</v>
      </c>
      <c r="BJ890" t="s">
        <v>535</v>
      </c>
      <c r="BK890" t="s">
        <v>100</v>
      </c>
      <c r="BL890" t="s">
        <v>536</v>
      </c>
      <c r="BM890" t="s">
        <v>16859</v>
      </c>
      <c r="BN890" t="s">
        <v>74</v>
      </c>
      <c r="BO890" t="s">
        <v>11777</v>
      </c>
      <c r="BP890" t="s">
        <v>74</v>
      </c>
      <c r="BQ890" t="s">
        <v>74</v>
      </c>
      <c r="BR890" t="s">
        <v>104</v>
      </c>
      <c r="BS890" t="s">
        <v>16860</v>
      </c>
      <c r="BT890" t="str">
        <f>HYPERLINK("https%3A%2F%2Fwww.webofscience.com%2Fwos%2Fwoscc%2Ffull-record%2FWOS:001069506500001","View Full Record in Web of Science")</f>
        <v>View Full Record in Web of Science</v>
      </c>
    </row>
    <row r="891" spans="1:72" x14ac:dyDescent="0.15">
      <c r="A891" t="s">
        <v>72</v>
      </c>
      <c r="B891" t="s">
        <v>16861</v>
      </c>
      <c r="C891" t="s">
        <v>74</v>
      </c>
      <c r="D891" t="s">
        <v>74</v>
      </c>
      <c r="E891" t="s">
        <v>74</v>
      </c>
      <c r="F891" t="s">
        <v>16862</v>
      </c>
      <c r="G891" t="s">
        <v>74</v>
      </c>
      <c r="H891" t="s">
        <v>74</v>
      </c>
      <c r="I891" t="s">
        <v>16863</v>
      </c>
      <c r="J891" t="s">
        <v>2915</v>
      </c>
      <c r="K891" t="s">
        <v>74</v>
      </c>
      <c r="L891" t="s">
        <v>74</v>
      </c>
      <c r="M891" t="s">
        <v>78</v>
      </c>
      <c r="N891" t="s">
        <v>1547</v>
      </c>
      <c r="O891" t="s">
        <v>74</v>
      </c>
      <c r="P891" t="s">
        <v>74</v>
      </c>
      <c r="Q891" t="s">
        <v>74</v>
      </c>
      <c r="R891" t="s">
        <v>74</v>
      </c>
      <c r="S891" t="s">
        <v>74</v>
      </c>
      <c r="T891" t="s">
        <v>16864</v>
      </c>
      <c r="U891" t="s">
        <v>16865</v>
      </c>
      <c r="V891" t="s">
        <v>16866</v>
      </c>
      <c r="W891" t="s">
        <v>16867</v>
      </c>
      <c r="X891" t="s">
        <v>16868</v>
      </c>
      <c r="Y891" t="s">
        <v>16869</v>
      </c>
      <c r="Z891" t="s">
        <v>16870</v>
      </c>
      <c r="AA891" t="s">
        <v>74</v>
      </c>
      <c r="AB891" t="s">
        <v>16871</v>
      </c>
      <c r="AC891" t="s">
        <v>16872</v>
      </c>
      <c r="AD891" t="s">
        <v>16873</v>
      </c>
      <c r="AE891" t="s">
        <v>16874</v>
      </c>
      <c r="AF891" t="s">
        <v>74</v>
      </c>
      <c r="AG891">
        <v>59</v>
      </c>
      <c r="AH891">
        <v>0</v>
      </c>
      <c r="AI891">
        <v>0</v>
      </c>
      <c r="AJ891">
        <v>4</v>
      </c>
      <c r="AK891">
        <v>4</v>
      </c>
      <c r="AL891" t="s">
        <v>1782</v>
      </c>
      <c r="AM891" t="s">
        <v>1783</v>
      </c>
      <c r="AN891" t="s">
        <v>1784</v>
      </c>
      <c r="AO891" t="s">
        <v>2928</v>
      </c>
      <c r="AP891" t="s">
        <v>2929</v>
      </c>
      <c r="AQ891" t="s">
        <v>74</v>
      </c>
      <c r="AR891" t="s">
        <v>2930</v>
      </c>
      <c r="AS891" t="s">
        <v>2931</v>
      </c>
      <c r="AT891" t="s">
        <v>16840</v>
      </c>
      <c r="AU891">
        <v>2023</v>
      </c>
      <c r="AV891" t="s">
        <v>74</v>
      </c>
      <c r="AW891" t="s">
        <v>74</v>
      </c>
      <c r="AX891" t="s">
        <v>74</v>
      </c>
      <c r="AY891" t="s">
        <v>74</v>
      </c>
      <c r="AZ891" t="s">
        <v>74</v>
      </c>
      <c r="BA891" t="s">
        <v>74</v>
      </c>
      <c r="BB891" t="s">
        <v>74</v>
      </c>
      <c r="BC891" t="s">
        <v>74</v>
      </c>
      <c r="BD891" t="s">
        <v>74</v>
      </c>
      <c r="BE891" t="s">
        <v>16875</v>
      </c>
      <c r="BF891" t="str">
        <f>HYPERLINK("http://dx.doi.org/10.1017/jog.2023.65","http://dx.doi.org/10.1017/jog.2023.65")</f>
        <v>http://dx.doi.org/10.1017/jog.2023.65</v>
      </c>
      <c r="BG891" t="s">
        <v>74</v>
      </c>
      <c r="BH891" t="s">
        <v>15880</v>
      </c>
      <c r="BI891">
        <v>14</v>
      </c>
      <c r="BJ891" t="s">
        <v>984</v>
      </c>
      <c r="BK891" t="s">
        <v>100</v>
      </c>
      <c r="BL891" t="s">
        <v>985</v>
      </c>
      <c r="BM891" t="s">
        <v>16876</v>
      </c>
      <c r="BN891" t="s">
        <v>74</v>
      </c>
      <c r="BO891" t="s">
        <v>131</v>
      </c>
      <c r="BP891" t="s">
        <v>74</v>
      </c>
      <c r="BQ891" t="s">
        <v>74</v>
      </c>
      <c r="BR891" t="s">
        <v>104</v>
      </c>
      <c r="BS891" t="s">
        <v>16877</v>
      </c>
      <c r="BT891" t="str">
        <f>HYPERLINK("https%3A%2F%2Fwww.webofscience.com%2Fwos%2Fwoscc%2Ffull-record%2FWOS:001068075700001","View Full Record in Web of Science")</f>
        <v>View Full Record in Web of Science</v>
      </c>
    </row>
    <row r="892" spans="1:72" x14ac:dyDescent="0.15">
      <c r="A892" t="s">
        <v>72</v>
      </c>
      <c r="B892" t="s">
        <v>16878</v>
      </c>
      <c r="C892" t="s">
        <v>74</v>
      </c>
      <c r="D892" t="s">
        <v>74</v>
      </c>
      <c r="E892" t="s">
        <v>74</v>
      </c>
      <c r="F892" t="s">
        <v>16879</v>
      </c>
      <c r="G892" t="s">
        <v>74</v>
      </c>
      <c r="H892" t="s">
        <v>74</v>
      </c>
      <c r="I892" t="s">
        <v>16880</v>
      </c>
      <c r="J892" t="s">
        <v>2915</v>
      </c>
      <c r="K892" t="s">
        <v>74</v>
      </c>
      <c r="L892" t="s">
        <v>74</v>
      </c>
      <c r="M892" t="s">
        <v>78</v>
      </c>
      <c r="N892" t="s">
        <v>1547</v>
      </c>
      <c r="O892" t="s">
        <v>74</v>
      </c>
      <c r="P892" t="s">
        <v>74</v>
      </c>
      <c r="Q892" t="s">
        <v>74</v>
      </c>
      <c r="R892" t="s">
        <v>74</v>
      </c>
      <c r="S892" t="s">
        <v>74</v>
      </c>
      <c r="T892" t="s">
        <v>16881</v>
      </c>
      <c r="U892" t="s">
        <v>16882</v>
      </c>
      <c r="V892" t="s">
        <v>16883</v>
      </c>
      <c r="W892" t="s">
        <v>16884</v>
      </c>
      <c r="X892" t="s">
        <v>16885</v>
      </c>
      <c r="Y892" t="s">
        <v>16886</v>
      </c>
      <c r="Z892" t="s">
        <v>16887</v>
      </c>
      <c r="AA892" t="s">
        <v>16888</v>
      </c>
      <c r="AB892" t="s">
        <v>16889</v>
      </c>
      <c r="AC892" t="s">
        <v>16890</v>
      </c>
      <c r="AD892" t="s">
        <v>16891</v>
      </c>
      <c r="AE892" t="s">
        <v>16892</v>
      </c>
      <c r="AF892" t="s">
        <v>74</v>
      </c>
      <c r="AG892">
        <v>62</v>
      </c>
      <c r="AH892">
        <v>1</v>
      </c>
      <c r="AI892">
        <v>1</v>
      </c>
      <c r="AJ892">
        <v>4</v>
      </c>
      <c r="AK892">
        <v>6</v>
      </c>
      <c r="AL892" t="s">
        <v>1782</v>
      </c>
      <c r="AM892" t="s">
        <v>1783</v>
      </c>
      <c r="AN892" t="s">
        <v>1784</v>
      </c>
      <c r="AO892" t="s">
        <v>2928</v>
      </c>
      <c r="AP892" t="s">
        <v>2929</v>
      </c>
      <c r="AQ892" t="s">
        <v>74</v>
      </c>
      <c r="AR892" t="s">
        <v>2930</v>
      </c>
      <c r="AS892" t="s">
        <v>2931</v>
      </c>
      <c r="AT892" t="s">
        <v>16840</v>
      </c>
      <c r="AU892">
        <v>2023</v>
      </c>
      <c r="AV892" t="s">
        <v>74</v>
      </c>
      <c r="AW892" t="s">
        <v>74</v>
      </c>
      <c r="AX892" t="s">
        <v>74</v>
      </c>
      <c r="AY892" t="s">
        <v>74</v>
      </c>
      <c r="AZ892" t="s">
        <v>74</v>
      </c>
      <c r="BA892" t="s">
        <v>74</v>
      </c>
      <c r="BB892" t="s">
        <v>74</v>
      </c>
      <c r="BC892" t="s">
        <v>74</v>
      </c>
      <c r="BD892" t="s">
        <v>74</v>
      </c>
      <c r="BE892" t="s">
        <v>16893</v>
      </c>
      <c r="BF892" t="str">
        <f>HYPERLINK("http://dx.doi.org/10.1017/jog.2023.71","http://dx.doi.org/10.1017/jog.2023.71")</f>
        <v>http://dx.doi.org/10.1017/jog.2023.71</v>
      </c>
      <c r="BG892" t="s">
        <v>74</v>
      </c>
      <c r="BH892" t="s">
        <v>15880</v>
      </c>
      <c r="BI892">
        <v>14</v>
      </c>
      <c r="BJ892" t="s">
        <v>984</v>
      </c>
      <c r="BK892" t="s">
        <v>100</v>
      </c>
      <c r="BL892" t="s">
        <v>985</v>
      </c>
      <c r="BM892" t="s">
        <v>16894</v>
      </c>
      <c r="BN892" t="s">
        <v>74</v>
      </c>
      <c r="BO892" t="s">
        <v>349</v>
      </c>
      <c r="BP892" t="s">
        <v>74</v>
      </c>
      <c r="BQ892" t="s">
        <v>74</v>
      </c>
      <c r="BR892" t="s">
        <v>104</v>
      </c>
      <c r="BS892" t="s">
        <v>16895</v>
      </c>
      <c r="BT892" t="str">
        <f>HYPERLINK("https%3A%2F%2Fwww.webofscience.com%2Fwos%2Fwoscc%2Ffull-record%2FWOS:001068083300001","View Full Record in Web of Science")</f>
        <v>View Full Record in Web of Science</v>
      </c>
    </row>
    <row r="893" spans="1:72" x14ac:dyDescent="0.15">
      <c r="A893" t="s">
        <v>72</v>
      </c>
      <c r="B893" t="s">
        <v>16896</v>
      </c>
      <c r="C893" t="s">
        <v>74</v>
      </c>
      <c r="D893" t="s">
        <v>74</v>
      </c>
      <c r="E893" t="s">
        <v>74</v>
      </c>
      <c r="F893" t="s">
        <v>16897</v>
      </c>
      <c r="G893" t="s">
        <v>74</v>
      </c>
      <c r="H893" t="s">
        <v>74</v>
      </c>
      <c r="I893" t="s">
        <v>16898</v>
      </c>
      <c r="J893" t="s">
        <v>12725</v>
      </c>
      <c r="K893" t="s">
        <v>74</v>
      </c>
      <c r="L893" t="s">
        <v>74</v>
      </c>
      <c r="M893" t="s">
        <v>78</v>
      </c>
      <c r="N893" t="s">
        <v>10145</v>
      </c>
      <c r="O893" t="s">
        <v>74</v>
      </c>
      <c r="P893" t="s">
        <v>74</v>
      </c>
      <c r="Q893" t="s">
        <v>74</v>
      </c>
      <c r="R893" t="s">
        <v>74</v>
      </c>
      <c r="S893" t="s">
        <v>74</v>
      </c>
      <c r="T893" t="s">
        <v>16899</v>
      </c>
      <c r="U893" t="s">
        <v>74</v>
      </c>
      <c r="V893" t="s">
        <v>16900</v>
      </c>
      <c r="W893" t="s">
        <v>74</v>
      </c>
      <c r="X893" t="s">
        <v>74</v>
      </c>
      <c r="Y893" t="s">
        <v>74</v>
      </c>
      <c r="Z893" t="s">
        <v>74</v>
      </c>
      <c r="AA893" t="s">
        <v>74</v>
      </c>
      <c r="AB893" t="s">
        <v>16901</v>
      </c>
      <c r="AC893" t="s">
        <v>74</v>
      </c>
      <c r="AD893" t="s">
        <v>74</v>
      </c>
      <c r="AE893" t="s">
        <v>74</v>
      </c>
      <c r="AF893" t="s">
        <v>74</v>
      </c>
      <c r="AG893">
        <v>0</v>
      </c>
      <c r="AH893">
        <v>0</v>
      </c>
      <c r="AI893">
        <v>0</v>
      </c>
      <c r="AJ893">
        <v>1</v>
      </c>
      <c r="AK893">
        <v>3</v>
      </c>
      <c r="AL893" t="s">
        <v>3057</v>
      </c>
      <c r="AM893" t="s">
        <v>3058</v>
      </c>
      <c r="AN893" t="s">
        <v>3059</v>
      </c>
      <c r="AO893" t="s">
        <v>12728</v>
      </c>
      <c r="AP893" t="s">
        <v>12729</v>
      </c>
      <c r="AQ893" t="s">
        <v>74</v>
      </c>
      <c r="AR893" t="s">
        <v>12725</v>
      </c>
      <c r="AS893" t="s">
        <v>12730</v>
      </c>
      <c r="AT893" t="s">
        <v>16902</v>
      </c>
      <c r="AU893">
        <v>2023</v>
      </c>
      <c r="AV893">
        <v>621</v>
      </c>
      <c r="AW893">
        <v>7979</v>
      </c>
      <c r="AX893" t="s">
        <v>74</v>
      </c>
      <c r="AY893" t="s">
        <v>74</v>
      </c>
      <c r="AZ893" t="s">
        <v>74</v>
      </c>
      <c r="BA893" t="s">
        <v>74</v>
      </c>
      <c r="BB893">
        <v>453</v>
      </c>
      <c r="BC893">
        <v>453</v>
      </c>
      <c r="BD893" t="s">
        <v>74</v>
      </c>
      <c r="BE893" t="s">
        <v>16903</v>
      </c>
      <c r="BF893" t="str">
        <f>HYPERLINK("http://dx.doi.org/10.1038/d41586-023-02764-6","http://dx.doi.org/10.1038/d41586-023-02764-6")</f>
        <v>http://dx.doi.org/10.1038/d41586-023-02764-6</v>
      </c>
      <c r="BG893" t="s">
        <v>74</v>
      </c>
      <c r="BH893" t="s">
        <v>74</v>
      </c>
      <c r="BI893">
        <v>1</v>
      </c>
      <c r="BJ893" t="s">
        <v>1035</v>
      </c>
      <c r="BK893" t="s">
        <v>100</v>
      </c>
      <c r="BL893" t="s">
        <v>1036</v>
      </c>
      <c r="BM893" t="s">
        <v>16904</v>
      </c>
      <c r="BN893">
        <v>37699997</v>
      </c>
      <c r="BO893" t="s">
        <v>74</v>
      </c>
      <c r="BP893" t="s">
        <v>74</v>
      </c>
      <c r="BQ893" t="s">
        <v>74</v>
      </c>
      <c r="BR893" t="s">
        <v>104</v>
      </c>
      <c r="BS893" t="s">
        <v>16905</v>
      </c>
      <c r="BT893" t="str">
        <f>HYPERLINK("https%3A%2F%2Fwww.webofscience.com%2Fwos%2Fwoscc%2Ffull-record%2FWOS:001069368300009","View Full Record in Web of Science")</f>
        <v>View Full Record in Web of Science</v>
      </c>
    </row>
    <row r="894" spans="1:72" x14ac:dyDescent="0.15">
      <c r="A894" t="s">
        <v>72</v>
      </c>
      <c r="B894" t="s">
        <v>14825</v>
      </c>
      <c r="C894" t="s">
        <v>74</v>
      </c>
      <c r="D894" t="s">
        <v>74</v>
      </c>
      <c r="E894" t="s">
        <v>74</v>
      </c>
      <c r="F894" t="s">
        <v>14826</v>
      </c>
      <c r="G894" t="s">
        <v>74</v>
      </c>
      <c r="H894" t="s">
        <v>74</v>
      </c>
      <c r="I894" t="s">
        <v>14827</v>
      </c>
      <c r="J894" t="s">
        <v>4933</v>
      </c>
      <c r="K894" t="s">
        <v>74</v>
      </c>
      <c r="L894" t="s">
        <v>74</v>
      </c>
      <c r="M894" t="s">
        <v>78</v>
      </c>
      <c r="N894" t="s">
        <v>1771</v>
      </c>
      <c r="O894" t="s">
        <v>74</v>
      </c>
      <c r="P894" t="s">
        <v>74</v>
      </c>
      <c r="Q894" t="s">
        <v>74</v>
      </c>
      <c r="R894" t="s">
        <v>74</v>
      </c>
      <c r="S894" t="s">
        <v>74</v>
      </c>
      <c r="T894" t="s">
        <v>74</v>
      </c>
      <c r="U894" t="s">
        <v>11946</v>
      </c>
      <c r="V894" t="s">
        <v>14828</v>
      </c>
      <c r="W894" t="s">
        <v>16906</v>
      </c>
      <c r="X894" t="s">
        <v>16907</v>
      </c>
      <c r="Y894" t="s">
        <v>16908</v>
      </c>
      <c r="Z894" t="s">
        <v>14832</v>
      </c>
      <c r="AA894" t="s">
        <v>14833</v>
      </c>
      <c r="AB894" t="s">
        <v>14834</v>
      </c>
      <c r="AC894" t="s">
        <v>74</v>
      </c>
      <c r="AD894" t="s">
        <v>74</v>
      </c>
      <c r="AE894" t="s">
        <v>74</v>
      </c>
      <c r="AF894" t="s">
        <v>74</v>
      </c>
      <c r="AG894">
        <v>16</v>
      </c>
      <c r="AH894">
        <v>0</v>
      </c>
      <c r="AI894">
        <v>0</v>
      </c>
      <c r="AJ894">
        <v>4</v>
      </c>
      <c r="AK894">
        <v>5</v>
      </c>
      <c r="AL894" t="s">
        <v>3057</v>
      </c>
      <c r="AM894" t="s">
        <v>3058</v>
      </c>
      <c r="AN894" t="s">
        <v>3059</v>
      </c>
      <c r="AO894" t="s">
        <v>4945</v>
      </c>
      <c r="AP894" t="s">
        <v>4946</v>
      </c>
      <c r="AQ894" t="s">
        <v>74</v>
      </c>
      <c r="AR894" t="s">
        <v>4947</v>
      </c>
      <c r="AS894" t="s">
        <v>4948</v>
      </c>
      <c r="AT894" t="s">
        <v>16840</v>
      </c>
      <c r="AU894">
        <v>2023</v>
      </c>
      <c r="AV894" t="s">
        <v>74</v>
      </c>
      <c r="AW894" t="s">
        <v>74</v>
      </c>
      <c r="AX894" t="s">
        <v>74</v>
      </c>
      <c r="AY894" t="s">
        <v>74</v>
      </c>
      <c r="AZ894" t="s">
        <v>74</v>
      </c>
      <c r="BA894" t="s">
        <v>74</v>
      </c>
      <c r="BB894" t="s">
        <v>74</v>
      </c>
      <c r="BC894" t="s">
        <v>74</v>
      </c>
      <c r="BD894" t="s">
        <v>74</v>
      </c>
      <c r="BE894" t="s">
        <v>16909</v>
      </c>
      <c r="BF894" t="str">
        <f>HYPERLINK("http://dx.doi.org/10.1038/s41558-023-01819","http://dx.doi.org/10.1038/s41558-023-01819")</f>
        <v>http://dx.doi.org/10.1038/s41558-023-01819</v>
      </c>
      <c r="BG894" t="s">
        <v>74</v>
      </c>
      <c r="BH894" t="s">
        <v>15880</v>
      </c>
      <c r="BI894">
        <v>4</v>
      </c>
      <c r="BJ894" t="s">
        <v>4951</v>
      </c>
      <c r="BK894" t="s">
        <v>456</v>
      </c>
      <c r="BL894" t="s">
        <v>2383</v>
      </c>
      <c r="BM894" t="s">
        <v>16910</v>
      </c>
      <c r="BN894" t="s">
        <v>74</v>
      </c>
      <c r="BO894" t="s">
        <v>74</v>
      </c>
      <c r="BP894" t="s">
        <v>74</v>
      </c>
      <c r="BQ894" t="s">
        <v>74</v>
      </c>
      <c r="BR894" t="s">
        <v>104</v>
      </c>
      <c r="BS894" t="s">
        <v>16911</v>
      </c>
      <c r="BT894" t="str">
        <f>HYPERLINK("https%3A%2F%2Fwww.webofscience.com%2Fwos%2Fwoscc%2Ffull-record%2FWOS:001069496700003","View Full Record in Web of Science")</f>
        <v>View Full Record in Web of Science</v>
      </c>
    </row>
    <row r="895" spans="1:72" x14ac:dyDescent="0.15">
      <c r="A895" t="s">
        <v>72</v>
      </c>
      <c r="B895" t="s">
        <v>16912</v>
      </c>
      <c r="C895" t="s">
        <v>74</v>
      </c>
      <c r="D895" t="s">
        <v>74</v>
      </c>
      <c r="E895" t="s">
        <v>74</v>
      </c>
      <c r="F895" t="s">
        <v>16913</v>
      </c>
      <c r="G895" t="s">
        <v>74</v>
      </c>
      <c r="H895" t="s">
        <v>74</v>
      </c>
      <c r="I895" t="s">
        <v>16914</v>
      </c>
      <c r="J895" t="s">
        <v>9266</v>
      </c>
      <c r="K895" t="s">
        <v>74</v>
      </c>
      <c r="L895" t="s">
        <v>74</v>
      </c>
      <c r="M895" t="s">
        <v>78</v>
      </c>
      <c r="N895" t="s">
        <v>79</v>
      </c>
      <c r="O895" t="s">
        <v>74</v>
      </c>
      <c r="P895" t="s">
        <v>74</v>
      </c>
      <c r="Q895" t="s">
        <v>74</v>
      </c>
      <c r="R895" t="s">
        <v>74</v>
      </c>
      <c r="S895" t="s">
        <v>74</v>
      </c>
      <c r="T895" t="s">
        <v>74</v>
      </c>
      <c r="U895" t="s">
        <v>16915</v>
      </c>
      <c r="V895" t="s">
        <v>16916</v>
      </c>
      <c r="W895" t="s">
        <v>16917</v>
      </c>
      <c r="X895" t="s">
        <v>16918</v>
      </c>
      <c r="Y895" t="s">
        <v>16919</v>
      </c>
      <c r="Z895" t="s">
        <v>16920</v>
      </c>
      <c r="AA895" t="s">
        <v>16921</v>
      </c>
      <c r="AB895" t="s">
        <v>16922</v>
      </c>
      <c r="AC895" t="s">
        <v>16923</v>
      </c>
      <c r="AD895" t="s">
        <v>16923</v>
      </c>
      <c r="AE895" t="s">
        <v>16924</v>
      </c>
      <c r="AF895" t="s">
        <v>74</v>
      </c>
      <c r="AG895">
        <v>82</v>
      </c>
      <c r="AH895">
        <v>0</v>
      </c>
      <c r="AI895">
        <v>0</v>
      </c>
      <c r="AJ895">
        <v>5</v>
      </c>
      <c r="AK895">
        <v>8</v>
      </c>
      <c r="AL895" t="s">
        <v>1101</v>
      </c>
      <c r="AM895" t="s">
        <v>1102</v>
      </c>
      <c r="AN895" t="s">
        <v>1103</v>
      </c>
      <c r="AO895" t="s">
        <v>9278</v>
      </c>
      <c r="AP895" t="s">
        <v>9279</v>
      </c>
      <c r="AQ895" t="s">
        <v>74</v>
      </c>
      <c r="AR895" t="s">
        <v>9280</v>
      </c>
      <c r="AS895" t="s">
        <v>9281</v>
      </c>
      <c r="AT895" t="s">
        <v>1947</v>
      </c>
      <c r="AU895">
        <v>2023</v>
      </c>
      <c r="AV895">
        <v>25</v>
      </c>
      <c r="AW895">
        <v>12</v>
      </c>
      <c r="AX895" t="s">
        <v>74</v>
      </c>
      <c r="AY895" t="s">
        <v>74</v>
      </c>
      <c r="AZ895" t="s">
        <v>74</v>
      </c>
      <c r="BA895" t="s">
        <v>74</v>
      </c>
      <c r="BB895">
        <v>3207</v>
      </c>
      <c r="BC895">
        <v>3224</v>
      </c>
      <c r="BD895" t="s">
        <v>74</v>
      </c>
      <c r="BE895" t="s">
        <v>16925</v>
      </c>
      <c r="BF895" t="str">
        <f>HYPERLINK("http://dx.doi.org/10.1111/1462-2920.16509","http://dx.doi.org/10.1111/1462-2920.16509")</f>
        <v>http://dx.doi.org/10.1111/1462-2920.16509</v>
      </c>
      <c r="BG895" t="s">
        <v>74</v>
      </c>
      <c r="BH895" t="s">
        <v>15880</v>
      </c>
      <c r="BI895">
        <v>18</v>
      </c>
      <c r="BJ895" t="s">
        <v>1084</v>
      </c>
      <c r="BK895" t="s">
        <v>100</v>
      </c>
      <c r="BL895" t="s">
        <v>1084</v>
      </c>
      <c r="BM895" t="s">
        <v>16926</v>
      </c>
      <c r="BN895">
        <v>37732569</v>
      </c>
      <c r="BO895" t="s">
        <v>103</v>
      </c>
      <c r="BP895" t="s">
        <v>74</v>
      </c>
      <c r="BQ895" t="s">
        <v>74</v>
      </c>
      <c r="BR895" t="s">
        <v>104</v>
      </c>
      <c r="BS895" t="s">
        <v>16927</v>
      </c>
      <c r="BT895" t="str">
        <f>HYPERLINK("https%3A%2F%2Fwww.webofscience.com%2Fwos%2Fwoscc%2Ffull-record%2FWOS:001067557200001","View Full Record in Web of Science")</f>
        <v>View Full Record in Web of Science</v>
      </c>
    </row>
    <row r="896" spans="1:72" x14ac:dyDescent="0.15">
      <c r="A896" t="s">
        <v>72</v>
      </c>
      <c r="B896" t="s">
        <v>16928</v>
      </c>
      <c r="C896" t="s">
        <v>74</v>
      </c>
      <c r="D896" t="s">
        <v>74</v>
      </c>
      <c r="E896" t="s">
        <v>74</v>
      </c>
      <c r="F896" t="s">
        <v>16929</v>
      </c>
      <c r="G896" t="s">
        <v>74</v>
      </c>
      <c r="H896" t="s">
        <v>74</v>
      </c>
      <c r="I896" t="s">
        <v>16930</v>
      </c>
      <c r="J896" t="s">
        <v>9176</v>
      </c>
      <c r="K896" t="s">
        <v>74</v>
      </c>
      <c r="L896" t="s">
        <v>74</v>
      </c>
      <c r="M896" t="s">
        <v>78</v>
      </c>
      <c r="N896" t="s">
        <v>79</v>
      </c>
      <c r="O896" t="s">
        <v>74</v>
      </c>
      <c r="P896" t="s">
        <v>74</v>
      </c>
      <c r="Q896" t="s">
        <v>74</v>
      </c>
      <c r="R896" t="s">
        <v>74</v>
      </c>
      <c r="S896" t="s">
        <v>74</v>
      </c>
      <c r="T896" t="s">
        <v>74</v>
      </c>
      <c r="U896" t="s">
        <v>16931</v>
      </c>
      <c r="V896" t="s">
        <v>16932</v>
      </c>
      <c r="W896" t="s">
        <v>16933</v>
      </c>
      <c r="X896" t="s">
        <v>2211</v>
      </c>
      <c r="Y896" t="s">
        <v>16934</v>
      </c>
      <c r="Z896" t="s">
        <v>16935</v>
      </c>
      <c r="AA896" t="s">
        <v>16936</v>
      </c>
      <c r="AB896" t="s">
        <v>16937</v>
      </c>
      <c r="AC896" t="s">
        <v>16938</v>
      </c>
      <c r="AD896" t="s">
        <v>16939</v>
      </c>
      <c r="AE896" t="s">
        <v>16940</v>
      </c>
      <c r="AF896" t="s">
        <v>74</v>
      </c>
      <c r="AG896">
        <v>28</v>
      </c>
      <c r="AH896">
        <v>0</v>
      </c>
      <c r="AI896">
        <v>0</v>
      </c>
      <c r="AJ896">
        <v>0</v>
      </c>
      <c r="AK896">
        <v>0</v>
      </c>
      <c r="AL896" t="s">
        <v>1838</v>
      </c>
      <c r="AM896" t="s">
        <v>1839</v>
      </c>
      <c r="AN896" t="s">
        <v>1840</v>
      </c>
      <c r="AO896" t="s">
        <v>9185</v>
      </c>
      <c r="AP896" t="s">
        <v>9186</v>
      </c>
      <c r="AQ896" t="s">
        <v>74</v>
      </c>
      <c r="AR896" t="s">
        <v>9187</v>
      </c>
      <c r="AS896" t="s">
        <v>9188</v>
      </c>
      <c r="AT896" t="s">
        <v>16941</v>
      </c>
      <c r="AU896">
        <v>2023</v>
      </c>
      <c r="AV896">
        <v>16</v>
      </c>
      <c r="AW896">
        <v>18</v>
      </c>
      <c r="AX896" t="s">
        <v>74</v>
      </c>
      <c r="AY896" t="s">
        <v>74</v>
      </c>
      <c r="AZ896" t="s">
        <v>74</v>
      </c>
      <c r="BA896" t="s">
        <v>74</v>
      </c>
      <c r="BB896">
        <v>4215</v>
      </c>
      <c r="BC896">
        <v>4227</v>
      </c>
      <c r="BD896" t="s">
        <v>74</v>
      </c>
      <c r="BE896" t="s">
        <v>16942</v>
      </c>
      <c r="BF896" t="str">
        <f>HYPERLINK("http://dx.doi.org/10.5194/amt-16-4215-2023","http://dx.doi.org/10.5194/amt-16-4215-2023")</f>
        <v>http://dx.doi.org/10.5194/amt-16-4215-2023</v>
      </c>
      <c r="BG896" t="s">
        <v>74</v>
      </c>
      <c r="BH896" t="s">
        <v>74</v>
      </c>
      <c r="BI896">
        <v>13</v>
      </c>
      <c r="BJ896" t="s">
        <v>1522</v>
      </c>
      <c r="BK896" t="s">
        <v>100</v>
      </c>
      <c r="BL896" t="s">
        <v>1522</v>
      </c>
      <c r="BM896" t="s">
        <v>16943</v>
      </c>
      <c r="BN896" t="s">
        <v>74</v>
      </c>
      <c r="BO896" t="s">
        <v>131</v>
      </c>
      <c r="BP896" t="s">
        <v>74</v>
      </c>
      <c r="BQ896" t="s">
        <v>74</v>
      </c>
      <c r="BR896" t="s">
        <v>104</v>
      </c>
      <c r="BS896" t="s">
        <v>16944</v>
      </c>
      <c r="BT896" t="str">
        <f>HYPERLINK("https%3A%2F%2Fwww.webofscience.com%2Fwos%2Fwoscc%2Ffull-record%2FWOS:001162339900001","View Full Record in Web of Science")</f>
        <v>View Full Record in Web of Science</v>
      </c>
    </row>
    <row r="897" spans="1:72" x14ac:dyDescent="0.15">
      <c r="A897" t="s">
        <v>72</v>
      </c>
      <c r="B897" t="s">
        <v>16945</v>
      </c>
      <c r="C897" t="s">
        <v>74</v>
      </c>
      <c r="D897" t="s">
        <v>74</v>
      </c>
      <c r="E897" t="s">
        <v>74</v>
      </c>
      <c r="F897" t="s">
        <v>16946</v>
      </c>
      <c r="G897" t="s">
        <v>74</v>
      </c>
      <c r="H897" t="s">
        <v>74</v>
      </c>
      <c r="I897" t="s">
        <v>16947</v>
      </c>
      <c r="J897" t="s">
        <v>1243</v>
      </c>
      <c r="K897" t="s">
        <v>74</v>
      </c>
      <c r="L897" t="s">
        <v>74</v>
      </c>
      <c r="M897" t="s">
        <v>78</v>
      </c>
      <c r="N897" t="s">
        <v>79</v>
      </c>
      <c r="O897" t="s">
        <v>74</v>
      </c>
      <c r="P897" t="s">
        <v>74</v>
      </c>
      <c r="Q897" t="s">
        <v>74</v>
      </c>
      <c r="R897" t="s">
        <v>74</v>
      </c>
      <c r="S897" t="s">
        <v>74</v>
      </c>
      <c r="T897" t="s">
        <v>16948</v>
      </c>
      <c r="U897" t="s">
        <v>16949</v>
      </c>
      <c r="V897" t="s">
        <v>16950</v>
      </c>
      <c r="W897" t="s">
        <v>16951</v>
      </c>
      <c r="X897" t="s">
        <v>16952</v>
      </c>
      <c r="Y897" t="s">
        <v>16953</v>
      </c>
      <c r="Z897" t="s">
        <v>16954</v>
      </c>
      <c r="AA897" t="s">
        <v>16955</v>
      </c>
      <c r="AB897" t="s">
        <v>16956</v>
      </c>
      <c r="AC897" t="s">
        <v>16957</v>
      </c>
      <c r="AD897" t="s">
        <v>16957</v>
      </c>
      <c r="AE897" t="s">
        <v>16957</v>
      </c>
      <c r="AF897" t="s">
        <v>74</v>
      </c>
      <c r="AG897">
        <v>59</v>
      </c>
      <c r="AH897">
        <v>0</v>
      </c>
      <c r="AI897">
        <v>0</v>
      </c>
      <c r="AJ897">
        <v>6</v>
      </c>
      <c r="AK897">
        <v>6</v>
      </c>
      <c r="AL897" t="s">
        <v>1075</v>
      </c>
      <c r="AM897" t="s">
        <v>1076</v>
      </c>
      <c r="AN897" t="s">
        <v>1077</v>
      </c>
      <c r="AO897" t="s">
        <v>1256</v>
      </c>
      <c r="AP897" t="s">
        <v>1257</v>
      </c>
      <c r="AQ897" t="s">
        <v>74</v>
      </c>
      <c r="AR897" t="s">
        <v>1258</v>
      </c>
      <c r="AS897" t="s">
        <v>1259</v>
      </c>
      <c r="AT897" t="s">
        <v>4525</v>
      </c>
      <c r="AU897">
        <v>2023</v>
      </c>
      <c r="AV897">
        <v>46</v>
      </c>
      <c r="AW897">
        <v>11</v>
      </c>
      <c r="AX897" t="s">
        <v>74</v>
      </c>
      <c r="AY897" t="s">
        <v>74</v>
      </c>
      <c r="AZ897" t="s">
        <v>74</v>
      </c>
      <c r="BA897" t="s">
        <v>74</v>
      </c>
      <c r="BB897">
        <v>1191</v>
      </c>
      <c r="BC897">
        <v>1201</v>
      </c>
      <c r="BD897" t="s">
        <v>74</v>
      </c>
      <c r="BE897" t="s">
        <v>16958</v>
      </c>
      <c r="BF897" t="str">
        <f>HYPERLINK("http://dx.doi.org/10.1007/s00300-023-03193-x","http://dx.doi.org/10.1007/s00300-023-03193-x")</f>
        <v>http://dx.doi.org/10.1007/s00300-023-03193-x</v>
      </c>
      <c r="BG897" t="s">
        <v>74</v>
      </c>
      <c r="BH897" t="s">
        <v>15880</v>
      </c>
      <c r="BI897">
        <v>11</v>
      </c>
      <c r="BJ897" t="s">
        <v>1261</v>
      </c>
      <c r="BK897" t="s">
        <v>100</v>
      </c>
      <c r="BL897" t="s">
        <v>913</v>
      </c>
      <c r="BM897" t="s">
        <v>16658</v>
      </c>
      <c r="BN897" t="s">
        <v>74</v>
      </c>
      <c r="BO897" t="s">
        <v>322</v>
      </c>
      <c r="BP897" t="s">
        <v>74</v>
      </c>
      <c r="BQ897" t="s">
        <v>74</v>
      </c>
      <c r="BR897" t="s">
        <v>104</v>
      </c>
      <c r="BS897" t="s">
        <v>16959</v>
      </c>
      <c r="BT897" t="str">
        <f>HYPERLINK("https%3A%2F%2Fwww.webofscience.com%2Fwos%2Fwoscc%2Ffull-record%2FWOS:001067347600001","View Full Record in Web of Science")</f>
        <v>View Full Record in Web of Science</v>
      </c>
    </row>
    <row r="898" spans="1:72" x14ac:dyDescent="0.15">
      <c r="A898" t="s">
        <v>72</v>
      </c>
      <c r="B898" t="s">
        <v>16960</v>
      </c>
      <c r="C898" t="s">
        <v>74</v>
      </c>
      <c r="D898" t="s">
        <v>74</v>
      </c>
      <c r="E898" t="s">
        <v>74</v>
      </c>
      <c r="F898" t="s">
        <v>16961</v>
      </c>
      <c r="G898" t="s">
        <v>74</v>
      </c>
      <c r="H898" t="s">
        <v>74</v>
      </c>
      <c r="I898" t="s">
        <v>16962</v>
      </c>
      <c r="J898" t="s">
        <v>16963</v>
      </c>
      <c r="K898" t="s">
        <v>74</v>
      </c>
      <c r="L898" t="s">
        <v>74</v>
      </c>
      <c r="M898" t="s">
        <v>78</v>
      </c>
      <c r="N898" t="s">
        <v>1547</v>
      </c>
      <c r="O898" t="s">
        <v>74</v>
      </c>
      <c r="P898" t="s">
        <v>74</v>
      </c>
      <c r="Q898" t="s">
        <v>74</v>
      </c>
      <c r="R898" t="s">
        <v>74</v>
      </c>
      <c r="S898" t="s">
        <v>74</v>
      </c>
      <c r="T898" t="s">
        <v>16964</v>
      </c>
      <c r="U898" t="s">
        <v>16965</v>
      </c>
      <c r="V898" t="s">
        <v>16966</v>
      </c>
      <c r="W898" t="s">
        <v>16967</v>
      </c>
      <c r="X898" t="s">
        <v>16968</v>
      </c>
      <c r="Y898" t="s">
        <v>16969</v>
      </c>
      <c r="Z898" t="s">
        <v>16970</v>
      </c>
      <c r="AA898" t="s">
        <v>74</v>
      </c>
      <c r="AB898" t="s">
        <v>74</v>
      </c>
      <c r="AC898" t="s">
        <v>16971</v>
      </c>
      <c r="AD898" t="s">
        <v>16972</v>
      </c>
      <c r="AE898" t="s">
        <v>16973</v>
      </c>
      <c r="AF898" t="s">
        <v>74</v>
      </c>
      <c r="AG898">
        <v>57</v>
      </c>
      <c r="AH898">
        <v>0</v>
      </c>
      <c r="AI898">
        <v>0</v>
      </c>
      <c r="AJ898">
        <v>0</v>
      </c>
      <c r="AK898">
        <v>0</v>
      </c>
      <c r="AL898" t="s">
        <v>119</v>
      </c>
      <c r="AM898" t="s">
        <v>120</v>
      </c>
      <c r="AN898" t="s">
        <v>121</v>
      </c>
      <c r="AO898" t="s">
        <v>16974</v>
      </c>
      <c r="AP898" t="s">
        <v>16975</v>
      </c>
      <c r="AQ898" t="s">
        <v>74</v>
      </c>
      <c r="AR898" t="s">
        <v>16976</v>
      </c>
      <c r="AS898" t="s">
        <v>16977</v>
      </c>
      <c r="AT898" t="s">
        <v>16978</v>
      </c>
      <c r="AU898">
        <v>2023</v>
      </c>
      <c r="AV898" t="s">
        <v>74</v>
      </c>
      <c r="AW898" t="s">
        <v>74</v>
      </c>
      <c r="AX898" t="s">
        <v>74</v>
      </c>
      <c r="AY898" t="s">
        <v>74</v>
      </c>
      <c r="AZ898" t="s">
        <v>74</v>
      </c>
      <c r="BA898" t="s">
        <v>74</v>
      </c>
      <c r="BB898" t="s">
        <v>74</v>
      </c>
      <c r="BC898" t="s">
        <v>74</v>
      </c>
      <c r="BD898" t="s">
        <v>74</v>
      </c>
      <c r="BE898" t="s">
        <v>16979</v>
      </c>
      <c r="BF898" t="str">
        <f>HYPERLINK("http://dx.doi.org/10.1080/11263504.2023.2258878","http://dx.doi.org/10.1080/11263504.2023.2258878")</f>
        <v>http://dx.doi.org/10.1080/11263504.2023.2258878</v>
      </c>
      <c r="BG898" t="s">
        <v>74</v>
      </c>
      <c r="BH898" t="s">
        <v>15880</v>
      </c>
      <c r="BI898">
        <v>15</v>
      </c>
      <c r="BJ898" t="s">
        <v>1887</v>
      </c>
      <c r="BK898" t="s">
        <v>100</v>
      </c>
      <c r="BL898" t="s">
        <v>1887</v>
      </c>
      <c r="BM898" t="s">
        <v>16980</v>
      </c>
      <c r="BN898" t="s">
        <v>74</v>
      </c>
      <c r="BO898" t="s">
        <v>103</v>
      </c>
      <c r="BP898" t="s">
        <v>74</v>
      </c>
      <c r="BQ898" t="s">
        <v>74</v>
      </c>
      <c r="BR898" t="s">
        <v>104</v>
      </c>
      <c r="BS898" t="s">
        <v>16981</v>
      </c>
      <c r="BT898" t="str">
        <f>HYPERLINK("https%3A%2F%2Fwww.webofscience.com%2Fwos%2Fwoscc%2Ffull-record%2FWOS:001079830700001","View Full Record in Web of Science")</f>
        <v>View Full Record in Web of Science</v>
      </c>
    </row>
    <row r="899" spans="1:72" x14ac:dyDescent="0.15">
      <c r="A899" t="s">
        <v>72</v>
      </c>
      <c r="B899" t="s">
        <v>16982</v>
      </c>
      <c r="C899" t="s">
        <v>74</v>
      </c>
      <c r="D899" t="s">
        <v>74</v>
      </c>
      <c r="E899" t="s">
        <v>74</v>
      </c>
      <c r="F899" t="s">
        <v>16983</v>
      </c>
      <c r="G899" t="s">
        <v>74</v>
      </c>
      <c r="H899" t="s">
        <v>74</v>
      </c>
      <c r="I899" t="s">
        <v>16984</v>
      </c>
      <c r="J899" t="s">
        <v>11475</v>
      </c>
      <c r="K899" t="s">
        <v>74</v>
      </c>
      <c r="L899" t="s">
        <v>74</v>
      </c>
      <c r="M899" t="s">
        <v>78</v>
      </c>
      <c r="N899" t="s">
        <v>79</v>
      </c>
      <c r="O899" t="s">
        <v>74</v>
      </c>
      <c r="P899" t="s">
        <v>74</v>
      </c>
      <c r="Q899" t="s">
        <v>74</v>
      </c>
      <c r="R899" t="s">
        <v>74</v>
      </c>
      <c r="S899" t="s">
        <v>74</v>
      </c>
      <c r="T899" t="s">
        <v>16985</v>
      </c>
      <c r="U899" t="s">
        <v>16986</v>
      </c>
      <c r="V899" t="s">
        <v>16987</v>
      </c>
      <c r="W899" t="s">
        <v>16988</v>
      </c>
      <c r="X899" t="s">
        <v>16989</v>
      </c>
      <c r="Y899" t="s">
        <v>16990</v>
      </c>
      <c r="Z899" t="s">
        <v>16991</v>
      </c>
      <c r="AA899" t="s">
        <v>16992</v>
      </c>
      <c r="AB899" t="s">
        <v>16993</v>
      </c>
      <c r="AC899" t="s">
        <v>16994</v>
      </c>
      <c r="AD899" t="s">
        <v>16995</v>
      </c>
      <c r="AE899" t="s">
        <v>16996</v>
      </c>
      <c r="AF899" t="s">
        <v>74</v>
      </c>
      <c r="AG899">
        <v>95</v>
      </c>
      <c r="AH899">
        <v>0</v>
      </c>
      <c r="AI899">
        <v>0</v>
      </c>
      <c r="AJ899">
        <v>2</v>
      </c>
      <c r="AK899">
        <v>2</v>
      </c>
      <c r="AL899" t="s">
        <v>1758</v>
      </c>
      <c r="AM899" t="s">
        <v>1759</v>
      </c>
      <c r="AN899" t="s">
        <v>1760</v>
      </c>
      <c r="AO899" t="s">
        <v>74</v>
      </c>
      <c r="AP899" t="s">
        <v>11485</v>
      </c>
      <c r="AQ899" t="s">
        <v>74</v>
      </c>
      <c r="AR899" t="s">
        <v>11486</v>
      </c>
      <c r="AS899" t="s">
        <v>11487</v>
      </c>
      <c r="AT899" t="s">
        <v>16941</v>
      </c>
      <c r="AU899">
        <v>2023</v>
      </c>
      <c r="AV899">
        <v>14</v>
      </c>
      <c r="AW899" t="s">
        <v>74</v>
      </c>
      <c r="AX899" t="s">
        <v>74</v>
      </c>
      <c r="AY899" t="s">
        <v>74</v>
      </c>
      <c r="AZ899" t="s">
        <v>74</v>
      </c>
      <c r="BA899" t="s">
        <v>74</v>
      </c>
      <c r="BB899" t="s">
        <v>74</v>
      </c>
      <c r="BC899" t="s">
        <v>74</v>
      </c>
      <c r="BD899">
        <v>1234725</v>
      </c>
      <c r="BE899" t="s">
        <v>16997</v>
      </c>
      <c r="BF899" t="str">
        <f>HYPERLINK("http://dx.doi.org/10.3389/fmicb.2023.1234725","http://dx.doi.org/10.3389/fmicb.2023.1234725")</f>
        <v>http://dx.doi.org/10.3389/fmicb.2023.1234725</v>
      </c>
      <c r="BG899" t="s">
        <v>74</v>
      </c>
      <c r="BH899" t="s">
        <v>74</v>
      </c>
      <c r="BI899">
        <v>12</v>
      </c>
      <c r="BJ899" t="s">
        <v>1084</v>
      </c>
      <c r="BK899" t="s">
        <v>100</v>
      </c>
      <c r="BL899" t="s">
        <v>1084</v>
      </c>
      <c r="BM899" t="s">
        <v>16998</v>
      </c>
      <c r="BN899">
        <v>37799611</v>
      </c>
      <c r="BO899" t="s">
        <v>265</v>
      </c>
      <c r="BP899" t="s">
        <v>74</v>
      </c>
      <c r="BQ899" t="s">
        <v>74</v>
      </c>
      <c r="BR899" t="s">
        <v>104</v>
      </c>
      <c r="BS899" t="s">
        <v>16999</v>
      </c>
      <c r="BT899" t="str">
        <f>HYPERLINK("https%3A%2F%2Fwww.webofscience.com%2Fwos%2Fwoscc%2Ffull-record%2FWOS:001077060600001","View Full Record in Web of Science")</f>
        <v>View Full Record in Web of Science</v>
      </c>
    </row>
    <row r="900" spans="1:72" x14ac:dyDescent="0.15">
      <c r="A900" t="s">
        <v>72</v>
      </c>
      <c r="B900" t="s">
        <v>17000</v>
      </c>
      <c r="C900" t="s">
        <v>74</v>
      </c>
      <c r="D900" t="s">
        <v>74</v>
      </c>
      <c r="E900" t="s">
        <v>74</v>
      </c>
      <c r="F900" t="s">
        <v>17001</v>
      </c>
      <c r="G900" t="s">
        <v>74</v>
      </c>
      <c r="H900" t="s">
        <v>74</v>
      </c>
      <c r="I900" t="s">
        <v>14970</v>
      </c>
      <c r="J900" t="s">
        <v>3706</v>
      </c>
      <c r="K900" t="s">
        <v>74</v>
      </c>
      <c r="L900" t="s">
        <v>74</v>
      </c>
      <c r="M900" t="s">
        <v>78</v>
      </c>
      <c r="N900" t="s">
        <v>79</v>
      </c>
      <c r="O900" t="s">
        <v>74</v>
      </c>
      <c r="P900" t="s">
        <v>74</v>
      </c>
      <c r="Q900" t="s">
        <v>74</v>
      </c>
      <c r="R900" t="s">
        <v>74</v>
      </c>
      <c r="S900" t="s">
        <v>74</v>
      </c>
      <c r="T900" t="s">
        <v>14971</v>
      </c>
      <c r="U900" t="s">
        <v>14972</v>
      </c>
      <c r="V900" t="s">
        <v>17002</v>
      </c>
      <c r="W900" t="s">
        <v>17003</v>
      </c>
      <c r="X900" t="s">
        <v>14975</v>
      </c>
      <c r="Y900" t="s">
        <v>14976</v>
      </c>
      <c r="Z900" t="s">
        <v>8464</v>
      </c>
      <c r="AA900" t="s">
        <v>17004</v>
      </c>
      <c r="AB900" t="s">
        <v>17005</v>
      </c>
      <c r="AC900" t="s">
        <v>17006</v>
      </c>
      <c r="AD900" t="s">
        <v>17006</v>
      </c>
      <c r="AE900" t="s">
        <v>17007</v>
      </c>
      <c r="AF900" t="s">
        <v>74</v>
      </c>
      <c r="AG900">
        <v>72</v>
      </c>
      <c r="AH900">
        <v>0</v>
      </c>
      <c r="AI900">
        <v>0</v>
      </c>
      <c r="AJ900">
        <v>12</v>
      </c>
      <c r="AK900">
        <v>16</v>
      </c>
      <c r="AL900" t="s">
        <v>3719</v>
      </c>
      <c r="AM900" t="s">
        <v>1209</v>
      </c>
      <c r="AN900" t="s">
        <v>3720</v>
      </c>
      <c r="AO900" t="s">
        <v>3721</v>
      </c>
      <c r="AP900" t="s">
        <v>74</v>
      </c>
      <c r="AQ900" t="s">
        <v>74</v>
      </c>
      <c r="AR900" t="s">
        <v>3722</v>
      </c>
      <c r="AS900" t="s">
        <v>3723</v>
      </c>
      <c r="AT900" t="s">
        <v>16941</v>
      </c>
      <c r="AU900">
        <v>2023</v>
      </c>
      <c r="AV900" t="s">
        <v>74</v>
      </c>
      <c r="AW900" t="s">
        <v>74</v>
      </c>
      <c r="AX900" t="s">
        <v>74</v>
      </c>
      <c r="AY900" t="s">
        <v>74</v>
      </c>
      <c r="AZ900" t="s">
        <v>74</v>
      </c>
      <c r="BA900" t="s">
        <v>74</v>
      </c>
      <c r="BB900" t="s">
        <v>74</v>
      </c>
      <c r="BC900" t="s">
        <v>74</v>
      </c>
      <c r="BD900" t="s">
        <v>17008</v>
      </c>
      <c r="BE900" t="s">
        <v>14981</v>
      </c>
      <c r="BF900" t="str">
        <f>HYPERLINK("http://dx.doi.org/10.1128/spectrum.01912-23","http://dx.doi.org/10.1128/spectrum.01912-23")</f>
        <v>http://dx.doi.org/10.1128/spectrum.01912-23</v>
      </c>
      <c r="BG900" t="s">
        <v>74</v>
      </c>
      <c r="BH900" t="s">
        <v>74</v>
      </c>
      <c r="BI900">
        <v>15</v>
      </c>
      <c r="BJ900" t="s">
        <v>1084</v>
      </c>
      <c r="BK900" t="s">
        <v>100</v>
      </c>
      <c r="BL900" t="s">
        <v>1084</v>
      </c>
      <c r="BM900" t="s">
        <v>17009</v>
      </c>
      <c r="BN900">
        <v>37728551</v>
      </c>
      <c r="BO900" t="s">
        <v>265</v>
      </c>
      <c r="BP900" t="s">
        <v>74</v>
      </c>
      <c r="BQ900" t="s">
        <v>74</v>
      </c>
      <c r="BR900" t="s">
        <v>104</v>
      </c>
      <c r="BS900" t="s">
        <v>17010</v>
      </c>
      <c r="BT900" t="str">
        <f>HYPERLINK("https%3A%2F%2Fwww.webofscience.com%2Fwos%2Fwoscc%2Ffull-record%2FWOS:001071860100001","View Full Record in Web of Science")</f>
        <v>View Full Record in Web of Science</v>
      </c>
    </row>
    <row r="901" spans="1:72" x14ac:dyDescent="0.15">
      <c r="A901" t="s">
        <v>72</v>
      </c>
      <c r="B901" t="s">
        <v>17011</v>
      </c>
      <c r="C901" t="s">
        <v>74</v>
      </c>
      <c r="D901" t="s">
        <v>74</v>
      </c>
      <c r="E901" t="s">
        <v>74</v>
      </c>
      <c r="F901" t="s">
        <v>17012</v>
      </c>
      <c r="G901" t="s">
        <v>74</v>
      </c>
      <c r="H901" t="s">
        <v>74</v>
      </c>
      <c r="I901" t="s">
        <v>17013</v>
      </c>
      <c r="J901" t="s">
        <v>3384</v>
      </c>
      <c r="K901" t="s">
        <v>74</v>
      </c>
      <c r="L901" t="s">
        <v>74</v>
      </c>
      <c r="M901" t="s">
        <v>78</v>
      </c>
      <c r="N901" t="s">
        <v>79</v>
      </c>
      <c r="O901" t="s">
        <v>74</v>
      </c>
      <c r="P901" t="s">
        <v>74</v>
      </c>
      <c r="Q901" t="s">
        <v>74</v>
      </c>
      <c r="R901" t="s">
        <v>74</v>
      </c>
      <c r="S901" t="s">
        <v>74</v>
      </c>
      <c r="T901" t="s">
        <v>74</v>
      </c>
      <c r="U901" t="s">
        <v>17014</v>
      </c>
      <c r="V901" t="s">
        <v>17015</v>
      </c>
      <c r="W901" t="s">
        <v>17016</v>
      </c>
      <c r="X901" t="s">
        <v>17017</v>
      </c>
      <c r="Y901" t="s">
        <v>17018</v>
      </c>
      <c r="Z901" t="s">
        <v>17019</v>
      </c>
      <c r="AA901" t="s">
        <v>74</v>
      </c>
      <c r="AB901" t="s">
        <v>74</v>
      </c>
      <c r="AC901" t="s">
        <v>17020</v>
      </c>
      <c r="AD901" t="s">
        <v>17021</v>
      </c>
      <c r="AE901" t="s">
        <v>17022</v>
      </c>
      <c r="AF901" t="s">
        <v>74</v>
      </c>
      <c r="AG901">
        <v>75</v>
      </c>
      <c r="AH901">
        <v>0</v>
      </c>
      <c r="AI901">
        <v>0</v>
      </c>
      <c r="AJ901">
        <v>4</v>
      </c>
      <c r="AK901">
        <v>4</v>
      </c>
      <c r="AL901" t="s">
        <v>3057</v>
      </c>
      <c r="AM901" t="s">
        <v>3058</v>
      </c>
      <c r="AN901" t="s">
        <v>3059</v>
      </c>
      <c r="AO901" t="s">
        <v>74</v>
      </c>
      <c r="AP901" t="s">
        <v>3396</v>
      </c>
      <c r="AQ901" t="s">
        <v>74</v>
      </c>
      <c r="AR901" t="s">
        <v>3397</v>
      </c>
      <c r="AS901" t="s">
        <v>3398</v>
      </c>
      <c r="AT901" t="s">
        <v>17023</v>
      </c>
      <c r="AU901">
        <v>2023</v>
      </c>
      <c r="AV901">
        <v>14</v>
      </c>
      <c r="AW901">
        <v>1</v>
      </c>
      <c r="AX901" t="s">
        <v>74</v>
      </c>
      <c r="AY901" t="s">
        <v>74</v>
      </c>
      <c r="AZ901" t="s">
        <v>74</v>
      </c>
      <c r="BA901" t="s">
        <v>74</v>
      </c>
      <c r="BB901" t="s">
        <v>74</v>
      </c>
      <c r="BC901" t="s">
        <v>74</v>
      </c>
      <c r="BD901">
        <v>5823</v>
      </c>
      <c r="BE901" t="s">
        <v>17024</v>
      </c>
      <c r="BF901" t="str">
        <f>HYPERLINK("http://dx.doi.org/10.1038/s41467-023-41532-y","http://dx.doi.org/10.1038/s41467-023-41532-y")</f>
        <v>http://dx.doi.org/10.1038/s41467-023-41532-y</v>
      </c>
      <c r="BG901" t="s">
        <v>74</v>
      </c>
      <c r="BH901" t="s">
        <v>74</v>
      </c>
      <c r="BI901">
        <v>13</v>
      </c>
      <c r="BJ901" t="s">
        <v>1035</v>
      </c>
      <c r="BK901" t="s">
        <v>100</v>
      </c>
      <c r="BL901" t="s">
        <v>1036</v>
      </c>
      <c r="BM901" t="s">
        <v>17025</v>
      </c>
      <c r="BN901" t="s">
        <v>74</v>
      </c>
      <c r="BO901" t="s">
        <v>2361</v>
      </c>
      <c r="BP901" t="s">
        <v>74</v>
      </c>
      <c r="BQ901" t="s">
        <v>74</v>
      </c>
      <c r="BR901" t="s">
        <v>104</v>
      </c>
      <c r="BS901" t="s">
        <v>17026</v>
      </c>
      <c r="BT901" t="str">
        <f>HYPERLINK("https%3A%2F%2Fwww.webofscience.com%2Fwos%2Fwoscc%2Ffull-record%2FWOS:001188458600002","View Full Record in Web of Science")</f>
        <v>View Full Record in Web of Science</v>
      </c>
    </row>
    <row r="902" spans="1:72" x14ac:dyDescent="0.15">
      <c r="A902" t="s">
        <v>72</v>
      </c>
      <c r="B902" t="s">
        <v>17027</v>
      </c>
      <c r="C902" t="s">
        <v>74</v>
      </c>
      <c r="D902" t="s">
        <v>74</v>
      </c>
      <c r="E902" t="s">
        <v>74</v>
      </c>
      <c r="F902" t="s">
        <v>17028</v>
      </c>
      <c r="G902" t="s">
        <v>74</v>
      </c>
      <c r="H902" t="s">
        <v>74</v>
      </c>
      <c r="I902" t="s">
        <v>17029</v>
      </c>
      <c r="J902" t="s">
        <v>2915</v>
      </c>
      <c r="K902" t="s">
        <v>74</v>
      </c>
      <c r="L902" t="s">
        <v>74</v>
      </c>
      <c r="M902" t="s">
        <v>78</v>
      </c>
      <c r="N902" t="s">
        <v>1547</v>
      </c>
      <c r="O902" t="s">
        <v>74</v>
      </c>
      <c r="P902" t="s">
        <v>74</v>
      </c>
      <c r="Q902" t="s">
        <v>74</v>
      </c>
      <c r="R902" t="s">
        <v>74</v>
      </c>
      <c r="S902" t="s">
        <v>74</v>
      </c>
      <c r="T902" t="s">
        <v>17030</v>
      </c>
      <c r="U902" t="s">
        <v>17031</v>
      </c>
      <c r="V902" t="s">
        <v>17032</v>
      </c>
      <c r="W902" t="s">
        <v>17033</v>
      </c>
      <c r="X902" t="s">
        <v>17034</v>
      </c>
      <c r="Y902" t="s">
        <v>17035</v>
      </c>
      <c r="Z902" t="s">
        <v>17036</v>
      </c>
      <c r="AA902" t="s">
        <v>74</v>
      </c>
      <c r="AB902" t="s">
        <v>74</v>
      </c>
      <c r="AC902" t="s">
        <v>17037</v>
      </c>
      <c r="AD902" t="s">
        <v>17038</v>
      </c>
      <c r="AE902" t="s">
        <v>17039</v>
      </c>
      <c r="AF902" t="s">
        <v>74</v>
      </c>
      <c r="AG902">
        <v>22</v>
      </c>
      <c r="AH902">
        <v>0</v>
      </c>
      <c r="AI902">
        <v>0</v>
      </c>
      <c r="AJ902">
        <v>3</v>
      </c>
      <c r="AK902">
        <v>3</v>
      </c>
      <c r="AL902" t="s">
        <v>1782</v>
      </c>
      <c r="AM902" t="s">
        <v>1783</v>
      </c>
      <c r="AN902" t="s">
        <v>1784</v>
      </c>
      <c r="AO902" t="s">
        <v>2928</v>
      </c>
      <c r="AP902" t="s">
        <v>2929</v>
      </c>
      <c r="AQ902" t="s">
        <v>74</v>
      </c>
      <c r="AR902" t="s">
        <v>2930</v>
      </c>
      <c r="AS902" t="s">
        <v>2931</v>
      </c>
      <c r="AT902" t="s">
        <v>17040</v>
      </c>
      <c r="AU902">
        <v>2023</v>
      </c>
      <c r="AV902" t="s">
        <v>74</v>
      </c>
      <c r="AW902" t="s">
        <v>74</v>
      </c>
      <c r="AX902" t="s">
        <v>74</v>
      </c>
      <c r="AY902" t="s">
        <v>74</v>
      </c>
      <c r="AZ902" t="s">
        <v>74</v>
      </c>
      <c r="BA902" t="s">
        <v>74</v>
      </c>
      <c r="BB902" t="s">
        <v>74</v>
      </c>
      <c r="BC902" t="s">
        <v>74</v>
      </c>
      <c r="BD902" t="s">
        <v>74</v>
      </c>
      <c r="BE902" t="s">
        <v>17041</v>
      </c>
      <c r="BF902" t="str">
        <f>HYPERLINK("http://dx.doi.org/10.1017/jog.2023.52","http://dx.doi.org/10.1017/jog.2023.52")</f>
        <v>http://dx.doi.org/10.1017/jog.2023.52</v>
      </c>
      <c r="BG902" t="s">
        <v>74</v>
      </c>
      <c r="BH902" t="s">
        <v>15880</v>
      </c>
      <c r="BI902">
        <v>7</v>
      </c>
      <c r="BJ902" t="s">
        <v>984</v>
      </c>
      <c r="BK902" t="s">
        <v>100</v>
      </c>
      <c r="BL902" t="s">
        <v>985</v>
      </c>
      <c r="BM902" t="s">
        <v>17042</v>
      </c>
      <c r="BN902" t="s">
        <v>74</v>
      </c>
      <c r="BO902" t="s">
        <v>131</v>
      </c>
      <c r="BP902" t="s">
        <v>74</v>
      </c>
      <c r="BQ902" t="s">
        <v>74</v>
      </c>
      <c r="BR902" t="s">
        <v>104</v>
      </c>
      <c r="BS902" t="s">
        <v>17043</v>
      </c>
      <c r="BT902" t="str">
        <f>HYPERLINK("https%3A%2F%2Fwww.webofscience.com%2Fwos%2Fwoscc%2Ffull-record%2FWOS:001091319400001","View Full Record in Web of Science")</f>
        <v>View Full Record in Web of Science</v>
      </c>
    </row>
    <row r="903" spans="1:72" x14ac:dyDescent="0.15">
      <c r="A903" t="s">
        <v>72</v>
      </c>
      <c r="B903" t="s">
        <v>17044</v>
      </c>
      <c r="C903" t="s">
        <v>74</v>
      </c>
      <c r="D903" t="s">
        <v>74</v>
      </c>
      <c r="E903" t="s">
        <v>74</v>
      </c>
      <c r="F903" t="s">
        <v>17045</v>
      </c>
      <c r="G903" t="s">
        <v>74</v>
      </c>
      <c r="H903" t="s">
        <v>74</v>
      </c>
      <c r="I903" t="s">
        <v>17046</v>
      </c>
      <c r="J903" t="s">
        <v>2434</v>
      </c>
      <c r="K903" t="s">
        <v>74</v>
      </c>
      <c r="L903" t="s">
        <v>74</v>
      </c>
      <c r="M903" t="s">
        <v>78</v>
      </c>
      <c r="N903" t="s">
        <v>79</v>
      </c>
      <c r="O903" t="s">
        <v>74</v>
      </c>
      <c r="P903" t="s">
        <v>74</v>
      </c>
      <c r="Q903" t="s">
        <v>74</v>
      </c>
      <c r="R903" t="s">
        <v>74</v>
      </c>
      <c r="S903" t="s">
        <v>74</v>
      </c>
      <c r="T903" t="s">
        <v>17047</v>
      </c>
      <c r="U903" t="s">
        <v>17048</v>
      </c>
      <c r="V903" t="s">
        <v>17049</v>
      </c>
      <c r="W903" t="s">
        <v>17050</v>
      </c>
      <c r="X903" t="s">
        <v>17051</v>
      </c>
      <c r="Y903" t="s">
        <v>17052</v>
      </c>
      <c r="Z903" t="s">
        <v>17053</v>
      </c>
      <c r="AA903" t="s">
        <v>74</v>
      </c>
      <c r="AB903" t="s">
        <v>17054</v>
      </c>
      <c r="AC903" t="s">
        <v>17055</v>
      </c>
      <c r="AD903" t="s">
        <v>17056</v>
      </c>
      <c r="AE903" t="s">
        <v>17057</v>
      </c>
      <c r="AF903" t="s">
        <v>74</v>
      </c>
      <c r="AG903">
        <v>80</v>
      </c>
      <c r="AH903">
        <v>0</v>
      </c>
      <c r="AI903">
        <v>0</v>
      </c>
      <c r="AJ903">
        <v>4</v>
      </c>
      <c r="AK903">
        <v>4</v>
      </c>
      <c r="AL903" t="s">
        <v>975</v>
      </c>
      <c r="AM903" t="s">
        <v>976</v>
      </c>
      <c r="AN903" t="s">
        <v>977</v>
      </c>
      <c r="AO903" t="s">
        <v>2446</v>
      </c>
      <c r="AP903" t="s">
        <v>2447</v>
      </c>
      <c r="AQ903" t="s">
        <v>74</v>
      </c>
      <c r="AR903" t="s">
        <v>2448</v>
      </c>
      <c r="AS903" t="s">
        <v>2449</v>
      </c>
      <c r="AT903" t="s">
        <v>5341</v>
      </c>
      <c r="AU903">
        <v>2023</v>
      </c>
      <c r="AV903">
        <v>314</v>
      </c>
      <c r="AW903" t="s">
        <v>74</v>
      </c>
      <c r="AX903" t="s">
        <v>74</v>
      </c>
      <c r="AY903" t="s">
        <v>74</v>
      </c>
      <c r="AZ903" t="s">
        <v>74</v>
      </c>
      <c r="BA903" t="s">
        <v>74</v>
      </c>
      <c r="BB903" t="s">
        <v>74</v>
      </c>
      <c r="BC903" t="s">
        <v>74</v>
      </c>
      <c r="BD903">
        <v>120074</v>
      </c>
      <c r="BE903" t="s">
        <v>17058</v>
      </c>
      <c r="BF903" t="str">
        <f>HYPERLINK("http://dx.doi.org/10.1016/j.atmosenv.2023.120074","http://dx.doi.org/10.1016/j.atmosenv.2023.120074")</f>
        <v>http://dx.doi.org/10.1016/j.atmosenv.2023.120074</v>
      </c>
      <c r="BG903" t="s">
        <v>74</v>
      </c>
      <c r="BH903" t="s">
        <v>15880</v>
      </c>
      <c r="BI903">
        <v>15</v>
      </c>
      <c r="BJ903" t="s">
        <v>2382</v>
      </c>
      <c r="BK903" t="s">
        <v>100</v>
      </c>
      <c r="BL903" t="s">
        <v>2383</v>
      </c>
      <c r="BM903" t="s">
        <v>17059</v>
      </c>
      <c r="BN903" t="s">
        <v>74</v>
      </c>
      <c r="BO903" t="s">
        <v>74</v>
      </c>
      <c r="BP903" t="s">
        <v>74</v>
      </c>
      <c r="BQ903" t="s">
        <v>74</v>
      </c>
      <c r="BR903" t="s">
        <v>104</v>
      </c>
      <c r="BS903" t="s">
        <v>17060</v>
      </c>
      <c r="BT903" t="str">
        <f>HYPERLINK("https%3A%2F%2Fwww.webofscience.com%2Fwos%2Fwoscc%2Ffull-record%2FWOS:001082485600001","View Full Record in Web of Science")</f>
        <v>View Full Record in Web of Science</v>
      </c>
    </row>
    <row r="904" spans="1:72" x14ac:dyDescent="0.15">
      <c r="A904" t="s">
        <v>72</v>
      </c>
      <c r="B904" t="s">
        <v>17061</v>
      </c>
      <c r="C904" t="s">
        <v>74</v>
      </c>
      <c r="D904" t="s">
        <v>74</v>
      </c>
      <c r="E904" t="s">
        <v>74</v>
      </c>
      <c r="F904" t="s">
        <v>17062</v>
      </c>
      <c r="G904" t="s">
        <v>74</v>
      </c>
      <c r="H904" t="s">
        <v>74</v>
      </c>
      <c r="I904" t="s">
        <v>17063</v>
      </c>
      <c r="J904" t="s">
        <v>7141</v>
      </c>
      <c r="K904" t="s">
        <v>74</v>
      </c>
      <c r="L904" t="s">
        <v>74</v>
      </c>
      <c r="M904" t="s">
        <v>78</v>
      </c>
      <c r="N904" t="s">
        <v>79</v>
      </c>
      <c r="O904" t="s">
        <v>74</v>
      </c>
      <c r="P904" t="s">
        <v>74</v>
      </c>
      <c r="Q904" t="s">
        <v>74</v>
      </c>
      <c r="R904" t="s">
        <v>74</v>
      </c>
      <c r="S904" t="s">
        <v>74</v>
      </c>
      <c r="T904" t="s">
        <v>17064</v>
      </c>
      <c r="U904" t="s">
        <v>17065</v>
      </c>
      <c r="V904" t="s">
        <v>17066</v>
      </c>
      <c r="W904" t="s">
        <v>17067</v>
      </c>
      <c r="X904" t="s">
        <v>17068</v>
      </c>
      <c r="Y904" t="s">
        <v>17069</v>
      </c>
      <c r="Z904" t="s">
        <v>17070</v>
      </c>
      <c r="AA904" t="s">
        <v>74</v>
      </c>
      <c r="AB904" t="s">
        <v>17071</v>
      </c>
      <c r="AC904" t="s">
        <v>74</v>
      </c>
      <c r="AD904" t="s">
        <v>74</v>
      </c>
      <c r="AE904" t="s">
        <v>74</v>
      </c>
      <c r="AF904" t="s">
        <v>74</v>
      </c>
      <c r="AG904">
        <v>87</v>
      </c>
      <c r="AH904">
        <v>0</v>
      </c>
      <c r="AI904">
        <v>0</v>
      </c>
      <c r="AJ904">
        <v>0</v>
      </c>
      <c r="AK904">
        <v>0</v>
      </c>
      <c r="AL904" t="s">
        <v>975</v>
      </c>
      <c r="AM904" t="s">
        <v>976</v>
      </c>
      <c r="AN904" t="s">
        <v>977</v>
      </c>
      <c r="AO904" t="s">
        <v>7151</v>
      </c>
      <c r="AP904" t="s">
        <v>7152</v>
      </c>
      <c r="AQ904" t="s">
        <v>74</v>
      </c>
      <c r="AR904" t="s">
        <v>7153</v>
      </c>
      <c r="AS904" t="s">
        <v>7154</v>
      </c>
      <c r="AT904" t="s">
        <v>10415</v>
      </c>
      <c r="AU904">
        <v>2023</v>
      </c>
      <c r="AV904">
        <v>200</v>
      </c>
      <c r="AW904" t="s">
        <v>74</v>
      </c>
      <c r="AX904" t="s">
        <v>74</v>
      </c>
      <c r="AY904" t="s">
        <v>74</v>
      </c>
      <c r="AZ904" t="s">
        <v>74</v>
      </c>
      <c r="BA904" t="s">
        <v>74</v>
      </c>
      <c r="BB904" t="s">
        <v>74</v>
      </c>
      <c r="BC904" t="s">
        <v>74</v>
      </c>
      <c r="BD904">
        <v>104153</v>
      </c>
      <c r="BE904" t="s">
        <v>17072</v>
      </c>
      <c r="BF904" t="str">
        <f>HYPERLINK("http://dx.doi.org/10.1016/j.dsr.2023.104153","http://dx.doi.org/10.1016/j.dsr.2023.104153")</f>
        <v>http://dx.doi.org/10.1016/j.dsr.2023.104153</v>
      </c>
      <c r="BG904" t="s">
        <v>74</v>
      </c>
      <c r="BH904" t="s">
        <v>15880</v>
      </c>
      <c r="BI904">
        <v>14</v>
      </c>
      <c r="BJ904" t="s">
        <v>5060</v>
      </c>
      <c r="BK904" t="s">
        <v>100</v>
      </c>
      <c r="BL904" t="s">
        <v>5060</v>
      </c>
      <c r="BM904" t="s">
        <v>17073</v>
      </c>
      <c r="BN904" t="s">
        <v>74</v>
      </c>
      <c r="BO904" t="s">
        <v>74</v>
      </c>
      <c r="BP904" t="s">
        <v>74</v>
      </c>
      <c r="BQ904" t="s">
        <v>74</v>
      </c>
      <c r="BR904" t="s">
        <v>104</v>
      </c>
      <c r="BS904" t="s">
        <v>17074</v>
      </c>
      <c r="BT904" t="str">
        <f>HYPERLINK("https%3A%2F%2Fwww.webofscience.com%2Fwos%2Fwoscc%2Ffull-record%2FWOS:001081834600001","View Full Record in Web of Science")</f>
        <v>View Full Record in Web of Science</v>
      </c>
    </row>
    <row r="905" spans="1:72" x14ac:dyDescent="0.15">
      <c r="A905" t="s">
        <v>72</v>
      </c>
      <c r="B905" t="s">
        <v>17075</v>
      </c>
      <c r="C905" t="s">
        <v>74</v>
      </c>
      <c r="D905" t="s">
        <v>74</v>
      </c>
      <c r="E905" t="s">
        <v>74</v>
      </c>
      <c r="F905" t="s">
        <v>17076</v>
      </c>
      <c r="G905" t="s">
        <v>74</v>
      </c>
      <c r="H905" t="s">
        <v>74</v>
      </c>
      <c r="I905" t="s">
        <v>17077</v>
      </c>
      <c r="J905" t="s">
        <v>17078</v>
      </c>
      <c r="K905" t="s">
        <v>74</v>
      </c>
      <c r="L905" t="s">
        <v>74</v>
      </c>
      <c r="M905" t="s">
        <v>78</v>
      </c>
      <c r="N905" t="s">
        <v>79</v>
      </c>
      <c r="O905" t="s">
        <v>74</v>
      </c>
      <c r="P905" t="s">
        <v>74</v>
      </c>
      <c r="Q905" t="s">
        <v>74</v>
      </c>
      <c r="R905" t="s">
        <v>74</v>
      </c>
      <c r="S905" t="s">
        <v>74</v>
      </c>
      <c r="T905" t="s">
        <v>17079</v>
      </c>
      <c r="U905" t="s">
        <v>17080</v>
      </c>
      <c r="V905" t="s">
        <v>17081</v>
      </c>
      <c r="W905" t="s">
        <v>17082</v>
      </c>
      <c r="X905" t="s">
        <v>17083</v>
      </c>
      <c r="Y905" t="s">
        <v>17084</v>
      </c>
      <c r="Z905" t="s">
        <v>17085</v>
      </c>
      <c r="AA905" t="s">
        <v>74</v>
      </c>
      <c r="AB905" t="s">
        <v>74</v>
      </c>
      <c r="AC905" t="s">
        <v>17086</v>
      </c>
      <c r="AD905" t="s">
        <v>17087</v>
      </c>
      <c r="AE905" t="s">
        <v>17088</v>
      </c>
      <c r="AF905" t="s">
        <v>74</v>
      </c>
      <c r="AG905">
        <v>113</v>
      </c>
      <c r="AH905">
        <v>1</v>
      </c>
      <c r="AI905">
        <v>1</v>
      </c>
      <c r="AJ905">
        <v>7</v>
      </c>
      <c r="AK905">
        <v>7</v>
      </c>
      <c r="AL905" t="s">
        <v>947</v>
      </c>
      <c r="AM905" t="s">
        <v>948</v>
      </c>
      <c r="AN905" t="s">
        <v>949</v>
      </c>
      <c r="AO905" t="s">
        <v>17089</v>
      </c>
      <c r="AP905" t="s">
        <v>17090</v>
      </c>
      <c r="AQ905" t="s">
        <v>74</v>
      </c>
      <c r="AR905" t="s">
        <v>17091</v>
      </c>
      <c r="AS905" t="s">
        <v>17092</v>
      </c>
      <c r="AT905" t="s">
        <v>10415</v>
      </c>
      <c r="AU905">
        <v>2023</v>
      </c>
      <c r="AV905">
        <v>456</v>
      </c>
      <c r="AW905" t="s">
        <v>74</v>
      </c>
      <c r="AX905" t="s">
        <v>74</v>
      </c>
      <c r="AY905" t="s">
        <v>74</v>
      </c>
      <c r="AZ905" t="s">
        <v>74</v>
      </c>
      <c r="BA905" t="s">
        <v>74</v>
      </c>
      <c r="BB905" t="s">
        <v>74</v>
      </c>
      <c r="BC905" t="s">
        <v>74</v>
      </c>
      <c r="BD905">
        <v>106495</v>
      </c>
      <c r="BE905" t="s">
        <v>17093</v>
      </c>
      <c r="BF905" t="str">
        <f>HYPERLINK("http://dx.doi.org/10.1016/j.sedgeo.2023.106495","http://dx.doi.org/10.1016/j.sedgeo.2023.106495")</f>
        <v>http://dx.doi.org/10.1016/j.sedgeo.2023.106495</v>
      </c>
      <c r="BG905" t="s">
        <v>74</v>
      </c>
      <c r="BH905" t="s">
        <v>15880</v>
      </c>
      <c r="BI905">
        <v>17</v>
      </c>
      <c r="BJ905" t="s">
        <v>536</v>
      </c>
      <c r="BK905" t="s">
        <v>100</v>
      </c>
      <c r="BL905" t="s">
        <v>536</v>
      </c>
      <c r="BM905" t="s">
        <v>17094</v>
      </c>
      <c r="BN905" t="s">
        <v>74</v>
      </c>
      <c r="BO905" t="s">
        <v>74</v>
      </c>
      <c r="BP905" t="s">
        <v>74</v>
      </c>
      <c r="BQ905" t="s">
        <v>74</v>
      </c>
      <c r="BR905" t="s">
        <v>104</v>
      </c>
      <c r="BS905" t="s">
        <v>17095</v>
      </c>
      <c r="BT905" t="str">
        <f>HYPERLINK("https%3A%2F%2Fwww.webofscience.com%2Fwos%2Fwoscc%2Ffull-record%2FWOS:001081393800001","View Full Record in Web of Science")</f>
        <v>View Full Record in Web of Science</v>
      </c>
    </row>
    <row r="906" spans="1:72" x14ac:dyDescent="0.15">
      <c r="A906" t="s">
        <v>72</v>
      </c>
      <c r="B906" t="s">
        <v>17096</v>
      </c>
      <c r="C906" t="s">
        <v>74</v>
      </c>
      <c r="D906" t="s">
        <v>74</v>
      </c>
      <c r="E906" t="s">
        <v>74</v>
      </c>
      <c r="F906" t="s">
        <v>17097</v>
      </c>
      <c r="G906" t="s">
        <v>74</v>
      </c>
      <c r="H906" t="s">
        <v>74</v>
      </c>
      <c r="I906" t="s">
        <v>17098</v>
      </c>
      <c r="J906" t="s">
        <v>11099</v>
      </c>
      <c r="K906" t="s">
        <v>74</v>
      </c>
      <c r="L906" t="s">
        <v>74</v>
      </c>
      <c r="M906" t="s">
        <v>78</v>
      </c>
      <c r="N906" t="s">
        <v>79</v>
      </c>
      <c r="O906" t="s">
        <v>74</v>
      </c>
      <c r="P906" t="s">
        <v>74</v>
      </c>
      <c r="Q906" t="s">
        <v>74</v>
      </c>
      <c r="R906" t="s">
        <v>74</v>
      </c>
      <c r="S906" t="s">
        <v>74</v>
      </c>
      <c r="T906" t="s">
        <v>17099</v>
      </c>
      <c r="U906" t="s">
        <v>17100</v>
      </c>
      <c r="V906" t="s">
        <v>17101</v>
      </c>
      <c r="W906" t="s">
        <v>17102</v>
      </c>
      <c r="X906" t="s">
        <v>17103</v>
      </c>
      <c r="Y906" t="s">
        <v>17104</v>
      </c>
      <c r="Z906" t="s">
        <v>17105</v>
      </c>
      <c r="AA906" t="s">
        <v>17106</v>
      </c>
      <c r="AB906" t="s">
        <v>17107</v>
      </c>
      <c r="AC906" t="s">
        <v>17108</v>
      </c>
      <c r="AD906" t="s">
        <v>17108</v>
      </c>
      <c r="AE906" t="s">
        <v>17109</v>
      </c>
      <c r="AF906" t="s">
        <v>74</v>
      </c>
      <c r="AG906">
        <v>67</v>
      </c>
      <c r="AH906">
        <v>2</v>
      </c>
      <c r="AI906">
        <v>2</v>
      </c>
      <c r="AJ906">
        <v>7</v>
      </c>
      <c r="AK906">
        <v>13</v>
      </c>
      <c r="AL906" t="s">
        <v>1101</v>
      </c>
      <c r="AM906" t="s">
        <v>1102</v>
      </c>
      <c r="AN906" t="s">
        <v>1103</v>
      </c>
      <c r="AO906" t="s">
        <v>11112</v>
      </c>
      <c r="AP906" t="s">
        <v>11113</v>
      </c>
      <c r="AQ906" t="s">
        <v>74</v>
      </c>
      <c r="AR906" t="s">
        <v>11114</v>
      </c>
      <c r="AS906" t="s">
        <v>11115</v>
      </c>
      <c r="AT906" t="s">
        <v>10415</v>
      </c>
      <c r="AU906">
        <v>2023</v>
      </c>
      <c r="AV906">
        <v>32</v>
      </c>
      <c r="AW906">
        <v>20</v>
      </c>
      <c r="AX906" t="s">
        <v>74</v>
      </c>
      <c r="AY906" t="s">
        <v>74</v>
      </c>
      <c r="AZ906" t="s">
        <v>74</v>
      </c>
      <c r="BA906" t="s">
        <v>74</v>
      </c>
      <c r="BB906">
        <v>5645</v>
      </c>
      <c r="BC906">
        <v>5660</v>
      </c>
      <c r="BD906" t="s">
        <v>74</v>
      </c>
      <c r="BE906" t="s">
        <v>17110</v>
      </c>
      <c r="BF906" t="str">
        <f>HYPERLINK("http://dx.doi.org/10.1111/mec.17124","http://dx.doi.org/10.1111/mec.17124")</f>
        <v>http://dx.doi.org/10.1111/mec.17124</v>
      </c>
      <c r="BG906" t="s">
        <v>74</v>
      </c>
      <c r="BH906" t="s">
        <v>15880</v>
      </c>
      <c r="BI906">
        <v>16</v>
      </c>
      <c r="BJ906" t="s">
        <v>11117</v>
      </c>
      <c r="BK906" t="s">
        <v>100</v>
      </c>
      <c r="BL906" t="s">
        <v>11118</v>
      </c>
      <c r="BM906" t="s">
        <v>17111</v>
      </c>
      <c r="BN906">
        <v>37724851</v>
      </c>
      <c r="BO906" t="s">
        <v>7315</v>
      </c>
      <c r="BP906" t="s">
        <v>74</v>
      </c>
      <c r="BQ906" t="s">
        <v>74</v>
      </c>
      <c r="BR906" t="s">
        <v>104</v>
      </c>
      <c r="BS906" t="s">
        <v>17112</v>
      </c>
      <c r="BT906" t="str">
        <f>HYPERLINK("https%3A%2F%2Fwww.webofscience.com%2Fwos%2Fwoscc%2Ffull-record%2FWOS:001068180000001","View Full Record in Web of Science")</f>
        <v>View Full Record in Web of Science</v>
      </c>
    </row>
    <row r="907" spans="1:72" x14ac:dyDescent="0.15">
      <c r="A907" t="s">
        <v>72</v>
      </c>
      <c r="B907" t="s">
        <v>17113</v>
      </c>
      <c r="C907" t="s">
        <v>74</v>
      </c>
      <c r="D907" t="s">
        <v>74</v>
      </c>
      <c r="E907" t="s">
        <v>74</v>
      </c>
      <c r="F907" t="s">
        <v>17114</v>
      </c>
      <c r="G907" t="s">
        <v>74</v>
      </c>
      <c r="H907" t="s">
        <v>74</v>
      </c>
      <c r="I907" t="s">
        <v>17115</v>
      </c>
      <c r="J907" t="s">
        <v>17116</v>
      </c>
      <c r="K907" t="s">
        <v>74</v>
      </c>
      <c r="L907" t="s">
        <v>74</v>
      </c>
      <c r="M907" t="s">
        <v>78</v>
      </c>
      <c r="N907" t="s">
        <v>1547</v>
      </c>
      <c r="O907" t="s">
        <v>74</v>
      </c>
      <c r="P907" t="s">
        <v>74</v>
      </c>
      <c r="Q907" t="s">
        <v>74</v>
      </c>
      <c r="R907" t="s">
        <v>74</v>
      </c>
      <c r="S907" t="s">
        <v>74</v>
      </c>
      <c r="T907" t="s">
        <v>17117</v>
      </c>
      <c r="U907" t="s">
        <v>17118</v>
      </c>
      <c r="V907" t="s">
        <v>17119</v>
      </c>
      <c r="W907" t="s">
        <v>17120</v>
      </c>
      <c r="X907" t="s">
        <v>17121</v>
      </c>
      <c r="Y907" t="s">
        <v>17122</v>
      </c>
      <c r="Z907" t="s">
        <v>17123</v>
      </c>
      <c r="AA907" t="s">
        <v>17124</v>
      </c>
      <c r="AB907" t="s">
        <v>17125</v>
      </c>
      <c r="AC907" t="s">
        <v>17126</v>
      </c>
      <c r="AD907" t="s">
        <v>17126</v>
      </c>
      <c r="AE907" t="s">
        <v>17127</v>
      </c>
      <c r="AF907" t="s">
        <v>74</v>
      </c>
      <c r="AG907">
        <v>73</v>
      </c>
      <c r="AH907">
        <v>0</v>
      </c>
      <c r="AI907">
        <v>0</v>
      </c>
      <c r="AJ907">
        <v>4</v>
      </c>
      <c r="AK907">
        <v>5</v>
      </c>
      <c r="AL907" t="s">
        <v>1075</v>
      </c>
      <c r="AM907" t="s">
        <v>2949</v>
      </c>
      <c r="AN907" t="s">
        <v>2950</v>
      </c>
      <c r="AO907" t="s">
        <v>17128</v>
      </c>
      <c r="AP907" t="s">
        <v>17129</v>
      </c>
      <c r="AQ907" t="s">
        <v>74</v>
      </c>
      <c r="AR907" t="s">
        <v>17130</v>
      </c>
      <c r="AS907" t="s">
        <v>17131</v>
      </c>
      <c r="AT907" t="s">
        <v>17040</v>
      </c>
      <c r="AU907">
        <v>2023</v>
      </c>
      <c r="AV907" t="s">
        <v>74</v>
      </c>
      <c r="AW907" t="s">
        <v>74</v>
      </c>
      <c r="AX907" t="s">
        <v>74</v>
      </c>
      <c r="AY907" t="s">
        <v>74</v>
      </c>
      <c r="AZ907" t="s">
        <v>74</v>
      </c>
      <c r="BA907" t="s">
        <v>74</v>
      </c>
      <c r="BB907" t="s">
        <v>74</v>
      </c>
      <c r="BC907" t="s">
        <v>74</v>
      </c>
      <c r="BD907" t="s">
        <v>74</v>
      </c>
      <c r="BE907" t="s">
        <v>17132</v>
      </c>
      <c r="BF907" t="str">
        <f>HYPERLINK("http://dx.doi.org/10.1007/s10499-023-01279-1","http://dx.doi.org/10.1007/s10499-023-01279-1")</f>
        <v>http://dx.doi.org/10.1007/s10499-023-01279-1</v>
      </c>
      <c r="BG907" t="s">
        <v>74</v>
      </c>
      <c r="BH907" t="s">
        <v>15880</v>
      </c>
      <c r="BI907">
        <v>22</v>
      </c>
      <c r="BJ907" t="s">
        <v>3362</v>
      </c>
      <c r="BK907" t="s">
        <v>100</v>
      </c>
      <c r="BL907" t="s">
        <v>3362</v>
      </c>
      <c r="BM907" t="s">
        <v>17133</v>
      </c>
      <c r="BN907" t="s">
        <v>74</v>
      </c>
      <c r="BO907" t="s">
        <v>74</v>
      </c>
      <c r="BP907" t="s">
        <v>74</v>
      </c>
      <c r="BQ907" t="s">
        <v>74</v>
      </c>
      <c r="BR907" t="s">
        <v>104</v>
      </c>
      <c r="BS907" t="s">
        <v>17134</v>
      </c>
      <c r="BT907" t="str">
        <f>HYPERLINK("https%3A%2F%2Fwww.webofscience.com%2Fwos%2Fwoscc%2Ffull-record%2FWOS:001068795200001","View Full Record in Web of Science")</f>
        <v>View Full Record in Web of Science</v>
      </c>
    </row>
    <row r="908" spans="1:72" x14ac:dyDescent="0.15">
      <c r="A908" t="s">
        <v>72</v>
      </c>
      <c r="B908" t="s">
        <v>13539</v>
      </c>
      <c r="C908" t="s">
        <v>74</v>
      </c>
      <c r="D908" t="s">
        <v>74</v>
      </c>
      <c r="E908" t="s">
        <v>74</v>
      </c>
      <c r="F908" t="s">
        <v>13539</v>
      </c>
      <c r="G908" t="s">
        <v>74</v>
      </c>
      <c r="H908" t="s">
        <v>74</v>
      </c>
      <c r="I908" t="s">
        <v>17135</v>
      </c>
      <c r="J908" t="s">
        <v>17136</v>
      </c>
      <c r="K908" t="s">
        <v>74</v>
      </c>
      <c r="L908" t="s">
        <v>74</v>
      </c>
      <c r="M908" t="s">
        <v>78</v>
      </c>
      <c r="N908" t="s">
        <v>920</v>
      </c>
      <c r="O908" t="s">
        <v>74</v>
      </c>
      <c r="P908" t="s">
        <v>74</v>
      </c>
      <c r="Q908" t="s">
        <v>74</v>
      </c>
      <c r="R908" t="s">
        <v>74</v>
      </c>
      <c r="S908" t="s">
        <v>74</v>
      </c>
      <c r="T908" t="s">
        <v>74</v>
      </c>
      <c r="U908" t="s">
        <v>74</v>
      </c>
      <c r="V908" t="s">
        <v>74</v>
      </c>
      <c r="W908" t="s">
        <v>74</v>
      </c>
      <c r="X908" t="s">
        <v>74</v>
      </c>
      <c r="Y908" t="s">
        <v>74</v>
      </c>
      <c r="Z908" t="s">
        <v>74</v>
      </c>
      <c r="AA908" t="s">
        <v>74</v>
      </c>
      <c r="AB908" t="s">
        <v>74</v>
      </c>
      <c r="AC908" t="s">
        <v>74</v>
      </c>
      <c r="AD908" t="s">
        <v>74</v>
      </c>
      <c r="AE908" t="s">
        <v>74</v>
      </c>
      <c r="AF908" t="s">
        <v>74</v>
      </c>
      <c r="AG908">
        <v>0</v>
      </c>
      <c r="AH908">
        <v>0</v>
      </c>
      <c r="AI908">
        <v>0</v>
      </c>
      <c r="AJ908">
        <v>0</v>
      </c>
      <c r="AK908">
        <v>0</v>
      </c>
      <c r="AL908" t="s">
        <v>17137</v>
      </c>
      <c r="AM908" t="s">
        <v>1076</v>
      </c>
      <c r="AN908" t="s">
        <v>17138</v>
      </c>
      <c r="AO908" t="s">
        <v>17139</v>
      </c>
      <c r="AP908" t="s">
        <v>74</v>
      </c>
      <c r="AQ908" t="s">
        <v>74</v>
      </c>
      <c r="AR908" t="s">
        <v>17136</v>
      </c>
      <c r="AS908" t="s">
        <v>17140</v>
      </c>
      <c r="AT908" t="s">
        <v>17141</v>
      </c>
      <c r="AU908">
        <v>2023</v>
      </c>
      <c r="AV908">
        <v>317</v>
      </c>
      <c r="AW908">
        <v>6</v>
      </c>
      <c r="AX908" t="s">
        <v>74</v>
      </c>
      <c r="AY908" t="s">
        <v>74</v>
      </c>
      <c r="AZ908" t="s">
        <v>74</v>
      </c>
      <c r="BA908" t="s">
        <v>74</v>
      </c>
      <c r="BB908">
        <v>37</v>
      </c>
      <c r="BC908">
        <v>37</v>
      </c>
      <c r="BD908" t="s">
        <v>74</v>
      </c>
      <c r="BE908" t="s">
        <v>74</v>
      </c>
      <c r="BF908" t="s">
        <v>74</v>
      </c>
      <c r="BG908" t="s">
        <v>74</v>
      </c>
      <c r="BH908" t="s">
        <v>74</v>
      </c>
      <c r="BI908">
        <v>1</v>
      </c>
      <c r="BJ908" t="s">
        <v>17142</v>
      </c>
      <c r="BK908" t="s">
        <v>1740</v>
      </c>
      <c r="BL908" t="s">
        <v>17143</v>
      </c>
      <c r="BM908" t="s">
        <v>17144</v>
      </c>
      <c r="BN908" t="s">
        <v>74</v>
      </c>
      <c r="BO908" t="s">
        <v>74</v>
      </c>
      <c r="BP908" t="s">
        <v>74</v>
      </c>
      <c r="BQ908" t="s">
        <v>74</v>
      </c>
      <c r="BR908" t="s">
        <v>104</v>
      </c>
      <c r="BS908" t="s">
        <v>17145</v>
      </c>
      <c r="BT908" t="str">
        <f>HYPERLINK("https%3A%2F%2Fwww.webofscience.com%2Fwos%2Fwoscc%2Ffull-record%2FWOS:001178196800013","View Full Record in Web of Science")</f>
        <v>View Full Record in Web of Science</v>
      </c>
    </row>
    <row r="909" spans="1:72" x14ac:dyDescent="0.15">
      <c r="A909" t="s">
        <v>72</v>
      </c>
      <c r="B909" t="s">
        <v>17146</v>
      </c>
      <c r="C909" t="s">
        <v>74</v>
      </c>
      <c r="D909" t="s">
        <v>74</v>
      </c>
      <c r="E909" t="s">
        <v>74</v>
      </c>
      <c r="F909" t="s">
        <v>17147</v>
      </c>
      <c r="G909" t="s">
        <v>74</v>
      </c>
      <c r="H909" t="s">
        <v>74</v>
      </c>
      <c r="I909" t="s">
        <v>17148</v>
      </c>
      <c r="J909" t="s">
        <v>8204</v>
      </c>
      <c r="K909" t="s">
        <v>74</v>
      </c>
      <c r="L909" t="s">
        <v>74</v>
      </c>
      <c r="M909" t="s">
        <v>78</v>
      </c>
      <c r="N909" t="s">
        <v>79</v>
      </c>
      <c r="O909" t="s">
        <v>74</v>
      </c>
      <c r="P909" t="s">
        <v>74</v>
      </c>
      <c r="Q909" t="s">
        <v>74</v>
      </c>
      <c r="R909" t="s">
        <v>74</v>
      </c>
      <c r="S909" t="s">
        <v>74</v>
      </c>
      <c r="T909" t="s">
        <v>17149</v>
      </c>
      <c r="U909" t="s">
        <v>17150</v>
      </c>
      <c r="V909" t="s">
        <v>17151</v>
      </c>
      <c r="W909" t="s">
        <v>17152</v>
      </c>
      <c r="X909" t="s">
        <v>17153</v>
      </c>
      <c r="Y909" t="s">
        <v>17154</v>
      </c>
      <c r="Z909" t="s">
        <v>17155</v>
      </c>
      <c r="AA909" t="s">
        <v>74</v>
      </c>
      <c r="AB909" t="s">
        <v>17156</v>
      </c>
      <c r="AC909" t="s">
        <v>74</v>
      </c>
      <c r="AD909" t="s">
        <v>74</v>
      </c>
      <c r="AE909" t="s">
        <v>74</v>
      </c>
      <c r="AF909" t="s">
        <v>74</v>
      </c>
      <c r="AG909">
        <v>88</v>
      </c>
      <c r="AH909">
        <v>0</v>
      </c>
      <c r="AI909">
        <v>0</v>
      </c>
      <c r="AJ909">
        <v>11</v>
      </c>
      <c r="AK909">
        <v>13</v>
      </c>
      <c r="AL909" t="s">
        <v>8217</v>
      </c>
      <c r="AM909" t="s">
        <v>1209</v>
      </c>
      <c r="AN909" t="s">
        <v>8218</v>
      </c>
      <c r="AO909" t="s">
        <v>8219</v>
      </c>
      <c r="AP909" t="s">
        <v>8220</v>
      </c>
      <c r="AQ909" t="s">
        <v>74</v>
      </c>
      <c r="AR909" t="s">
        <v>8221</v>
      </c>
      <c r="AS909" t="s">
        <v>8222</v>
      </c>
      <c r="AT909" t="s">
        <v>17141</v>
      </c>
      <c r="AU909">
        <v>2023</v>
      </c>
      <c r="AV909">
        <v>120</v>
      </c>
      <c r="AW909">
        <v>39</v>
      </c>
      <c r="AX909" t="s">
        <v>74</v>
      </c>
      <c r="AY909" t="s">
        <v>74</v>
      </c>
      <c r="AZ909" t="s">
        <v>74</v>
      </c>
      <c r="BA909" t="s">
        <v>74</v>
      </c>
      <c r="BB909" t="s">
        <v>74</v>
      </c>
      <c r="BC909" t="s">
        <v>74</v>
      </c>
      <c r="BD909" t="s">
        <v>17157</v>
      </c>
      <c r="BE909" t="s">
        <v>17158</v>
      </c>
      <c r="BF909" t="str">
        <f>HYPERLINK("http://dx.doi.org/10.1073/pnas.2304152120","http://dx.doi.org/10.1073/pnas.2304152120")</f>
        <v>http://dx.doi.org/10.1073/pnas.2304152120</v>
      </c>
      <c r="BG909" t="s">
        <v>74</v>
      </c>
      <c r="BH909" t="s">
        <v>74</v>
      </c>
      <c r="BI909">
        <v>8</v>
      </c>
      <c r="BJ909" t="s">
        <v>1035</v>
      </c>
      <c r="BK909" t="s">
        <v>100</v>
      </c>
      <c r="BL909" t="s">
        <v>1036</v>
      </c>
      <c r="BM909" t="s">
        <v>17159</v>
      </c>
      <c r="BN909">
        <v>37722047</v>
      </c>
      <c r="BO909" t="s">
        <v>103</v>
      </c>
      <c r="BP909" t="s">
        <v>74</v>
      </c>
      <c r="BQ909" t="s">
        <v>74</v>
      </c>
      <c r="BR909" t="s">
        <v>104</v>
      </c>
      <c r="BS909" t="s">
        <v>17160</v>
      </c>
      <c r="BT909" t="str">
        <f>HYPERLINK("https%3A%2F%2Fwww.webofscience.com%2Fwos%2Fwoscc%2Ffull-record%2FWOS:001101751400007","View Full Record in Web of Science")</f>
        <v>View Full Record in Web of Science</v>
      </c>
    </row>
    <row r="910" spans="1:72" x14ac:dyDescent="0.15">
      <c r="A910" t="s">
        <v>72</v>
      </c>
      <c r="B910" t="s">
        <v>17161</v>
      </c>
      <c r="C910" t="s">
        <v>74</v>
      </c>
      <c r="D910" t="s">
        <v>74</v>
      </c>
      <c r="E910" t="s">
        <v>74</v>
      </c>
      <c r="F910" t="s">
        <v>17162</v>
      </c>
      <c r="G910" t="s">
        <v>74</v>
      </c>
      <c r="H910" t="s">
        <v>74</v>
      </c>
      <c r="I910" t="s">
        <v>17163</v>
      </c>
      <c r="J910" t="s">
        <v>1746</v>
      </c>
      <c r="K910" t="s">
        <v>74</v>
      </c>
      <c r="L910" t="s">
        <v>74</v>
      </c>
      <c r="M910" t="s">
        <v>78</v>
      </c>
      <c r="N910" t="s">
        <v>79</v>
      </c>
      <c r="O910" t="s">
        <v>74</v>
      </c>
      <c r="P910" t="s">
        <v>74</v>
      </c>
      <c r="Q910" t="s">
        <v>74</v>
      </c>
      <c r="R910" t="s">
        <v>74</v>
      </c>
      <c r="S910" t="s">
        <v>74</v>
      </c>
      <c r="T910" t="s">
        <v>17164</v>
      </c>
      <c r="U910" t="s">
        <v>17165</v>
      </c>
      <c r="V910" t="s">
        <v>17166</v>
      </c>
      <c r="W910" t="s">
        <v>17167</v>
      </c>
      <c r="X910" t="s">
        <v>17168</v>
      </c>
      <c r="Y910" t="s">
        <v>17169</v>
      </c>
      <c r="Z910" t="s">
        <v>17170</v>
      </c>
      <c r="AA910" t="s">
        <v>17171</v>
      </c>
      <c r="AB910" t="s">
        <v>17172</v>
      </c>
      <c r="AC910" t="s">
        <v>17173</v>
      </c>
      <c r="AD910" t="s">
        <v>17173</v>
      </c>
      <c r="AE910" t="s">
        <v>17174</v>
      </c>
      <c r="AF910" t="s">
        <v>74</v>
      </c>
      <c r="AG910">
        <v>121</v>
      </c>
      <c r="AH910">
        <v>1</v>
      </c>
      <c r="AI910">
        <v>1</v>
      </c>
      <c r="AJ910">
        <v>6</v>
      </c>
      <c r="AK910">
        <v>6</v>
      </c>
      <c r="AL910" t="s">
        <v>1758</v>
      </c>
      <c r="AM910" t="s">
        <v>1759</v>
      </c>
      <c r="AN910" t="s">
        <v>1760</v>
      </c>
      <c r="AO910" t="s">
        <v>74</v>
      </c>
      <c r="AP910" t="s">
        <v>1761</v>
      </c>
      <c r="AQ910" t="s">
        <v>74</v>
      </c>
      <c r="AR910" t="s">
        <v>1762</v>
      </c>
      <c r="AS910" t="s">
        <v>1763</v>
      </c>
      <c r="AT910" t="s">
        <v>17141</v>
      </c>
      <c r="AU910">
        <v>2023</v>
      </c>
      <c r="AV910">
        <v>10</v>
      </c>
      <c r="AW910" t="s">
        <v>74</v>
      </c>
      <c r="AX910" t="s">
        <v>74</v>
      </c>
      <c r="AY910" t="s">
        <v>74</v>
      </c>
      <c r="AZ910" t="s">
        <v>74</v>
      </c>
      <c r="BA910" t="s">
        <v>74</v>
      </c>
      <c r="BB910" t="s">
        <v>74</v>
      </c>
      <c r="BC910" t="s">
        <v>74</v>
      </c>
      <c r="BD910">
        <v>1233820</v>
      </c>
      <c r="BE910" t="s">
        <v>17175</v>
      </c>
      <c r="BF910" t="str">
        <f>HYPERLINK("http://dx.doi.org/10.3389/fmars.2023.1233820","http://dx.doi.org/10.3389/fmars.2023.1233820")</f>
        <v>http://dx.doi.org/10.3389/fmars.2023.1233820</v>
      </c>
      <c r="BG910" t="s">
        <v>74</v>
      </c>
      <c r="BH910" t="s">
        <v>74</v>
      </c>
      <c r="BI910">
        <v>15</v>
      </c>
      <c r="BJ910" t="s">
        <v>1135</v>
      </c>
      <c r="BK910" t="s">
        <v>100</v>
      </c>
      <c r="BL910" t="s">
        <v>1136</v>
      </c>
      <c r="BM910" t="s">
        <v>17176</v>
      </c>
      <c r="BN910" t="s">
        <v>74</v>
      </c>
      <c r="BO910" t="s">
        <v>265</v>
      </c>
      <c r="BP910" t="s">
        <v>74</v>
      </c>
      <c r="BQ910" t="s">
        <v>74</v>
      </c>
      <c r="BR910" t="s">
        <v>104</v>
      </c>
      <c r="BS910" t="s">
        <v>17177</v>
      </c>
      <c r="BT910" t="str">
        <f>HYPERLINK("https%3A%2F%2Fwww.webofscience.com%2Fwos%2Fwoscc%2Ffull-record%2FWOS:001074817400001","View Full Record in Web of Science")</f>
        <v>View Full Record in Web of Science</v>
      </c>
    </row>
    <row r="911" spans="1:72" x14ac:dyDescent="0.15">
      <c r="A911" t="s">
        <v>72</v>
      </c>
      <c r="B911" t="s">
        <v>17178</v>
      </c>
      <c r="C911" t="s">
        <v>74</v>
      </c>
      <c r="D911" t="s">
        <v>74</v>
      </c>
      <c r="E911" t="s">
        <v>74</v>
      </c>
      <c r="F911" t="s">
        <v>17179</v>
      </c>
      <c r="G911" t="s">
        <v>74</v>
      </c>
      <c r="H911" t="s">
        <v>74</v>
      </c>
      <c r="I911" t="s">
        <v>17180</v>
      </c>
      <c r="J911" t="s">
        <v>17181</v>
      </c>
      <c r="K911" t="s">
        <v>74</v>
      </c>
      <c r="L911" t="s">
        <v>74</v>
      </c>
      <c r="M911" t="s">
        <v>78</v>
      </c>
      <c r="N911" t="s">
        <v>441</v>
      </c>
      <c r="O911" t="s">
        <v>74</v>
      </c>
      <c r="P911" t="s">
        <v>74</v>
      </c>
      <c r="Q911" t="s">
        <v>74</v>
      </c>
      <c r="R911" t="s">
        <v>74</v>
      </c>
      <c r="S911" t="s">
        <v>74</v>
      </c>
      <c r="T911" t="s">
        <v>17182</v>
      </c>
      <c r="U911" t="s">
        <v>17183</v>
      </c>
      <c r="V911" t="s">
        <v>17184</v>
      </c>
      <c r="W911" t="s">
        <v>17185</v>
      </c>
      <c r="X911" t="s">
        <v>17186</v>
      </c>
      <c r="Y911" t="s">
        <v>17187</v>
      </c>
      <c r="Z911" t="s">
        <v>17188</v>
      </c>
      <c r="AA911" t="s">
        <v>17189</v>
      </c>
      <c r="AB911" t="s">
        <v>17190</v>
      </c>
      <c r="AC911" t="s">
        <v>17191</v>
      </c>
      <c r="AD911" t="s">
        <v>17191</v>
      </c>
      <c r="AE911" t="s">
        <v>17192</v>
      </c>
      <c r="AF911" t="s">
        <v>74</v>
      </c>
      <c r="AG911">
        <v>66</v>
      </c>
      <c r="AH911">
        <v>1</v>
      </c>
      <c r="AI911">
        <v>1</v>
      </c>
      <c r="AJ911">
        <v>12</v>
      </c>
      <c r="AK911">
        <v>12</v>
      </c>
      <c r="AL911" t="s">
        <v>1758</v>
      </c>
      <c r="AM911" t="s">
        <v>1759</v>
      </c>
      <c r="AN911" t="s">
        <v>1760</v>
      </c>
      <c r="AO911" t="s">
        <v>74</v>
      </c>
      <c r="AP911" t="s">
        <v>17193</v>
      </c>
      <c r="AQ911" t="s">
        <v>74</v>
      </c>
      <c r="AR911" t="s">
        <v>17194</v>
      </c>
      <c r="AS911" t="s">
        <v>17195</v>
      </c>
      <c r="AT911" t="s">
        <v>17141</v>
      </c>
      <c r="AU911">
        <v>2023</v>
      </c>
      <c r="AV911">
        <v>11</v>
      </c>
      <c r="AW911" t="s">
        <v>74</v>
      </c>
      <c r="AX911" t="s">
        <v>74</v>
      </c>
      <c r="AY911" t="s">
        <v>74</v>
      </c>
      <c r="AZ911" t="s">
        <v>74</v>
      </c>
      <c r="BA911" t="s">
        <v>74</v>
      </c>
      <c r="BB911" t="s">
        <v>74</v>
      </c>
      <c r="BC911" t="s">
        <v>74</v>
      </c>
      <c r="BD911">
        <v>1232374</v>
      </c>
      <c r="BE911" t="s">
        <v>17196</v>
      </c>
      <c r="BF911" t="str">
        <f>HYPERLINK("http://dx.doi.org/10.3389/fenvs.2023.1232374","http://dx.doi.org/10.3389/fenvs.2023.1232374")</f>
        <v>http://dx.doi.org/10.3389/fenvs.2023.1232374</v>
      </c>
      <c r="BG911" t="s">
        <v>74</v>
      </c>
      <c r="BH911" t="s">
        <v>74</v>
      </c>
      <c r="BI911">
        <v>6</v>
      </c>
      <c r="BJ911" t="s">
        <v>1010</v>
      </c>
      <c r="BK911" t="s">
        <v>100</v>
      </c>
      <c r="BL911" t="s">
        <v>1011</v>
      </c>
      <c r="BM911" t="s">
        <v>17197</v>
      </c>
      <c r="BN911" t="s">
        <v>74</v>
      </c>
      <c r="BO911" t="s">
        <v>131</v>
      </c>
      <c r="BP911" t="s">
        <v>74</v>
      </c>
      <c r="BQ911" t="s">
        <v>74</v>
      </c>
      <c r="BR911" t="s">
        <v>104</v>
      </c>
      <c r="BS911" t="s">
        <v>17198</v>
      </c>
      <c r="BT911" t="str">
        <f>HYPERLINK("https%3A%2F%2Fwww.webofscience.com%2Fwos%2Fwoscc%2Ffull-record%2FWOS:001075023500001","View Full Record in Web of Science")</f>
        <v>View Full Record in Web of Science</v>
      </c>
    </row>
    <row r="912" spans="1:72" x14ac:dyDescent="0.15">
      <c r="A912" t="s">
        <v>72</v>
      </c>
      <c r="B912" t="s">
        <v>17199</v>
      </c>
      <c r="C912" t="s">
        <v>74</v>
      </c>
      <c r="D912" t="s">
        <v>74</v>
      </c>
      <c r="E912" t="s">
        <v>74</v>
      </c>
      <c r="F912" t="s">
        <v>17200</v>
      </c>
      <c r="G912" t="s">
        <v>74</v>
      </c>
      <c r="H912" t="s">
        <v>74</v>
      </c>
      <c r="I912" t="s">
        <v>17201</v>
      </c>
      <c r="J912" t="s">
        <v>2518</v>
      </c>
      <c r="K912" t="s">
        <v>74</v>
      </c>
      <c r="L912" t="s">
        <v>74</v>
      </c>
      <c r="M912" t="s">
        <v>78</v>
      </c>
      <c r="N912" t="s">
        <v>79</v>
      </c>
      <c r="O912" t="s">
        <v>74</v>
      </c>
      <c r="P912" t="s">
        <v>74</v>
      </c>
      <c r="Q912" t="s">
        <v>74</v>
      </c>
      <c r="R912" t="s">
        <v>74</v>
      </c>
      <c r="S912" t="s">
        <v>74</v>
      </c>
      <c r="T912" t="s">
        <v>74</v>
      </c>
      <c r="U912" t="s">
        <v>17202</v>
      </c>
      <c r="V912" t="s">
        <v>17203</v>
      </c>
      <c r="W912" t="s">
        <v>17204</v>
      </c>
      <c r="X912" t="s">
        <v>17205</v>
      </c>
      <c r="Y912" t="s">
        <v>17206</v>
      </c>
      <c r="Z912" t="s">
        <v>17207</v>
      </c>
      <c r="AA912" t="s">
        <v>17208</v>
      </c>
      <c r="AB912" t="s">
        <v>17209</v>
      </c>
      <c r="AC912" t="s">
        <v>17210</v>
      </c>
      <c r="AD912" t="s">
        <v>17211</v>
      </c>
      <c r="AE912" t="s">
        <v>17212</v>
      </c>
      <c r="AF912" t="s">
        <v>74</v>
      </c>
      <c r="AG912">
        <v>99</v>
      </c>
      <c r="AH912">
        <v>0</v>
      </c>
      <c r="AI912">
        <v>0</v>
      </c>
      <c r="AJ912">
        <v>2</v>
      </c>
      <c r="AK912">
        <v>2</v>
      </c>
      <c r="AL912" t="s">
        <v>2529</v>
      </c>
      <c r="AM912" t="s">
        <v>2294</v>
      </c>
      <c r="AN912" t="s">
        <v>2530</v>
      </c>
      <c r="AO912" t="s">
        <v>74</v>
      </c>
      <c r="AP912" t="s">
        <v>2531</v>
      </c>
      <c r="AQ912" t="s">
        <v>74</v>
      </c>
      <c r="AR912" t="s">
        <v>2532</v>
      </c>
      <c r="AS912" t="s">
        <v>2533</v>
      </c>
      <c r="AT912" t="s">
        <v>17141</v>
      </c>
      <c r="AU912">
        <v>2023</v>
      </c>
      <c r="AV912">
        <v>4</v>
      </c>
      <c r="AW912">
        <v>1</v>
      </c>
      <c r="AX912" t="s">
        <v>74</v>
      </c>
      <c r="AY912" t="s">
        <v>74</v>
      </c>
      <c r="AZ912" t="s">
        <v>74</v>
      </c>
      <c r="BA912" t="s">
        <v>74</v>
      </c>
      <c r="BB912" t="s">
        <v>74</v>
      </c>
      <c r="BC912" t="s">
        <v>74</v>
      </c>
      <c r="BD912">
        <v>328</v>
      </c>
      <c r="BE912" t="s">
        <v>17213</v>
      </c>
      <c r="BF912" t="str">
        <f>HYPERLINK("http://dx.doi.org/10.1038/s43247-023-00967-3","http://dx.doi.org/10.1038/s43247-023-00967-3")</f>
        <v>http://dx.doi.org/10.1038/s43247-023-00967-3</v>
      </c>
      <c r="BG912" t="s">
        <v>74</v>
      </c>
      <c r="BH912" t="s">
        <v>74</v>
      </c>
      <c r="BI912">
        <v>12</v>
      </c>
      <c r="BJ912" t="s">
        <v>2535</v>
      </c>
      <c r="BK912" t="s">
        <v>100</v>
      </c>
      <c r="BL912" t="s">
        <v>2536</v>
      </c>
      <c r="BM912" t="s">
        <v>17214</v>
      </c>
      <c r="BN912" t="s">
        <v>74</v>
      </c>
      <c r="BO912" t="s">
        <v>349</v>
      </c>
      <c r="BP912" t="s">
        <v>74</v>
      </c>
      <c r="BQ912" t="s">
        <v>74</v>
      </c>
      <c r="BR912" t="s">
        <v>104</v>
      </c>
      <c r="BS912" t="s">
        <v>17215</v>
      </c>
      <c r="BT912" t="str">
        <f>HYPERLINK("https%3A%2F%2Fwww.webofscience.com%2Fwos%2Fwoscc%2Ffull-record%2FWOS:001069481300001","View Full Record in Web of Science")</f>
        <v>View Full Record in Web of Science</v>
      </c>
    </row>
    <row r="913" spans="1:72" x14ac:dyDescent="0.15">
      <c r="A913" t="s">
        <v>72</v>
      </c>
      <c r="B913" t="s">
        <v>17216</v>
      </c>
      <c r="C913" t="s">
        <v>74</v>
      </c>
      <c r="D913" t="s">
        <v>74</v>
      </c>
      <c r="E913" t="s">
        <v>74</v>
      </c>
      <c r="F913" t="s">
        <v>17217</v>
      </c>
      <c r="G913" t="s">
        <v>74</v>
      </c>
      <c r="H913" t="s">
        <v>74</v>
      </c>
      <c r="I913" t="s">
        <v>17218</v>
      </c>
      <c r="J913" t="s">
        <v>17219</v>
      </c>
      <c r="K913" t="s">
        <v>74</v>
      </c>
      <c r="L913" t="s">
        <v>74</v>
      </c>
      <c r="M913" t="s">
        <v>78</v>
      </c>
      <c r="N913" t="s">
        <v>79</v>
      </c>
      <c r="O913" t="s">
        <v>74</v>
      </c>
      <c r="P913" t="s">
        <v>74</v>
      </c>
      <c r="Q913" t="s">
        <v>74</v>
      </c>
      <c r="R913" t="s">
        <v>74</v>
      </c>
      <c r="S913" t="s">
        <v>74</v>
      </c>
      <c r="T913" t="s">
        <v>17220</v>
      </c>
      <c r="U913" t="s">
        <v>17221</v>
      </c>
      <c r="V913" t="s">
        <v>17222</v>
      </c>
      <c r="W913" t="s">
        <v>17223</v>
      </c>
      <c r="X913" t="s">
        <v>17224</v>
      </c>
      <c r="Y913" t="s">
        <v>17225</v>
      </c>
      <c r="Z913" t="s">
        <v>17226</v>
      </c>
      <c r="AA913" t="s">
        <v>17227</v>
      </c>
      <c r="AB913" t="s">
        <v>17228</v>
      </c>
      <c r="AC913" t="s">
        <v>17229</v>
      </c>
      <c r="AD913" t="s">
        <v>17230</v>
      </c>
      <c r="AE913" t="s">
        <v>17231</v>
      </c>
      <c r="AF913" t="s">
        <v>74</v>
      </c>
      <c r="AG913">
        <v>75</v>
      </c>
      <c r="AH913">
        <v>0</v>
      </c>
      <c r="AI913">
        <v>0</v>
      </c>
      <c r="AJ913">
        <v>7</v>
      </c>
      <c r="AK913">
        <v>7</v>
      </c>
      <c r="AL913" t="s">
        <v>1101</v>
      </c>
      <c r="AM913" t="s">
        <v>1102</v>
      </c>
      <c r="AN913" t="s">
        <v>1103</v>
      </c>
      <c r="AO913" t="s">
        <v>17232</v>
      </c>
      <c r="AP913" t="s">
        <v>17233</v>
      </c>
      <c r="AQ913" t="s">
        <v>74</v>
      </c>
      <c r="AR913" t="s">
        <v>17234</v>
      </c>
      <c r="AS913" t="s">
        <v>17235</v>
      </c>
      <c r="AT913" t="s">
        <v>1947</v>
      </c>
      <c r="AU913">
        <v>2023</v>
      </c>
      <c r="AV913">
        <v>48</v>
      </c>
      <c r="AW913">
        <v>15</v>
      </c>
      <c r="AX913" t="s">
        <v>74</v>
      </c>
      <c r="AY913" t="s">
        <v>74</v>
      </c>
      <c r="AZ913" t="s">
        <v>74</v>
      </c>
      <c r="BA913" t="s">
        <v>74</v>
      </c>
      <c r="BB913">
        <v>3363</v>
      </c>
      <c r="BC913">
        <v>3380</v>
      </c>
      <c r="BD913" t="s">
        <v>74</v>
      </c>
      <c r="BE913" t="s">
        <v>17236</v>
      </c>
      <c r="BF913" t="str">
        <f>HYPERLINK("http://dx.doi.org/10.1002/esp.5701","http://dx.doi.org/10.1002/esp.5701")</f>
        <v>http://dx.doi.org/10.1002/esp.5701</v>
      </c>
      <c r="BG913" t="s">
        <v>74</v>
      </c>
      <c r="BH913" t="s">
        <v>15880</v>
      </c>
      <c r="BI913">
        <v>18</v>
      </c>
      <c r="BJ913" t="s">
        <v>984</v>
      </c>
      <c r="BK913" t="s">
        <v>100</v>
      </c>
      <c r="BL913" t="s">
        <v>985</v>
      </c>
      <c r="BM913" t="s">
        <v>17237</v>
      </c>
      <c r="BN913" t="s">
        <v>74</v>
      </c>
      <c r="BO913" t="s">
        <v>103</v>
      </c>
      <c r="BP913" t="s">
        <v>74</v>
      </c>
      <c r="BQ913" t="s">
        <v>74</v>
      </c>
      <c r="BR913" t="s">
        <v>104</v>
      </c>
      <c r="BS913" t="s">
        <v>17238</v>
      </c>
      <c r="BT913" t="str">
        <f>HYPERLINK("https%3A%2F%2Fwww.webofscience.com%2Fwos%2Fwoscc%2Ffull-record%2FWOS:001068541800001","View Full Record in Web of Science")</f>
        <v>View Full Record in Web of Science</v>
      </c>
    </row>
    <row r="914" spans="1:72" x14ac:dyDescent="0.15">
      <c r="A914" t="s">
        <v>72</v>
      </c>
      <c r="B914" t="s">
        <v>17239</v>
      </c>
      <c r="C914" t="s">
        <v>74</v>
      </c>
      <c r="D914" t="s">
        <v>74</v>
      </c>
      <c r="E914" t="s">
        <v>74</v>
      </c>
      <c r="F914" t="s">
        <v>17240</v>
      </c>
      <c r="G914" t="s">
        <v>74</v>
      </c>
      <c r="H914" t="s">
        <v>74</v>
      </c>
      <c r="I914" t="s">
        <v>17241</v>
      </c>
      <c r="J914" t="s">
        <v>1770</v>
      </c>
      <c r="K914" t="s">
        <v>74</v>
      </c>
      <c r="L914" t="s">
        <v>74</v>
      </c>
      <c r="M914" t="s">
        <v>78</v>
      </c>
      <c r="N914" t="s">
        <v>79</v>
      </c>
      <c r="O914" t="s">
        <v>74</v>
      </c>
      <c r="P914" t="s">
        <v>74</v>
      </c>
      <c r="Q914" t="s">
        <v>74</v>
      </c>
      <c r="R914" t="s">
        <v>74</v>
      </c>
      <c r="S914" t="s">
        <v>74</v>
      </c>
      <c r="T914" t="s">
        <v>17242</v>
      </c>
      <c r="U914" t="s">
        <v>17243</v>
      </c>
      <c r="V914" t="s">
        <v>17244</v>
      </c>
      <c r="W914" t="s">
        <v>17245</v>
      </c>
      <c r="X914" t="s">
        <v>17246</v>
      </c>
      <c r="Y914" t="s">
        <v>17247</v>
      </c>
      <c r="Z914" t="s">
        <v>17248</v>
      </c>
      <c r="AA914" t="s">
        <v>17249</v>
      </c>
      <c r="AB914" t="s">
        <v>74</v>
      </c>
      <c r="AC914" t="s">
        <v>17250</v>
      </c>
      <c r="AD914" t="s">
        <v>17250</v>
      </c>
      <c r="AE914" t="s">
        <v>17251</v>
      </c>
      <c r="AF914" t="s">
        <v>74</v>
      </c>
      <c r="AG914">
        <v>53</v>
      </c>
      <c r="AH914">
        <v>0</v>
      </c>
      <c r="AI914">
        <v>0</v>
      </c>
      <c r="AJ914">
        <v>5</v>
      </c>
      <c r="AK914">
        <v>8</v>
      </c>
      <c r="AL914" t="s">
        <v>1782</v>
      </c>
      <c r="AM914" t="s">
        <v>1783</v>
      </c>
      <c r="AN914" t="s">
        <v>1784</v>
      </c>
      <c r="AO914" t="s">
        <v>1785</v>
      </c>
      <c r="AP914" t="s">
        <v>1786</v>
      </c>
      <c r="AQ914" t="s">
        <v>74</v>
      </c>
      <c r="AR914" t="s">
        <v>1787</v>
      </c>
      <c r="AS914" t="s">
        <v>1788</v>
      </c>
      <c r="AT914" t="s">
        <v>10415</v>
      </c>
      <c r="AU914">
        <v>2023</v>
      </c>
      <c r="AV914">
        <v>35</v>
      </c>
      <c r="AW914">
        <v>5</v>
      </c>
      <c r="AX914" t="s">
        <v>74</v>
      </c>
      <c r="AY914" t="s">
        <v>74</v>
      </c>
      <c r="AZ914" t="s">
        <v>74</v>
      </c>
      <c r="BA914" t="s">
        <v>74</v>
      </c>
      <c r="BB914">
        <v>359</v>
      </c>
      <c r="BC914">
        <v>373</v>
      </c>
      <c r="BD914" t="s">
        <v>74</v>
      </c>
      <c r="BE914" t="s">
        <v>17252</v>
      </c>
      <c r="BF914" t="str">
        <f>HYPERLINK("http://dx.doi.org/10.1017/S0954102023000160","http://dx.doi.org/10.1017/S0954102023000160")</f>
        <v>http://dx.doi.org/10.1017/S0954102023000160</v>
      </c>
      <c r="BG914" t="s">
        <v>74</v>
      </c>
      <c r="BH914" t="s">
        <v>15880</v>
      </c>
      <c r="BI914">
        <v>15</v>
      </c>
      <c r="BJ914" t="s">
        <v>1791</v>
      </c>
      <c r="BK914" t="s">
        <v>100</v>
      </c>
      <c r="BL914" t="s">
        <v>1792</v>
      </c>
      <c r="BM914" t="s">
        <v>14150</v>
      </c>
      <c r="BN914" t="s">
        <v>74</v>
      </c>
      <c r="BO914" t="s">
        <v>74</v>
      </c>
      <c r="BP914" t="s">
        <v>74</v>
      </c>
      <c r="BQ914" t="s">
        <v>74</v>
      </c>
      <c r="BR914" t="s">
        <v>104</v>
      </c>
      <c r="BS914" t="s">
        <v>17253</v>
      </c>
      <c r="BT914" t="str">
        <f>HYPERLINK("https%3A%2F%2Fwww.webofscience.com%2Fwos%2Fwoscc%2Ffull-record%2FWOS:001067623000001","View Full Record in Web of Science")</f>
        <v>View Full Record in Web of Science</v>
      </c>
    </row>
    <row r="915" spans="1:72" x14ac:dyDescent="0.15">
      <c r="A915" t="s">
        <v>72</v>
      </c>
      <c r="B915" t="s">
        <v>17254</v>
      </c>
      <c r="C915" t="s">
        <v>74</v>
      </c>
      <c r="D915" t="s">
        <v>74</v>
      </c>
      <c r="E915" t="s">
        <v>74</v>
      </c>
      <c r="F915" t="s">
        <v>17255</v>
      </c>
      <c r="G915" t="s">
        <v>74</v>
      </c>
      <c r="H915" t="s">
        <v>74</v>
      </c>
      <c r="I915" t="s">
        <v>17256</v>
      </c>
      <c r="J915" t="s">
        <v>17257</v>
      </c>
      <c r="K915" t="s">
        <v>74</v>
      </c>
      <c r="L915" t="s">
        <v>74</v>
      </c>
      <c r="M915" t="s">
        <v>78</v>
      </c>
      <c r="N915" t="s">
        <v>79</v>
      </c>
      <c r="O915" t="s">
        <v>74</v>
      </c>
      <c r="P915" t="s">
        <v>74</v>
      </c>
      <c r="Q915" t="s">
        <v>74</v>
      </c>
      <c r="R915" t="s">
        <v>74</v>
      </c>
      <c r="S915" t="s">
        <v>74</v>
      </c>
      <c r="T915" t="s">
        <v>17258</v>
      </c>
      <c r="U915" t="s">
        <v>17259</v>
      </c>
      <c r="V915" t="s">
        <v>17260</v>
      </c>
      <c r="W915" t="s">
        <v>17261</v>
      </c>
      <c r="X915" t="s">
        <v>17262</v>
      </c>
      <c r="Y915" t="s">
        <v>17263</v>
      </c>
      <c r="Z915" t="s">
        <v>6599</v>
      </c>
      <c r="AA915" t="s">
        <v>17264</v>
      </c>
      <c r="AB915" t="s">
        <v>17265</v>
      </c>
      <c r="AC915" t="s">
        <v>17266</v>
      </c>
      <c r="AD915" t="s">
        <v>17266</v>
      </c>
      <c r="AE915" t="s">
        <v>17266</v>
      </c>
      <c r="AF915" t="s">
        <v>74</v>
      </c>
      <c r="AG915">
        <v>61</v>
      </c>
      <c r="AH915">
        <v>0</v>
      </c>
      <c r="AI915">
        <v>0</v>
      </c>
      <c r="AJ915">
        <v>1</v>
      </c>
      <c r="AK915">
        <v>2</v>
      </c>
      <c r="AL915" t="s">
        <v>1560</v>
      </c>
      <c r="AM915" t="s">
        <v>976</v>
      </c>
      <c r="AN915" t="s">
        <v>1561</v>
      </c>
      <c r="AO915" t="s">
        <v>17267</v>
      </c>
      <c r="AP915" t="s">
        <v>17268</v>
      </c>
      <c r="AQ915" t="s">
        <v>74</v>
      </c>
      <c r="AR915" t="s">
        <v>17269</v>
      </c>
      <c r="AS915" t="s">
        <v>17270</v>
      </c>
      <c r="AT915" t="s">
        <v>1691</v>
      </c>
      <c r="AU915">
        <v>2023</v>
      </c>
      <c r="AV915">
        <v>72</v>
      </c>
      <c r="AW915">
        <v>5</v>
      </c>
      <c r="AX915" t="s">
        <v>74</v>
      </c>
      <c r="AY915" t="s">
        <v>74</v>
      </c>
      <c r="AZ915" t="s">
        <v>74</v>
      </c>
      <c r="BA915" t="s">
        <v>74</v>
      </c>
      <c r="BB915">
        <v>1493</v>
      </c>
      <c r="BC915">
        <v>1511</v>
      </c>
      <c r="BD915" t="s">
        <v>74</v>
      </c>
      <c r="BE915" t="s">
        <v>17271</v>
      </c>
      <c r="BF915" t="str">
        <f>HYPERLINK("http://dx.doi.org/10.1093/jrsssc/qlad078","http://dx.doi.org/10.1093/jrsssc/qlad078")</f>
        <v>http://dx.doi.org/10.1093/jrsssc/qlad078</v>
      </c>
      <c r="BG915" t="s">
        <v>74</v>
      </c>
      <c r="BH915" t="s">
        <v>15880</v>
      </c>
      <c r="BI915">
        <v>19</v>
      </c>
      <c r="BJ915" t="s">
        <v>17272</v>
      </c>
      <c r="BK915" t="s">
        <v>100</v>
      </c>
      <c r="BL915" t="s">
        <v>17273</v>
      </c>
      <c r="BM915" t="s">
        <v>17274</v>
      </c>
      <c r="BN915" t="s">
        <v>74</v>
      </c>
      <c r="BO915" t="s">
        <v>17275</v>
      </c>
      <c r="BP915" t="s">
        <v>74</v>
      </c>
      <c r="BQ915" t="s">
        <v>74</v>
      </c>
      <c r="BR915" t="s">
        <v>104</v>
      </c>
      <c r="BS915" t="s">
        <v>17276</v>
      </c>
      <c r="BT915" t="str">
        <f>HYPERLINK("https%3A%2F%2Fwww.webofscience.com%2Fwos%2Fwoscc%2Ffull-record%2FWOS:001066889700001","View Full Record in Web of Science")</f>
        <v>View Full Record in Web of Science</v>
      </c>
    </row>
    <row r="916" spans="1:72" x14ac:dyDescent="0.15">
      <c r="A916" t="s">
        <v>72</v>
      </c>
      <c r="B916" t="s">
        <v>17277</v>
      </c>
      <c r="C916" t="s">
        <v>74</v>
      </c>
      <c r="D916" t="s">
        <v>74</v>
      </c>
      <c r="E916" t="s">
        <v>74</v>
      </c>
      <c r="F916" t="s">
        <v>17278</v>
      </c>
      <c r="G916" t="s">
        <v>74</v>
      </c>
      <c r="H916" t="s">
        <v>74</v>
      </c>
      <c r="I916" t="s">
        <v>17279</v>
      </c>
      <c r="J916" t="s">
        <v>1243</v>
      </c>
      <c r="K916" t="s">
        <v>74</v>
      </c>
      <c r="L916" t="s">
        <v>74</v>
      </c>
      <c r="M916" t="s">
        <v>78</v>
      </c>
      <c r="N916" t="s">
        <v>79</v>
      </c>
      <c r="O916" t="s">
        <v>74</v>
      </c>
      <c r="P916" t="s">
        <v>74</v>
      </c>
      <c r="Q916" t="s">
        <v>74</v>
      </c>
      <c r="R916" t="s">
        <v>74</v>
      </c>
      <c r="S916" t="s">
        <v>74</v>
      </c>
      <c r="T916" t="s">
        <v>17280</v>
      </c>
      <c r="U916" t="s">
        <v>74</v>
      </c>
      <c r="V916" t="s">
        <v>17281</v>
      </c>
      <c r="W916" t="s">
        <v>17282</v>
      </c>
      <c r="X916" t="s">
        <v>17283</v>
      </c>
      <c r="Y916" t="s">
        <v>17284</v>
      </c>
      <c r="Z916" t="s">
        <v>17285</v>
      </c>
      <c r="AA916" t="s">
        <v>74</v>
      </c>
      <c r="AB916" t="s">
        <v>74</v>
      </c>
      <c r="AC916" t="s">
        <v>17286</v>
      </c>
      <c r="AD916" t="s">
        <v>17287</v>
      </c>
      <c r="AE916" t="s">
        <v>17288</v>
      </c>
      <c r="AF916" t="s">
        <v>74</v>
      </c>
      <c r="AG916">
        <v>16</v>
      </c>
      <c r="AH916">
        <v>0</v>
      </c>
      <c r="AI916">
        <v>0</v>
      </c>
      <c r="AJ916">
        <v>0</v>
      </c>
      <c r="AK916">
        <v>1</v>
      </c>
      <c r="AL916" t="s">
        <v>1075</v>
      </c>
      <c r="AM916" t="s">
        <v>1076</v>
      </c>
      <c r="AN916" t="s">
        <v>1077</v>
      </c>
      <c r="AO916" t="s">
        <v>1256</v>
      </c>
      <c r="AP916" t="s">
        <v>1257</v>
      </c>
      <c r="AQ916" t="s">
        <v>74</v>
      </c>
      <c r="AR916" t="s">
        <v>1258</v>
      </c>
      <c r="AS916" t="s">
        <v>1259</v>
      </c>
      <c r="AT916" t="s">
        <v>4525</v>
      </c>
      <c r="AU916">
        <v>2023</v>
      </c>
      <c r="AV916">
        <v>46</v>
      </c>
      <c r="AW916">
        <v>11</v>
      </c>
      <c r="AX916" t="s">
        <v>74</v>
      </c>
      <c r="AY916" t="s">
        <v>74</v>
      </c>
      <c r="AZ916" t="s">
        <v>74</v>
      </c>
      <c r="BA916" t="s">
        <v>74</v>
      </c>
      <c r="BB916">
        <v>1215</v>
      </c>
      <c r="BC916">
        <v>1217</v>
      </c>
      <c r="BD916" t="s">
        <v>74</v>
      </c>
      <c r="BE916" t="s">
        <v>17289</v>
      </c>
      <c r="BF916" t="str">
        <f>HYPERLINK("http://dx.doi.org/10.1007/s00300-023-03195-9","http://dx.doi.org/10.1007/s00300-023-03195-9")</f>
        <v>http://dx.doi.org/10.1007/s00300-023-03195-9</v>
      </c>
      <c r="BG916" t="s">
        <v>74</v>
      </c>
      <c r="BH916" t="s">
        <v>15880</v>
      </c>
      <c r="BI916">
        <v>3</v>
      </c>
      <c r="BJ916" t="s">
        <v>1261</v>
      </c>
      <c r="BK916" t="s">
        <v>100</v>
      </c>
      <c r="BL916" t="s">
        <v>913</v>
      </c>
      <c r="BM916" t="s">
        <v>16658</v>
      </c>
      <c r="BN916" t="s">
        <v>74</v>
      </c>
      <c r="BO916" t="s">
        <v>103</v>
      </c>
      <c r="BP916" t="s">
        <v>74</v>
      </c>
      <c r="BQ916" t="s">
        <v>74</v>
      </c>
      <c r="BR916" t="s">
        <v>104</v>
      </c>
      <c r="BS916" t="s">
        <v>17290</v>
      </c>
      <c r="BT916" t="str">
        <f>HYPERLINK("https%3A%2F%2Fwww.webofscience.com%2Fwos%2Fwoscc%2Ffull-record%2FWOS:001069442500001","View Full Record in Web of Science")</f>
        <v>View Full Record in Web of Science</v>
      </c>
    </row>
    <row r="917" spans="1:72" x14ac:dyDescent="0.15">
      <c r="A917" t="s">
        <v>72</v>
      </c>
      <c r="B917" t="s">
        <v>17291</v>
      </c>
      <c r="C917" t="s">
        <v>74</v>
      </c>
      <c r="D917" t="s">
        <v>74</v>
      </c>
      <c r="E917" t="s">
        <v>74</v>
      </c>
      <c r="F917" t="s">
        <v>17292</v>
      </c>
      <c r="G917" t="s">
        <v>74</v>
      </c>
      <c r="H917" t="s">
        <v>74</v>
      </c>
      <c r="I917" t="s">
        <v>17293</v>
      </c>
      <c r="J917" t="s">
        <v>1195</v>
      </c>
      <c r="K917" t="s">
        <v>74</v>
      </c>
      <c r="L917" t="s">
        <v>74</v>
      </c>
      <c r="M917" t="s">
        <v>78</v>
      </c>
      <c r="N917" t="s">
        <v>79</v>
      </c>
      <c r="O917" t="s">
        <v>74</v>
      </c>
      <c r="P917" t="s">
        <v>74</v>
      </c>
      <c r="Q917" t="s">
        <v>74</v>
      </c>
      <c r="R917" t="s">
        <v>74</v>
      </c>
      <c r="S917" t="s">
        <v>74</v>
      </c>
      <c r="T917" t="s">
        <v>17294</v>
      </c>
      <c r="U917" t="s">
        <v>17295</v>
      </c>
      <c r="V917" t="s">
        <v>17296</v>
      </c>
      <c r="W917" t="s">
        <v>17297</v>
      </c>
      <c r="X917" t="s">
        <v>17298</v>
      </c>
      <c r="Y917" t="s">
        <v>17299</v>
      </c>
      <c r="Z917" t="s">
        <v>17300</v>
      </c>
      <c r="AA917" t="s">
        <v>74</v>
      </c>
      <c r="AB917" t="s">
        <v>17301</v>
      </c>
      <c r="AC917" t="s">
        <v>17302</v>
      </c>
      <c r="AD917" t="s">
        <v>17303</v>
      </c>
      <c r="AE917" t="s">
        <v>17304</v>
      </c>
      <c r="AF917" t="s">
        <v>74</v>
      </c>
      <c r="AG917">
        <v>53</v>
      </c>
      <c r="AH917">
        <v>0</v>
      </c>
      <c r="AI917">
        <v>0</v>
      </c>
      <c r="AJ917">
        <v>3</v>
      </c>
      <c r="AK917">
        <v>3</v>
      </c>
      <c r="AL917" t="s">
        <v>1208</v>
      </c>
      <c r="AM917" t="s">
        <v>1209</v>
      </c>
      <c r="AN917" t="s">
        <v>1210</v>
      </c>
      <c r="AO917" t="s">
        <v>1211</v>
      </c>
      <c r="AP917" t="s">
        <v>1212</v>
      </c>
      <c r="AQ917" t="s">
        <v>74</v>
      </c>
      <c r="AR917" t="s">
        <v>1213</v>
      </c>
      <c r="AS917" t="s">
        <v>1214</v>
      </c>
      <c r="AT917" t="s">
        <v>17305</v>
      </c>
      <c r="AU917">
        <v>2023</v>
      </c>
      <c r="AV917">
        <v>50</v>
      </c>
      <c r="AW917">
        <v>17</v>
      </c>
      <c r="AX917" t="s">
        <v>74</v>
      </c>
      <c r="AY917" t="s">
        <v>74</v>
      </c>
      <c r="AZ917" t="s">
        <v>74</v>
      </c>
      <c r="BA917" t="s">
        <v>74</v>
      </c>
      <c r="BB917" t="s">
        <v>74</v>
      </c>
      <c r="BC917" t="s">
        <v>74</v>
      </c>
      <c r="BD917" t="s">
        <v>17306</v>
      </c>
      <c r="BE917" t="s">
        <v>17307</v>
      </c>
      <c r="BF917" t="str">
        <f>HYPERLINK("http://dx.doi.org/10.1029/2023GL103948","http://dx.doi.org/10.1029/2023GL103948")</f>
        <v>http://dx.doi.org/10.1029/2023GL103948</v>
      </c>
      <c r="BG917" t="s">
        <v>74</v>
      </c>
      <c r="BH917" t="s">
        <v>74</v>
      </c>
      <c r="BI917">
        <v>9</v>
      </c>
      <c r="BJ917" t="s">
        <v>535</v>
      </c>
      <c r="BK917" t="s">
        <v>100</v>
      </c>
      <c r="BL917" t="s">
        <v>536</v>
      </c>
      <c r="BM917" t="s">
        <v>17308</v>
      </c>
      <c r="BN917" t="s">
        <v>74</v>
      </c>
      <c r="BO917" t="s">
        <v>7493</v>
      </c>
      <c r="BP917" t="s">
        <v>74</v>
      </c>
      <c r="BQ917" t="s">
        <v>74</v>
      </c>
      <c r="BR917" t="s">
        <v>104</v>
      </c>
      <c r="BS917" t="s">
        <v>17309</v>
      </c>
      <c r="BT917" t="str">
        <f>HYPERLINK("https%3A%2F%2Fwww.webofscience.com%2Fwos%2Fwoscc%2Ffull-record%2FWOS:001119188600001","View Full Record in Web of Science")</f>
        <v>View Full Record in Web of Science</v>
      </c>
    </row>
    <row r="918" spans="1:72" x14ac:dyDescent="0.15">
      <c r="A918" t="s">
        <v>72</v>
      </c>
      <c r="B918" t="s">
        <v>17310</v>
      </c>
      <c r="C918" t="s">
        <v>74</v>
      </c>
      <c r="D918" t="s">
        <v>74</v>
      </c>
      <c r="E918" t="s">
        <v>74</v>
      </c>
      <c r="F918" t="s">
        <v>17311</v>
      </c>
      <c r="G918" t="s">
        <v>74</v>
      </c>
      <c r="H918" t="s">
        <v>74</v>
      </c>
      <c r="I918" t="s">
        <v>17312</v>
      </c>
      <c r="J918" t="s">
        <v>1195</v>
      </c>
      <c r="K918" t="s">
        <v>74</v>
      </c>
      <c r="L918" t="s">
        <v>74</v>
      </c>
      <c r="M918" t="s">
        <v>78</v>
      </c>
      <c r="N918" t="s">
        <v>79</v>
      </c>
      <c r="O918" t="s">
        <v>74</v>
      </c>
      <c r="P918" t="s">
        <v>74</v>
      </c>
      <c r="Q918" t="s">
        <v>74</v>
      </c>
      <c r="R918" t="s">
        <v>74</v>
      </c>
      <c r="S918" t="s">
        <v>74</v>
      </c>
      <c r="T918" t="s">
        <v>17313</v>
      </c>
      <c r="U918" t="s">
        <v>17314</v>
      </c>
      <c r="V918" t="s">
        <v>17315</v>
      </c>
      <c r="W918" t="s">
        <v>17316</v>
      </c>
      <c r="X918" t="s">
        <v>17317</v>
      </c>
      <c r="Y918" t="s">
        <v>17318</v>
      </c>
      <c r="Z918" t="s">
        <v>17319</v>
      </c>
      <c r="AA918" t="s">
        <v>17320</v>
      </c>
      <c r="AB918" t="s">
        <v>17321</v>
      </c>
      <c r="AC918" t="s">
        <v>17322</v>
      </c>
      <c r="AD918" t="s">
        <v>17323</v>
      </c>
      <c r="AE918" t="s">
        <v>17324</v>
      </c>
      <c r="AF918" t="s">
        <v>74</v>
      </c>
      <c r="AG918">
        <v>37</v>
      </c>
      <c r="AH918">
        <v>0</v>
      </c>
      <c r="AI918">
        <v>0</v>
      </c>
      <c r="AJ918">
        <v>3</v>
      </c>
      <c r="AK918">
        <v>3</v>
      </c>
      <c r="AL918" t="s">
        <v>1208</v>
      </c>
      <c r="AM918" t="s">
        <v>1209</v>
      </c>
      <c r="AN918" t="s">
        <v>1210</v>
      </c>
      <c r="AO918" t="s">
        <v>1211</v>
      </c>
      <c r="AP918" t="s">
        <v>1212</v>
      </c>
      <c r="AQ918" t="s">
        <v>74</v>
      </c>
      <c r="AR918" t="s">
        <v>1213</v>
      </c>
      <c r="AS918" t="s">
        <v>1214</v>
      </c>
      <c r="AT918" t="s">
        <v>17305</v>
      </c>
      <c r="AU918">
        <v>2023</v>
      </c>
      <c r="AV918">
        <v>50</v>
      </c>
      <c r="AW918">
        <v>17</v>
      </c>
      <c r="AX918" t="s">
        <v>74</v>
      </c>
      <c r="AY918" t="s">
        <v>74</v>
      </c>
      <c r="AZ918" t="s">
        <v>74</v>
      </c>
      <c r="BA918" t="s">
        <v>74</v>
      </c>
      <c r="BB918" t="s">
        <v>74</v>
      </c>
      <c r="BC918" t="s">
        <v>74</v>
      </c>
      <c r="BD918" t="s">
        <v>17325</v>
      </c>
      <c r="BE918" t="s">
        <v>17326</v>
      </c>
      <c r="BF918" t="str">
        <f>HYPERLINK("http://dx.doi.org/10.1029/2022GL097864","http://dx.doi.org/10.1029/2022GL097864")</f>
        <v>http://dx.doi.org/10.1029/2022GL097864</v>
      </c>
      <c r="BG918" t="s">
        <v>74</v>
      </c>
      <c r="BH918" t="s">
        <v>74</v>
      </c>
      <c r="BI918">
        <v>9</v>
      </c>
      <c r="BJ918" t="s">
        <v>535</v>
      </c>
      <c r="BK918" t="s">
        <v>100</v>
      </c>
      <c r="BL918" t="s">
        <v>536</v>
      </c>
      <c r="BM918" t="s">
        <v>17327</v>
      </c>
      <c r="BN918" t="s">
        <v>74</v>
      </c>
      <c r="BO918" t="s">
        <v>103</v>
      </c>
      <c r="BP918" t="s">
        <v>74</v>
      </c>
      <c r="BQ918" t="s">
        <v>74</v>
      </c>
      <c r="BR918" t="s">
        <v>104</v>
      </c>
      <c r="BS918" t="s">
        <v>17328</v>
      </c>
      <c r="BT918" t="str">
        <f>HYPERLINK("https%3A%2F%2Fwww.webofscience.com%2Fwos%2Fwoscc%2Ffull-record%2FWOS:001064850400001","View Full Record in Web of Science")</f>
        <v>View Full Record in Web of Science</v>
      </c>
    </row>
    <row r="919" spans="1:72" x14ac:dyDescent="0.15">
      <c r="A919" t="s">
        <v>72</v>
      </c>
      <c r="B919" t="s">
        <v>17329</v>
      </c>
      <c r="C919" t="s">
        <v>74</v>
      </c>
      <c r="D919" t="s">
        <v>74</v>
      </c>
      <c r="E919" t="s">
        <v>74</v>
      </c>
      <c r="F919" t="s">
        <v>17330</v>
      </c>
      <c r="G919" t="s">
        <v>74</v>
      </c>
      <c r="H919" t="s">
        <v>74</v>
      </c>
      <c r="I919" t="s">
        <v>17331</v>
      </c>
      <c r="J919" t="s">
        <v>1504</v>
      </c>
      <c r="K919" t="s">
        <v>74</v>
      </c>
      <c r="L919" t="s">
        <v>74</v>
      </c>
      <c r="M919" t="s">
        <v>78</v>
      </c>
      <c r="N919" t="s">
        <v>79</v>
      </c>
      <c r="O919" t="s">
        <v>74</v>
      </c>
      <c r="P919" t="s">
        <v>74</v>
      </c>
      <c r="Q919" t="s">
        <v>74</v>
      </c>
      <c r="R919" t="s">
        <v>74</v>
      </c>
      <c r="S919" t="s">
        <v>74</v>
      </c>
      <c r="T919" t="s">
        <v>17332</v>
      </c>
      <c r="U919" t="s">
        <v>17333</v>
      </c>
      <c r="V919" t="s">
        <v>17334</v>
      </c>
      <c r="W919" t="s">
        <v>17335</v>
      </c>
      <c r="X919" t="s">
        <v>17336</v>
      </c>
      <c r="Y919" t="s">
        <v>17337</v>
      </c>
      <c r="Z919" t="s">
        <v>17338</v>
      </c>
      <c r="AA919" t="s">
        <v>74</v>
      </c>
      <c r="AB919" t="s">
        <v>17339</v>
      </c>
      <c r="AC919" t="s">
        <v>17340</v>
      </c>
      <c r="AD919" t="s">
        <v>17341</v>
      </c>
      <c r="AE919" t="s">
        <v>17342</v>
      </c>
      <c r="AF919" t="s">
        <v>74</v>
      </c>
      <c r="AG919">
        <v>64</v>
      </c>
      <c r="AH919">
        <v>1</v>
      </c>
      <c r="AI919">
        <v>1</v>
      </c>
      <c r="AJ919">
        <v>4</v>
      </c>
      <c r="AK919">
        <v>4</v>
      </c>
      <c r="AL919" t="s">
        <v>1208</v>
      </c>
      <c r="AM919" t="s">
        <v>1209</v>
      </c>
      <c r="AN919" t="s">
        <v>1210</v>
      </c>
      <c r="AO919" t="s">
        <v>1515</v>
      </c>
      <c r="AP919" t="s">
        <v>1516</v>
      </c>
      <c r="AQ919" t="s">
        <v>74</v>
      </c>
      <c r="AR919" t="s">
        <v>1517</v>
      </c>
      <c r="AS919" t="s">
        <v>1518</v>
      </c>
      <c r="AT919" t="s">
        <v>17305</v>
      </c>
      <c r="AU919">
        <v>2023</v>
      </c>
      <c r="AV919">
        <v>128</v>
      </c>
      <c r="AW919">
        <v>17</v>
      </c>
      <c r="AX919" t="s">
        <v>74</v>
      </c>
      <c r="AY919" t="s">
        <v>74</v>
      </c>
      <c r="AZ919" t="s">
        <v>74</v>
      </c>
      <c r="BA919" t="s">
        <v>74</v>
      </c>
      <c r="BB919" t="s">
        <v>74</v>
      </c>
      <c r="BC919" t="s">
        <v>74</v>
      </c>
      <c r="BD919" t="s">
        <v>17343</v>
      </c>
      <c r="BE919" t="s">
        <v>17344</v>
      </c>
      <c r="BF919" t="str">
        <f>HYPERLINK("http://dx.doi.org/10.1029/2023JD039205","http://dx.doi.org/10.1029/2023JD039205")</f>
        <v>http://dx.doi.org/10.1029/2023JD039205</v>
      </c>
      <c r="BG919" t="s">
        <v>74</v>
      </c>
      <c r="BH919" t="s">
        <v>74</v>
      </c>
      <c r="BI919">
        <v>18</v>
      </c>
      <c r="BJ919" t="s">
        <v>1522</v>
      </c>
      <c r="BK919" t="s">
        <v>100</v>
      </c>
      <c r="BL919" t="s">
        <v>1522</v>
      </c>
      <c r="BM919" t="s">
        <v>17345</v>
      </c>
      <c r="BN919" t="s">
        <v>74</v>
      </c>
      <c r="BO919" t="s">
        <v>322</v>
      </c>
      <c r="BP919" t="s">
        <v>74</v>
      </c>
      <c r="BQ919" t="s">
        <v>74</v>
      </c>
      <c r="BR919" t="s">
        <v>104</v>
      </c>
      <c r="BS919" t="s">
        <v>17346</v>
      </c>
      <c r="BT919" t="str">
        <f>HYPERLINK("https%3A%2F%2Fwww.webofscience.com%2Fwos%2Fwoscc%2Ffull-record%2FWOS:001061489000001","View Full Record in Web of Science")</f>
        <v>View Full Record in Web of Science</v>
      </c>
    </row>
    <row r="920" spans="1:72" x14ac:dyDescent="0.15">
      <c r="A920" t="s">
        <v>72</v>
      </c>
      <c r="B920" t="s">
        <v>17347</v>
      </c>
      <c r="C920" t="s">
        <v>74</v>
      </c>
      <c r="D920" t="s">
        <v>74</v>
      </c>
      <c r="E920" t="s">
        <v>74</v>
      </c>
      <c r="F920" t="s">
        <v>17348</v>
      </c>
      <c r="G920" t="s">
        <v>74</v>
      </c>
      <c r="H920" t="s">
        <v>74</v>
      </c>
      <c r="I920" t="s">
        <v>17349</v>
      </c>
      <c r="J920" t="s">
        <v>962</v>
      </c>
      <c r="K920" t="s">
        <v>74</v>
      </c>
      <c r="L920" t="s">
        <v>74</v>
      </c>
      <c r="M920" t="s">
        <v>78</v>
      </c>
      <c r="N920" t="s">
        <v>79</v>
      </c>
      <c r="O920" t="s">
        <v>74</v>
      </c>
      <c r="P920" t="s">
        <v>74</v>
      </c>
      <c r="Q920" t="s">
        <v>74</v>
      </c>
      <c r="R920" t="s">
        <v>74</v>
      </c>
      <c r="S920" t="s">
        <v>74</v>
      </c>
      <c r="T920" t="s">
        <v>17350</v>
      </c>
      <c r="U920" t="s">
        <v>17351</v>
      </c>
      <c r="V920" t="s">
        <v>17352</v>
      </c>
      <c r="W920" t="s">
        <v>17353</v>
      </c>
      <c r="X920" t="s">
        <v>17354</v>
      </c>
      <c r="Y920" t="s">
        <v>17355</v>
      </c>
      <c r="Z920" t="s">
        <v>17356</v>
      </c>
      <c r="AA920" t="s">
        <v>17357</v>
      </c>
      <c r="AB920" t="s">
        <v>17358</v>
      </c>
      <c r="AC920" t="s">
        <v>17359</v>
      </c>
      <c r="AD920" t="s">
        <v>17360</v>
      </c>
      <c r="AE920" t="s">
        <v>17361</v>
      </c>
      <c r="AF920" t="s">
        <v>74</v>
      </c>
      <c r="AG920">
        <v>97</v>
      </c>
      <c r="AH920">
        <v>0</v>
      </c>
      <c r="AI920">
        <v>0</v>
      </c>
      <c r="AJ920">
        <v>21</v>
      </c>
      <c r="AK920">
        <v>21</v>
      </c>
      <c r="AL920" t="s">
        <v>975</v>
      </c>
      <c r="AM920" t="s">
        <v>976</v>
      </c>
      <c r="AN920" t="s">
        <v>977</v>
      </c>
      <c r="AO920" t="s">
        <v>978</v>
      </c>
      <c r="AP920" t="s">
        <v>979</v>
      </c>
      <c r="AQ920" t="s">
        <v>74</v>
      </c>
      <c r="AR920" t="s">
        <v>980</v>
      </c>
      <c r="AS920" t="s">
        <v>981</v>
      </c>
      <c r="AT920" t="s">
        <v>13270</v>
      </c>
      <c r="AU920">
        <v>2023</v>
      </c>
      <c r="AV920">
        <v>318</v>
      </c>
      <c r="AW920" t="s">
        <v>74</v>
      </c>
      <c r="AX920" t="s">
        <v>74</v>
      </c>
      <c r="AY920" t="s">
        <v>74</v>
      </c>
      <c r="AZ920" t="s">
        <v>74</v>
      </c>
      <c r="BA920" t="s">
        <v>74</v>
      </c>
      <c r="BB920" t="s">
        <v>74</v>
      </c>
      <c r="BC920" t="s">
        <v>74</v>
      </c>
      <c r="BD920">
        <v>108308</v>
      </c>
      <c r="BE920" t="s">
        <v>17362</v>
      </c>
      <c r="BF920" t="str">
        <f>HYPERLINK("http://dx.doi.org/10.1016/j.quascirev.2023.108308","http://dx.doi.org/10.1016/j.quascirev.2023.108308")</f>
        <v>http://dx.doi.org/10.1016/j.quascirev.2023.108308</v>
      </c>
      <c r="BG920" t="s">
        <v>74</v>
      </c>
      <c r="BH920" t="s">
        <v>15880</v>
      </c>
      <c r="BI920">
        <v>12</v>
      </c>
      <c r="BJ920" t="s">
        <v>984</v>
      </c>
      <c r="BK920" t="s">
        <v>100</v>
      </c>
      <c r="BL920" t="s">
        <v>985</v>
      </c>
      <c r="BM920" t="s">
        <v>17363</v>
      </c>
      <c r="BN920" t="s">
        <v>74</v>
      </c>
      <c r="BO920" t="s">
        <v>74</v>
      </c>
      <c r="BP920" t="s">
        <v>74</v>
      </c>
      <c r="BQ920" t="s">
        <v>74</v>
      </c>
      <c r="BR920" t="s">
        <v>104</v>
      </c>
      <c r="BS920" t="s">
        <v>17364</v>
      </c>
      <c r="BT920" t="str">
        <f>HYPERLINK("https%3A%2F%2Fwww.webofscience.com%2Fwos%2Fwoscc%2Ffull-record%2FWOS:001082886200001","View Full Record in Web of Science")</f>
        <v>View Full Record in Web of Science</v>
      </c>
    </row>
    <row r="921" spans="1:72" x14ac:dyDescent="0.15">
      <c r="A921" t="s">
        <v>72</v>
      </c>
      <c r="B921" t="s">
        <v>17365</v>
      </c>
      <c r="C921" t="s">
        <v>74</v>
      </c>
      <c r="D921" t="s">
        <v>74</v>
      </c>
      <c r="E921" t="s">
        <v>74</v>
      </c>
      <c r="F921" t="s">
        <v>17366</v>
      </c>
      <c r="G921" t="s">
        <v>74</v>
      </c>
      <c r="H921" t="s">
        <v>74</v>
      </c>
      <c r="I921" t="s">
        <v>17367</v>
      </c>
      <c r="J921" t="s">
        <v>2518</v>
      </c>
      <c r="K921" t="s">
        <v>74</v>
      </c>
      <c r="L921" t="s">
        <v>74</v>
      </c>
      <c r="M921" t="s">
        <v>78</v>
      </c>
      <c r="N921" t="s">
        <v>79</v>
      </c>
      <c r="O921" t="s">
        <v>74</v>
      </c>
      <c r="P921" t="s">
        <v>74</v>
      </c>
      <c r="Q921" t="s">
        <v>74</v>
      </c>
      <c r="R921" t="s">
        <v>74</v>
      </c>
      <c r="S921" t="s">
        <v>74</v>
      </c>
      <c r="T921" t="s">
        <v>74</v>
      </c>
      <c r="U921" t="s">
        <v>17368</v>
      </c>
      <c r="V921" t="s">
        <v>17369</v>
      </c>
      <c r="W921" t="s">
        <v>17370</v>
      </c>
      <c r="X921" t="s">
        <v>17371</v>
      </c>
      <c r="Y921" t="s">
        <v>17372</v>
      </c>
      <c r="Z921" t="s">
        <v>17373</v>
      </c>
      <c r="AA921" t="s">
        <v>17374</v>
      </c>
      <c r="AB921" t="s">
        <v>17375</v>
      </c>
      <c r="AC921" t="s">
        <v>17376</v>
      </c>
      <c r="AD921" t="s">
        <v>17377</v>
      </c>
      <c r="AE921" t="s">
        <v>17378</v>
      </c>
      <c r="AF921" t="s">
        <v>74</v>
      </c>
      <c r="AG921">
        <v>81</v>
      </c>
      <c r="AH921">
        <v>0</v>
      </c>
      <c r="AI921">
        <v>0</v>
      </c>
      <c r="AJ921">
        <v>14</v>
      </c>
      <c r="AK921">
        <v>14</v>
      </c>
      <c r="AL921" t="s">
        <v>2529</v>
      </c>
      <c r="AM921" t="s">
        <v>2294</v>
      </c>
      <c r="AN921" t="s">
        <v>2530</v>
      </c>
      <c r="AO921" t="s">
        <v>74</v>
      </c>
      <c r="AP921" t="s">
        <v>2531</v>
      </c>
      <c r="AQ921" t="s">
        <v>74</v>
      </c>
      <c r="AR921" t="s">
        <v>2532</v>
      </c>
      <c r="AS921" t="s">
        <v>2533</v>
      </c>
      <c r="AT921" t="s">
        <v>17305</v>
      </c>
      <c r="AU921">
        <v>2023</v>
      </c>
      <c r="AV921">
        <v>4</v>
      </c>
      <c r="AW921">
        <v>1</v>
      </c>
      <c r="AX921" t="s">
        <v>74</v>
      </c>
      <c r="AY921" t="s">
        <v>74</v>
      </c>
      <c r="AZ921" t="s">
        <v>74</v>
      </c>
      <c r="BA921" t="s">
        <v>74</v>
      </c>
      <c r="BB921" t="s">
        <v>74</v>
      </c>
      <c r="BC921" t="s">
        <v>74</v>
      </c>
      <c r="BD921">
        <v>326</v>
      </c>
      <c r="BE921" t="s">
        <v>17379</v>
      </c>
      <c r="BF921" t="str">
        <f>HYPERLINK("http://dx.doi.org/10.1038/s43247-023-00990-4","http://dx.doi.org/10.1038/s43247-023-00990-4")</f>
        <v>http://dx.doi.org/10.1038/s43247-023-00990-4</v>
      </c>
      <c r="BG921" t="s">
        <v>74</v>
      </c>
      <c r="BH921" t="s">
        <v>74</v>
      </c>
      <c r="BI921">
        <v>11</v>
      </c>
      <c r="BJ921" t="s">
        <v>2535</v>
      </c>
      <c r="BK921" t="s">
        <v>100</v>
      </c>
      <c r="BL921" t="s">
        <v>2536</v>
      </c>
      <c r="BM921" t="s">
        <v>17380</v>
      </c>
      <c r="BN921" t="s">
        <v>74</v>
      </c>
      <c r="BO921" t="s">
        <v>131</v>
      </c>
      <c r="BP921" t="s">
        <v>74</v>
      </c>
      <c r="BQ921" t="s">
        <v>74</v>
      </c>
      <c r="BR921" t="s">
        <v>104</v>
      </c>
      <c r="BS921" t="s">
        <v>17381</v>
      </c>
      <c r="BT921" t="str">
        <f>HYPERLINK("https%3A%2F%2Fwww.webofscience.com%2Fwos%2Fwoscc%2Ffull-record%2FWOS:001068262700001","View Full Record in Web of Science")</f>
        <v>View Full Record in Web of Science</v>
      </c>
    </row>
    <row r="922" spans="1:72" x14ac:dyDescent="0.15">
      <c r="A922" t="s">
        <v>72</v>
      </c>
      <c r="B922" t="s">
        <v>17382</v>
      </c>
      <c r="C922" t="s">
        <v>74</v>
      </c>
      <c r="D922" t="s">
        <v>74</v>
      </c>
      <c r="E922" t="s">
        <v>74</v>
      </c>
      <c r="F922" t="s">
        <v>17383</v>
      </c>
      <c r="G922" t="s">
        <v>74</v>
      </c>
      <c r="H922" t="s">
        <v>74</v>
      </c>
      <c r="I922" t="s">
        <v>17384</v>
      </c>
      <c r="J922" t="s">
        <v>1195</v>
      </c>
      <c r="K922" t="s">
        <v>74</v>
      </c>
      <c r="L922" t="s">
        <v>74</v>
      </c>
      <c r="M922" t="s">
        <v>78</v>
      </c>
      <c r="N922" t="s">
        <v>79</v>
      </c>
      <c r="O922" t="s">
        <v>74</v>
      </c>
      <c r="P922" t="s">
        <v>74</v>
      </c>
      <c r="Q922" t="s">
        <v>74</v>
      </c>
      <c r="R922" t="s">
        <v>74</v>
      </c>
      <c r="S922" t="s">
        <v>74</v>
      </c>
      <c r="T922" t="s">
        <v>17385</v>
      </c>
      <c r="U922" t="s">
        <v>17386</v>
      </c>
      <c r="V922" t="s">
        <v>17387</v>
      </c>
      <c r="W922" t="s">
        <v>17388</v>
      </c>
      <c r="X922" t="s">
        <v>17389</v>
      </c>
      <c r="Y922" t="s">
        <v>17390</v>
      </c>
      <c r="Z922" t="s">
        <v>17391</v>
      </c>
      <c r="AA922" t="s">
        <v>17392</v>
      </c>
      <c r="AB922" t="s">
        <v>17393</v>
      </c>
      <c r="AC922" t="s">
        <v>17394</v>
      </c>
      <c r="AD922" t="s">
        <v>17395</v>
      </c>
      <c r="AE922" t="s">
        <v>17396</v>
      </c>
      <c r="AF922" t="s">
        <v>74</v>
      </c>
      <c r="AG922">
        <v>44</v>
      </c>
      <c r="AH922">
        <v>3</v>
      </c>
      <c r="AI922">
        <v>3</v>
      </c>
      <c r="AJ922">
        <v>17</v>
      </c>
      <c r="AK922">
        <v>20</v>
      </c>
      <c r="AL922" t="s">
        <v>1208</v>
      </c>
      <c r="AM922" t="s">
        <v>1209</v>
      </c>
      <c r="AN922" t="s">
        <v>1210</v>
      </c>
      <c r="AO922" t="s">
        <v>1211</v>
      </c>
      <c r="AP922" t="s">
        <v>1212</v>
      </c>
      <c r="AQ922" t="s">
        <v>74</v>
      </c>
      <c r="AR922" t="s">
        <v>1213</v>
      </c>
      <c r="AS922" t="s">
        <v>1214</v>
      </c>
      <c r="AT922" t="s">
        <v>17305</v>
      </c>
      <c r="AU922">
        <v>2023</v>
      </c>
      <c r="AV922">
        <v>50</v>
      </c>
      <c r="AW922">
        <v>17</v>
      </c>
      <c r="AX922" t="s">
        <v>74</v>
      </c>
      <c r="AY922" t="s">
        <v>74</v>
      </c>
      <c r="AZ922" t="s">
        <v>74</v>
      </c>
      <c r="BA922" t="s">
        <v>74</v>
      </c>
      <c r="BB922" t="s">
        <v>74</v>
      </c>
      <c r="BC922" t="s">
        <v>74</v>
      </c>
      <c r="BD922" t="s">
        <v>17397</v>
      </c>
      <c r="BE922" t="s">
        <v>17398</v>
      </c>
      <c r="BF922" t="str">
        <f>HYPERLINK("http://dx.doi.org/10.1029/2023GL104347","http://dx.doi.org/10.1029/2023GL104347")</f>
        <v>http://dx.doi.org/10.1029/2023GL104347</v>
      </c>
      <c r="BG922" t="s">
        <v>74</v>
      </c>
      <c r="BH922" t="s">
        <v>74</v>
      </c>
      <c r="BI922">
        <v>10</v>
      </c>
      <c r="BJ922" t="s">
        <v>535</v>
      </c>
      <c r="BK922" t="s">
        <v>100</v>
      </c>
      <c r="BL922" t="s">
        <v>536</v>
      </c>
      <c r="BM922" t="s">
        <v>17399</v>
      </c>
      <c r="BN922" t="s">
        <v>74</v>
      </c>
      <c r="BO922" t="s">
        <v>3456</v>
      </c>
      <c r="BP922" t="s">
        <v>74</v>
      </c>
      <c r="BQ922" t="s">
        <v>74</v>
      </c>
      <c r="BR922" t="s">
        <v>104</v>
      </c>
      <c r="BS922" t="s">
        <v>17400</v>
      </c>
      <c r="BT922" t="str">
        <f>HYPERLINK("https%3A%2F%2Fwww.webofscience.com%2Fwos%2Fwoscc%2Ffull-record%2FWOS:001058983400001","View Full Record in Web of Science")</f>
        <v>View Full Record in Web of Science</v>
      </c>
    </row>
    <row r="923" spans="1:72" x14ac:dyDescent="0.15">
      <c r="A923" t="s">
        <v>72</v>
      </c>
      <c r="B923" t="s">
        <v>17401</v>
      </c>
      <c r="C923" t="s">
        <v>74</v>
      </c>
      <c r="D923" t="s">
        <v>74</v>
      </c>
      <c r="E923" t="s">
        <v>74</v>
      </c>
      <c r="F923" t="s">
        <v>17402</v>
      </c>
      <c r="G923" t="s">
        <v>74</v>
      </c>
      <c r="H923" t="s">
        <v>74</v>
      </c>
      <c r="I923" t="s">
        <v>17403</v>
      </c>
      <c r="J923" t="s">
        <v>1195</v>
      </c>
      <c r="K923" t="s">
        <v>74</v>
      </c>
      <c r="L923" t="s">
        <v>74</v>
      </c>
      <c r="M923" t="s">
        <v>78</v>
      </c>
      <c r="N923" t="s">
        <v>79</v>
      </c>
      <c r="O923" t="s">
        <v>74</v>
      </c>
      <c r="P923" t="s">
        <v>74</v>
      </c>
      <c r="Q923" t="s">
        <v>74</v>
      </c>
      <c r="R923" t="s">
        <v>74</v>
      </c>
      <c r="S923" t="s">
        <v>74</v>
      </c>
      <c r="T923" t="s">
        <v>17404</v>
      </c>
      <c r="U923" t="s">
        <v>17405</v>
      </c>
      <c r="V923" t="s">
        <v>17406</v>
      </c>
      <c r="W923" t="s">
        <v>17407</v>
      </c>
      <c r="X923" t="s">
        <v>17408</v>
      </c>
      <c r="Y923" t="s">
        <v>17409</v>
      </c>
      <c r="Z923" t="s">
        <v>17410</v>
      </c>
      <c r="AA923" t="s">
        <v>17411</v>
      </c>
      <c r="AB923" t="s">
        <v>17412</v>
      </c>
      <c r="AC923" t="s">
        <v>17413</v>
      </c>
      <c r="AD923" t="s">
        <v>17414</v>
      </c>
      <c r="AE923" t="s">
        <v>17415</v>
      </c>
      <c r="AF923" t="s">
        <v>74</v>
      </c>
      <c r="AG923">
        <v>45</v>
      </c>
      <c r="AH923">
        <v>2</v>
      </c>
      <c r="AI923">
        <v>2</v>
      </c>
      <c r="AJ923">
        <v>1</v>
      </c>
      <c r="AK923">
        <v>3</v>
      </c>
      <c r="AL923" t="s">
        <v>1208</v>
      </c>
      <c r="AM923" t="s">
        <v>1209</v>
      </c>
      <c r="AN923" t="s">
        <v>1210</v>
      </c>
      <c r="AO923" t="s">
        <v>1211</v>
      </c>
      <c r="AP923" t="s">
        <v>1212</v>
      </c>
      <c r="AQ923" t="s">
        <v>74</v>
      </c>
      <c r="AR923" t="s">
        <v>1213</v>
      </c>
      <c r="AS923" t="s">
        <v>1214</v>
      </c>
      <c r="AT923" t="s">
        <v>17305</v>
      </c>
      <c r="AU923">
        <v>2023</v>
      </c>
      <c r="AV923">
        <v>50</v>
      </c>
      <c r="AW923">
        <v>17</v>
      </c>
      <c r="AX923" t="s">
        <v>74</v>
      </c>
      <c r="AY923" t="s">
        <v>74</v>
      </c>
      <c r="AZ923" t="s">
        <v>74</v>
      </c>
      <c r="BA923" t="s">
        <v>74</v>
      </c>
      <c r="BB923" t="s">
        <v>74</v>
      </c>
      <c r="BC923" t="s">
        <v>74</v>
      </c>
      <c r="BD923" t="s">
        <v>17416</v>
      </c>
      <c r="BE923" t="s">
        <v>17417</v>
      </c>
      <c r="BF923" t="str">
        <f>HYPERLINK("http://dx.doi.org/10.1029/2023GL104396","http://dx.doi.org/10.1029/2023GL104396")</f>
        <v>http://dx.doi.org/10.1029/2023GL104396</v>
      </c>
      <c r="BG923" t="s">
        <v>74</v>
      </c>
      <c r="BH923" t="s">
        <v>74</v>
      </c>
      <c r="BI923">
        <v>9</v>
      </c>
      <c r="BJ923" t="s">
        <v>535</v>
      </c>
      <c r="BK923" t="s">
        <v>100</v>
      </c>
      <c r="BL923" t="s">
        <v>536</v>
      </c>
      <c r="BM923" t="s">
        <v>17418</v>
      </c>
      <c r="BN923" t="s">
        <v>74</v>
      </c>
      <c r="BO923" t="s">
        <v>103</v>
      </c>
      <c r="BP923" t="s">
        <v>74</v>
      </c>
      <c r="BQ923" t="s">
        <v>74</v>
      </c>
      <c r="BR923" t="s">
        <v>104</v>
      </c>
      <c r="BS923" t="s">
        <v>17419</v>
      </c>
      <c r="BT923" t="str">
        <f>HYPERLINK("https%3A%2F%2Fwww.webofscience.com%2Fwos%2Fwoscc%2Ffull-record%2FWOS:001057371500001","View Full Record in Web of Science")</f>
        <v>View Full Record in Web of Science</v>
      </c>
    </row>
    <row r="924" spans="1:72" x14ac:dyDescent="0.15">
      <c r="A924" t="s">
        <v>72</v>
      </c>
      <c r="B924" t="s">
        <v>17420</v>
      </c>
      <c r="C924" t="s">
        <v>74</v>
      </c>
      <c r="D924" t="s">
        <v>74</v>
      </c>
      <c r="E924" t="s">
        <v>74</v>
      </c>
      <c r="F924" t="s">
        <v>17421</v>
      </c>
      <c r="G924" t="s">
        <v>74</v>
      </c>
      <c r="H924" t="s">
        <v>74</v>
      </c>
      <c r="I924" t="s">
        <v>17422</v>
      </c>
      <c r="J924" t="s">
        <v>1195</v>
      </c>
      <c r="K924" t="s">
        <v>74</v>
      </c>
      <c r="L924" t="s">
        <v>74</v>
      </c>
      <c r="M924" t="s">
        <v>78</v>
      </c>
      <c r="N924" t="s">
        <v>79</v>
      </c>
      <c r="O924" t="s">
        <v>74</v>
      </c>
      <c r="P924" t="s">
        <v>74</v>
      </c>
      <c r="Q924" t="s">
        <v>74</v>
      </c>
      <c r="R924" t="s">
        <v>74</v>
      </c>
      <c r="S924" t="s">
        <v>74</v>
      </c>
      <c r="T924" t="s">
        <v>17423</v>
      </c>
      <c r="U924" t="s">
        <v>17424</v>
      </c>
      <c r="V924" t="s">
        <v>17425</v>
      </c>
      <c r="W924" t="s">
        <v>17426</v>
      </c>
      <c r="X924" t="s">
        <v>17427</v>
      </c>
      <c r="Y924" t="s">
        <v>17428</v>
      </c>
      <c r="Z924" t="s">
        <v>17429</v>
      </c>
      <c r="AA924" t="s">
        <v>74</v>
      </c>
      <c r="AB924" t="s">
        <v>17430</v>
      </c>
      <c r="AC924" t="s">
        <v>17431</v>
      </c>
      <c r="AD924" t="s">
        <v>17432</v>
      </c>
      <c r="AE924" t="s">
        <v>17433</v>
      </c>
      <c r="AF924" t="s">
        <v>74</v>
      </c>
      <c r="AG924">
        <v>34</v>
      </c>
      <c r="AH924">
        <v>4</v>
      </c>
      <c r="AI924">
        <v>4</v>
      </c>
      <c r="AJ924">
        <v>10</v>
      </c>
      <c r="AK924">
        <v>13</v>
      </c>
      <c r="AL924" t="s">
        <v>1208</v>
      </c>
      <c r="AM924" t="s">
        <v>1209</v>
      </c>
      <c r="AN924" t="s">
        <v>1210</v>
      </c>
      <c r="AO924" t="s">
        <v>1211</v>
      </c>
      <c r="AP924" t="s">
        <v>1212</v>
      </c>
      <c r="AQ924" t="s">
        <v>74</v>
      </c>
      <c r="AR924" t="s">
        <v>1213</v>
      </c>
      <c r="AS924" t="s">
        <v>1214</v>
      </c>
      <c r="AT924" t="s">
        <v>17305</v>
      </c>
      <c r="AU924">
        <v>2023</v>
      </c>
      <c r="AV924">
        <v>50</v>
      </c>
      <c r="AW924">
        <v>17</v>
      </c>
      <c r="AX924" t="s">
        <v>74</v>
      </c>
      <c r="AY924" t="s">
        <v>74</v>
      </c>
      <c r="AZ924" t="s">
        <v>74</v>
      </c>
      <c r="BA924" t="s">
        <v>74</v>
      </c>
      <c r="BB924" t="s">
        <v>74</v>
      </c>
      <c r="BC924" t="s">
        <v>74</v>
      </c>
      <c r="BD924" t="s">
        <v>17434</v>
      </c>
      <c r="BE924" t="s">
        <v>17435</v>
      </c>
      <c r="BF924" t="str">
        <f>HYPERLINK("http://dx.doi.org/10.1029/2023GL104910","http://dx.doi.org/10.1029/2023GL104910")</f>
        <v>http://dx.doi.org/10.1029/2023GL104910</v>
      </c>
      <c r="BG924" t="s">
        <v>74</v>
      </c>
      <c r="BH924" t="s">
        <v>74</v>
      </c>
      <c r="BI924">
        <v>11</v>
      </c>
      <c r="BJ924" t="s">
        <v>535</v>
      </c>
      <c r="BK924" t="s">
        <v>100</v>
      </c>
      <c r="BL924" t="s">
        <v>536</v>
      </c>
      <c r="BM924" t="s">
        <v>17436</v>
      </c>
      <c r="BN924" t="s">
        <v>74</v>
      </c>
      <c r="BO924" t="s">
        <v>103</v>
      </c>
      <c r="BP924" t="s">
        <v>74</v>
      </c>
      <c r="BQ924" t="s">
        <v>74</v>
      </c>
      <c r="BR924" t="s">
        <v>104</v>
      </c>
      <c r="BS924" t="s">
        <v>17437</v>
      </c>
      <c r="BT924" t="str">
        <f>HYPERLINK("https%3A%2F%2Fwww.webofscience.com%2Fwos%2Fwoscc%2Ffull-record%2FWOS:001058902300001","View Full Record in Web of Science")</f>
        <v>View Full Record in Web of Science</v>
      </c>
    </row>
    <row r="925" spans="1:72" x14ac:dyDescent="0.15">
      <c r="A925" t="s">
        <v>72</v>
      </c>
      <c r="B925" t="s">
        <v>17438</v>
      </c>
      <c r="C925" t="s">
        <v>74</v>
      </c>
      <c r="D925" t="s">
        <v>74</v>
      </c>
      <c r="E925" t="s">
        <v>74</v>
      </c>
      <c r="F925" t="s">
        <v>17439</v>
      </c>
      <c r="G925" t="s">
        <v>74</v>
      </c>
      <c r="H925" t="s">
        <v>74</v>
      </c>
      <c r="I925" t="s">
        <v>17440</v>
      </c>
      <c r="J925" t="s">
        <v>1195</v>
      </c>
      <c r="K925" t="s">
        <v>74</v>
      </c>
      <c r="L925" t="s">
        <v>74</v>
      </c>
      <c r="M925" t="s">
        <v>78</v>
      </c>
      <c r="N925" t="s">
        <v>79</v>
      </c>
      <c r="O925" t="s">
        <v>74</v>
      </c>
      <c r="P925" t="s">
        <v>74</v>
      </c>
      <c r="Q925" t="s">
        <v>74</v>
      </c>
      <c r="R925" t="s">
        <v>74</v>
      </c>
      <c r="S925" t="s">
        <v>74</v>
      </c>
      <c r="T925" t="s">
        <v>17441</v>
      </c>
      <c r="U925" t="s">
        <v>17442</v>
      </c>
      <c r="V925" t="s">
        <v>17443</v>
      </c>
      <c r="W925" t="s">
        <v>17444</v>
      </c>
      <c r="X925" t="s">
        <v>17445</v>
      </c>
      <c r="Y925" t="s">
        <v>17446</v>
      </c>
      <c r="Z925" t="s">
        <v>17447</v>
      </c>
      <c r="AA925" t="s">
        <v>17448</v>
      </c>
      <c r="AB925" t="s">
        <v>17449</v>
      </c>
      <c r="AC925" t="s">
        <v>17450</v>
      </c>
      <c r="AD925" t="s">
        <v>17451</v>
      </c>
      <c r="AE925" t="s">
        <v>17452</v>
      </c>
      <c r="AF925" t="s">
        <v>74</v>
      </c>
      <c r="AG925">
        <v>52</v>
      </c>
      <c r="AH925">
        <v>2</v>
      </c>
      <c r="AI925">
        <v>2</v>
      </c>
      <c r="AJ925">
        <v>4</v>
      </c>
      <c r="AK925">
        <v>7</v>
      </c>
      <c r="AL925" t="s">
        <v>1208</v>
      </c>
      <c r="AM925" t="s">
        <v>1209</v>
      </c>
      <c r="AN925" t="s">
        <v>1210</v>
      </c>
      <c r="AO925" t="s">
        <v>1211</v>
      </c>
      <c r="AP925" t="s">
        <v>1212</v>
      </c>
      <c r="AQ925" t="s">
        <v>74</v>
      </c>
      <c r="AR925" t="s">
        <v>1213</v>
      </c>
      <c r="AS925" t="s">
        <v>1214</v>
      </c>
      <c r="AT925" t="s">
        <v>17305</v>
      </c>
      <c r="AU925">
        <v>2023</v>
      </c>
      <c r="AV925">
        <v>50</v>
      </c>
      <c r="AW925">
        <v>17</v>
      </c>
      <c r="AX925" t="s">
        <v>74</v>
      </c>
      <c r="AY925" t="s">
        <v>74</v>
      </c>
      <c r="AZ925" t="s">
        <v>74</v>
      </c>
      <c r="BA925" t="s">
        <v>74</v>
      </c>
      <c r="BB925" t="s">
        <v>74</v>
      </c>
      <c r="BC925" t="s">
        <v>74</v>
      </c>
      <c r="BD925" t="s">
        <v>17453</v>
      </c>
      <c r="BE925" t="s">
        <v>17454</v>
      </c>
      <c r="BF925" t="str">
        <f>HYPERLINK("http://dx.doi.org/10.1029/2023GL104924","http://dx.doi.org/10.1029/2023GL104924")</f>
        <v>http://dx.doi.org/10.1029/2023GL104924</v>
      </c>
      <c r="BG925" t="s">
        <v>74</v>
      </c>
      <c r="BH925" t="s">
        <v>74</v>
      </c>
      <c r="BI925">
        <v>11</v>
      </c>
      <c r="BJ925" t="s">
        <v>535</v>
      </c>
      <c r="BK925" t="s">
        <v>100</v>
      </c>
      <c r="BL925" t="s">
        <v>536</v>
      </c>
      <c r="BM925" t="s">
        <v>17455</v>
      </c>
      <c r="BN925" t="s">
        <v>74</v>
      </c>
      <c r="BO925" t="s">
        <v>103</v>
      </c>
      <c r="BP925" t="s">
        <v>74</v>
      </c>
      <c r="BQ925" t="s">
        <v>74</v>
      </c>
      <c r="BR925" t="s">
        <v>104</v>
      </c>
      <c r="BS925" t="s">
        <v>17456</v>
      </c>
      <c r="BT925" t="str">
        <f>HYPERLINK("https%3A%2F%2Fwww.webofscience.com%2Fwos%2Fwoscc%2Ffull-record%2FWOS:001057423100001","View Full Record in Web of Science")</f>
        <v>View Full Record in Web of Science</v>
      </c>
    </row>
    <row r="926" spans="1:72" x14ac:dyDescent="0.15">
      <c r="A926" t="s">
        <v>72</v>
      </c>
      <c r="B926" t="s">
        <v>17457</v>
      </c>
      <c r="C926" t="s">
        <v>74</v>
      </c>
      <c r="D926" t="s">
        <v>74</v>
      </c>
      <c r="E926" t="s">
        <v>74</v>
      </c>
      <c r="F926" t="s">
        <v>17458</v>
      </c>
      <c r="G926" t="s">
        <v>74</v>
      </c>
      <c r="H926" t="s">
        <v>74</v>
      </c>
      <c r="I926" t="s">
        <v>17459</v>
      </c>
      <c r="J926" t="s">
        <v>4805</v>
      </c>
      <c r="K926" t="s">
        <v>74</v>
      </c>
      <c r="L926" t="s">
        <v>74</v>
      </c>
      <c r="M926" t="s">
        <v>78</v>
      </c>
      <c r="N926" t="s">
        <v>79</v>
      </c>
      <c r="O926" t="s">
        <v>74</v>
      </c>
      <c r="P926" t="s">
        <v>74</v>
      </c>
      <c r="Q926" t="s">
        <v>74</v>
      </c>
      <c r="R926" t="s">
        <v>74</v>
      </c>
      <c r="S926" t="s">
        <v>74</v>
      </c>
      <c r="T926" t="s">
        <v>17460</v>
      </c>
      <c r="U926" t="s">
        <v>17461</v>
      </c>
      <c r="V926" t="s">
        <v>17462</v>
      </c>
      <c r="W926" t="s">
        <v>17463</v>
      </c>
      <c r="X926" t="s">
        <v>17464</v>
      </c>
      <c r="Y926" t="s">
        <v>17465</v>
      </c>
      <c r="Z926" t="s">
        <v>17466</v>
      </c>
      <c r="AA926" t="s">
        <v>17467</v>
      </c>
      <c r="AB926" t="s">
        <v>17468</v>
      </c>
      <c r="AC926" t="s">
        <v>17469</v>
      </c>
      <c r="AD926" t="s">
        <v>17470</v>
      </c>
      <c r="AE926" t="s">
        <v>17471</v>
      </c>
      <c r="AF926" t="s">
        <v>74</v>
      </c>
      <c r="AG926">
        <v>74</v>
      </c>
      <c r="AH926">
        <v>6</v>
      </c>
      <c r="AI926">
        <v>6</v>
      </c>
      <c r="AJ926">
        <v>5</v>
      </c>
      <c r="AK926">
        <v>23</v>
      </c>
      <c r="AL926" t="s">
        <v>1560</v>
      </c>
      <c r="AM926" t="s">
        <v>976</v>
      </c>
      <c r="AN926" t="s">
        <v>1561</v>
      </c>
      <c r="AO926" t="s">
        <v>4818</v>
      </c>
      <c r="AP926" t="s">
        <v>4819</v>
      </c>
      <c r="AQ926" t="s">
        <v>74</v>
      </c>
      <c r="AR926" t="s">
        <v>4820</v>
      </c>
      <c r="AS926" t="s">
        <v>4821</v>
      </c>
      <c r="AT926" t="s">
        <v>17305</v>
      </c>
      <c r="AU926">
        <v>2023</v>
      </c>
      <c r="AV926">
        <v>232</v>
      </c>
      <c r="AW926">
        <v>1</v>
      </c>
      <c r="AX926" t="s">
        <v>74</v>
      </c>
      <c r="AY926" t="s">
        <v>74</v>
      </c>
      <c r="AZ926" t="s">
        <v>74</v>
      </c>
      <c r="BA926" t="s">
        <v>74</v>
      </c>
      <c r="BB926">
        <v>162</v>
      </c>
      <c r="BC926">
        <v>175</v>
      </c>
      <c r="BD926" t="s">
        <v>74</v>
      </c>
      <c r="BE926" t="s">
        <v>17472</v>
      </c>
      <c r="BF926" t="str">
        <f>HYPERLINK("http://dx.doi.org/10.1093/gji/ggac334","http://dx.doi.org/10.1093/gji/ggac334")</f>
        <v>http://dx.doi.org/10.1093/gji/ggac334</v>
      </c>
      <c r="BG926" t="s">
        <v>74</v>
      </c>
      <c r="BH926" t="s">
        <v>74</v>
      </c>
      <c r="BI926">
        <v>14</v>
      </c>
      <c r="BJ926" t="s">
        <v>4252</v>
      </c>
      <c r="BK926" t="s">
        <v>100</v>
      </c>
      <c r="BL926" t="s">
        <v>4252</v>
      </c>
      <c r="BM926" t="s">
        <v>17473</v>
      </c>
      <c r="BN926" t="s">
        <v>74</v>
      </c>
      <c r="BO926" t="s">
        <v>103</v>
      </c>
      <c r="BP926" t="s">
        <v>74</v>
      </c>
      <c r="BQ926" t="s">
        <v>74</v>
      </c>
      <c r="BR926" t="s">
        <v>104</v>
      </c>
      <c r="BS926" t="s">
        <v>17474</v>
      </c>
      <c r="BT926" t="str">
        <f>HYPERLINK("https%3A%2F%2Fwww.webofscience.com%2Fwos%2Fwoscc%2Ffull-record%2FWOS:000855482200003","View Full Record in Web of Science")</f>
        <v>View Full Record in Web of Science</v>
      </c>
    </row>
    <row r="927" spans="1:72" x14ac:dyDescent="0.15">
      <c r="A927" t="s">
        <v>72</v>
      </c>
      <c r="B927" t="s">
        <v>17475</v>
      </c>
      <c r="C927" t="s">
        <v>74</v>
      </c>
      <c r="D927" t="s">
        <v>74</v>
      </c>
      <c r="E927" t="s">
        <v>74</v>
      </c>
      <c r="F927" t="s">
        <v>17476</v>
      </c>
      <c r="G927" t="s">
        <v>74</v>
      </c>
      <c r="H927" t="s">
        <v>74</v>
      </c>
      <c r="I927" t="s">
        <v>17477</v>
      </c>
      <c r="J927" t="s">
        <v>9964</v>
      </c>
      <c r="K927" t="s">
        <v>74</v>
      </c>
      <c r="L927" t="s">
        <v>74</v>
      </c>
      <c r="M927" t="s">
        <v>78</v>
      </c>
      <c r="N927" t="s">
        <v>79</v>
      </c>
      <c r="O927" t="s">
        <v>74</v>
      </c>
      <c r="P927" t="s">
        <v>74</v>
      </c>
      <c r="Q927" t="s">
        <v>74</v>
      </c>
      <c r="R927" t="s">
        <v>74</v>
      </c>
      <c r="S927" t="s">
        <v>74</v>
      </c>
      <c r="T927" t="s">
        <v>74</v>
      </c>
      <c r="U927" t="s">
        <v>17478</v>
      </c>
      <c r="V927" t="s">
        <v>17479</v>
      </c>
      <c r="W927" t="s">
        <v>17480</v>
      </c>
      <c r="X927" t="s">
        <v>17481</v>
      </c>
      <c r="Y927" t="s">
        <v>17482</v>
      </c>
      <c r="Z927" t="s">
        <v>17483</v>
      </c>
      <c r="AA927" t="s">
        <v>17484</v>
      </c>
      <c r="AB927" t="s">
        <v>17485</v>
      </c>
      <c r="AC927" t="s">
        <v>7593</v>
      </c>
      <c r="AD927" t="s">
        <v>7593</v>
      </c>
      <c r="AE927" t="s">
        <v>17486</v>
      </c>
      <c r="AF927" t="s">
        <v>74</v>
      </c>
      <c r="AG927">
        <v>50</v>
      </c>
      <c r="AH927">
        <v>0</v>
      </c>
      <c r="AI927">
        <v>0</v>
      </c>
      <c r="AJ927">
        <v>30</v>
      </c>
      <c r="AK927">
        <v>30</v>
      </c>
      <c r="AL927" t="s">
        <v>1838</v>
      </c>
      <c r="AM927" t="s">
        <v>1839</v>
      </c>
      <c r="AN927" t="s">
        <v>1840</v>
      </c>
      <c r="AO927" t="s">
        <v>9976</v>
      </c>
      <c r="AP927" t="s">
        <v>9977</v>
      </c>
      <c r="AQ927" t="s">
        <v>74</v>
      </c>
      <c r="AR927" t="s">
        <v>9964</v>
      </c>
      <c r="AS927" t="s">
        <v>9978</v>
      </c>
      <c r="AT927" t="s">
        <v>17487</v>
      </c>
      <c r="AU927">
        <v>2023</v>
      </c>
      <c r="AV927">
        <v>20</v>
      </c>
      <c r="AW927">
        <v>18</v>
      </c>
      <c r="AX927" t="s">
        <v>74</v>
      </c>
      <c r="AY927" t="s">
        <v>74</v>
      </c>
      <c r="AZ927" t="s">
        <v>74</v>
      </c>
      <c r="BA927" t="s">
        <v>74</v>
      </c>
      <c r="BB927">
        <v>3737</v>
      </c>
      <c r="BC927">
        <v>3749</v>
      </c>
      <c r="BD927" t="s">
        <v>74</v>
      </c>
      <c r="BE927" t="s">
        <v>17488</v>
      </c>
      <c r="BF927" t="str">
        <f>HYPERLINK("http://dx.doi.org/10.5194/bg-20-3737-2023","http://dx.doi.org/10.5194/bg-20-3737-2023")</f>
        <v>http://dx.doi.org/10.5194/bg-20-3737-2023</v>
      </c>
      <c r="BG927" t="s">
        <v>74</v>
      </c>
      <c r="BH927" t="s">
        <v>74</v>
      </c>
      <c r="BI927">
        <v>13</v>
      </c>
      <c r="BJ927" t="s">
        <v>1949</v>
      </c>
      <c r="BK927" t="s">
        <v>100</v>
      </c>
      <c r="BL927" t="s">
        <v>1950</v>
      </c>
      <c r="BM927" t="s">
        <v>17489</v>
      </c>
      <c r="BN927" t="s">
        <v>74</v>
      </c>
      <c r="BO927" t="s">
        <v>183</v>
      </c>
      <c r="BP927" t="s">
        <v>74</v>
      </c>
      <c r="BQ927" t="s">
        <v>74</v>
      </c>
      <c r="BR927" t="s">
        <v>104</v>
      </c>
      <c r="BS927" t="s">
        <v>17490</v>
      </c>
      <c r="BT927" t="str">
        <f>HYPERLINK("https%3A%2F%2Fwww.webofscience.com%2Fwos%2Fwoscc%2Ffull-record%2FWOS:001162347100001","View Full Record in Web of Science")</f>
        <v>View Full Record in Web of Science</v>
      </c>
    </row>
    <row r="928" spans="1:72" x14ac:dyDescent="0.15">
      <c r="A928" t="s">
        <v>72</v>
      </c>
      <c r="B928" t="s">
        <v>17491</v>
      </c>
      <c r="C928" t="s">
        <v>74</v>
      </c>
      <c r="D928" t="s">
        <v>74</v>
      </c>
      <c r="E928" t="s">
        <v>74</v>
      </c>
      <c r="F928" t="s">
        <v>17492</v>
      </c>
      <c r="G928" t="s">
        <v>74</v>
      </c>
      <c r="H928" t="s">
        <v>74</v>
      </c>
      <c r="I928" t="s">
        <v>17493</v>
      </c>
      <c r="J928" t="s">
        <v>1698</v>
      </c>
      <c r="K928" t="s">
        <v>74</v>
      </c>
      <c r="L928" t="s">
        <v>74</v>
      </c>
      <c r="M928" t="s">
        <v>78</v>
      </c>
      <c r="N928" t="s">
        <v>920</v>
      </c>
      <c r="O928" t="s">
        <v>74</v>
      </c>
      <c r="P928" t="s">
        <v>74</v>
      </c>
      <c r="Q928" t="s">
        <v>74</v>
      </c>
      <c r="R928" t="s">
        <v>74</v>
      </c>
      <c r="S928" t="s">
        <v>74</v>
      </c>
      <c r="T928" t="s">
        <v>74</v>
      </c>
      <c r="U928" t="s">
        <v>74</v>
      </c>
      <c r="V928" t="s">
        <v>74</v>
      </c>
      <c r="W928" t="s">
        <v>74</v>
      </c>
      <c r="X928" t="s">
        <v>74</v>
      </c>
      <c r="Y928" t="s">
        <v>74</v>
      </c>
      <c r="Z928" t="s">
        <v>74</v>
      </c>
      <c r="AA928" t="s">
        <v>74</v>
      </c>
      <c r="AB928" t="s">
        <v>74</v>
      </c>
      <c r="AC928" t="s">
        <v>74</v>
      </c>
      <c r="AD928" t="s">
        <v>74</v>
      </c>
      <c r="AE928" t="s">
        <v>74</v>
      </c>
      <c r="AF928" t="s">
        <v>74</v>
      </c>
      <c r="AG928">
        <v>0</v>
      </c>
      <c r="AH928">
        <v>0</v>
      </c>
      <c r="AI928">
        <v>0</v>
      </c>
      <c r="AJ928">
        <v>0</v>
      </c>
      <c r="AK928">
        <v>1</v>
      </c>
      <c r="AL928" t="s">
        <v>1710</v>
      </c>
      <c r="AM928" t="s">
        <v>1209</v>
      </c>
      <c r="AN928" t="s">
        <v>1711</v>
      </c>
      <c r="AO928" t="s">
        <v>1712</v>
      </c>
      <c r="AP928" t="s">
        <v>1713</v>
      </c>
      <c r="AQ928" t="s">
        <v>74</v>
      </c>
      <c r="AR928" t="s">
        <v>1698</v>
      </c>
      <c r="AS928" t="s">
        <v>1714</v>
      </c>
      <c r="AT928" t="s">
        <v>17487</v>
      </c>
      <c r="AU928">
        <v>2023</v>
      </c>
      <c r="AV928">
        <v>381</v>
      </c>
      <c r="AW928">
        <v>6663</v>
      </c>
      <c r="AX928" t="s">
        <v>74</v>
      </c>
      <c r="AY928" t="s">
        <v>74</v>
      </c>
      <c r="AZ928" t="s">
        <v>74</v>
      </c>
      <c r="BA928" t="s">
        <v>74</v>
      </c>
      <c r="BB928">
        <v>1148</v>
      </c>
      <c r="BC928">
        <v>1151</v>
      </c>
      <c r="BD928" t="s">
        <v>74</v>
      </c>
      <c r="BE928" t="s">
        <v>74</v>
      </c>
      <c r="BF928" t="s">
        <v>74</v>
      </c>
      <c r="BG928" t="s">
        <v>74</v>
      </c>
      <c r="BH928" t="s">
        <v>74</v>
      </c>
      <c r="BI928">
        <v>4</v>
      </c>
      <c r="BJ928" t="s">
        <v>1035</v>
      </c>
      <c r="BK928" t="s">
        <v>100</v>
      </c>
      <c r="BL928" t="s">
        <v>1036</v>
      </c>
      <c r="BM928" t="s">
        <v>17494</v>
      </c>
      <c r="BN928">
        <v>37708261</v>
      </c>
      <c r="BO928" t="s">
        <v>74</v>
      </c>
      <c r="BP928" t="s">
        <v>74</v>
      </c>
      <c r="BQ928" t="s">
        <v>74</v>
      </c>
      <c r="BR928" t="s">
        <v>104</v>
      </c>
      <c r="BS928" t="s">
        <v>17495</v>
      </c>
      <c r="BT928" t="str">
        <f>HYPERLINK("https%3A%2F%2Fwww.webofscience.com%2Fwos%2Fwoscc%2Ffull-record%2FWOS:001100649500018","View Full Record in Web of Science")</f>
        <v>View Full Record in Web of Science</v>
      </c>
    </row>
    <row r="929" spans="1:72" x14ac:dyDescent="0.15">
      <c r="A929" t="s">
        <v>72</v>
      </c>
      <c r="B929" t="s">
        <v>17496</v>
      </c>
      <c r="C929" t="s">
        <v>74</v>
      </c>
      <c r="D929" t="s">
        <v>74</v>
      </c>
      <c r="E929" t="s">
        <v>74</v>
      </c>
      <c r="F929" t="s">
        <v>17497</v>
      </c>
      <c r="G929" t="s">
        <v>74</v>
      </c>
      <c r="H929" t="s">
        <v>74</v>
      </c>
      <c r="I929" t="s">
        <v>17498</v>
      </c>
      <c r="J929" t="s">
        <v>4484</v>
      </c>
      <c r="K929" t="s">
        <v>74</v>
      </c>
      <c r="L929" t="s">
        <v>74</v>
      </c>
      <c r="M929" t="s">
        <v>78</v>
      </c>
      <c r="N929" t="s">
        <v>1547</v>
      </c>
      <c r="O929" t="s">
        <v>74</v>
      </c>
      <c r="P929" t="s">
        <v>74</v>
      </c>
      <c r="Q929" t="s">
        <v>74</v>
      </c>
      <c r="R929" t="s">
        <v>74</v>
      </c>
      <c r="S929" t="s">
        <v>74</v>
      </c>
      <c r="T929" t="s">
        <v>17499</v>
      </c>
      <c r="U929" t="s">
        <v>17500</v>
      </c>
      <c r="V929" t="s">
        <v>17501</v>
      </c>
      <c r="W929" t="s">
        <v>17502</v>
      </c>
      <c r="X929" t="s">
        <v>17503</v>
      </c>
      <c r="Y929" t="s">
        <v>17504</v>
      </c>
      <c r="Z929" t="s">
        <v>17505</v>
      </c>
      <c r="AA929" t="s">
        <v>17506</v>
      </c>
      <c r="AB929" t="s">
        <v>17507</v>
      </c>
      <c r="AC929" t="s">
        <v>17508</v>
      </c>
      <c r="AD929" t="s">
        <v>17509</v>
      </c>
      <c r="AE929" t="s">
        <v>17510</v>
      </c>
      <c r="AF929" t="s">
        <v>74</v>
      </c>
      <c r="AG929">
        <v>51</v>
      </c>
      <c r="AH929">
        <v>1</v>
      </c>
      <c r="AI929">
        <v>1</v>
      </c>
      <c r="AJ929">
        <v>7</v>
      </c>
      <c r="AK929">
        <v>7</v>
      </c>
      <c r="AL929" t="s">
        <v>1782</v>
      </c>
      <c r="AM929" t="s">
        <v>1783</v>
      </c>
      <c r="AN929" t="s">
        <v>1784</v>
      </c>
      <c r="AO929" t="s">
        <v>4497</v>
      </c>
      <c r="AP929" t="s">
        <v>4498</v>
      </c>
      <c r="AQ929" t="s">
        <v>74</v>
      </c>
      <c r="AR929" t="s">
        <v>4499</v>
      </c>
      <c r="AS929" t="s">
        <v>4500</v>
      </c>
      <c r="AT929" t="s">
        <v>17511</v>
      </c>
      <c r="AU929">
        <v>2023</v>
      </c>
      <c r="AV929" t="s">
        <v>74</v>
      </c>
      <c r="AW929" t="s">
        <v>74</v>
      </c>
      <c r="AX929" t="s">
        <v>74</v>
      </c>
      <c r="AY929" t="s">
        <v>74</v>
      </c>
      <c r="AZ929" t="s">
        <v>74</v>
      </c>
      <c r="BA929" t="s">
        <v>74</v>
      </c>
      <c r="BB929" t="s">
        <v>74</v>
      </c>
      <c r="BC929" t="s">
        <v>74</v>
      </c>
      <c r="BD929" t="s">
        <v>74</v>
      </c>
      <c r="BE929" t="s">
        <v>17512</v>
      </c>
      <c r="BF929" t="str">
        <f>HYPERLINK("http://dx.doi.org/10.1017/aog.2023.48","http://dx.doi.org/10.1017/aog.2023.48")</f>
        <v>http://dx.doi.org/10.1017/aog.2023.48</v>
      </c>
      <c r="BG929" t="s">
        <v>74</v>
      </c>
      <c r="BH929" t="s">
        <v>15880</v>
      </c>
      <c r="BI929">
        <v>11</v>
      </c>
      <c r="BJ929" t="s">
        <v>984</v>
      </c>
      <c r="BK929" t="s">
        <v>100</v>
      </c>
      <c r="BL929" t="s">
        <v>985</v>
      </c>
      <c r="BM929" t="s">
        <v>17513</v>
      </c>
      <c r="BN929" t="s">
        <v>74</v>
      </c>
      <c r="BO929" t="s">
        <v>131</v>
      </c>
      <c r="BP929" t="s">
        <v>74</v>
      </c>
      <c r="BQ929" t="s">
        <v>74</v>
      </c>
      <c r="BR929" t="s">
        <v>104</v>
      </c>
      <c r="BS929" t="s">
        <v>17514</v>
      </c>
      <c r="BT929" t="str">
        <f>HYPERLINK("https%3A%2F%2Fwww.webofscience.com%2Fwos%2Fwoscc%2Ffull-record%2FWOS:001095177900001","View Full Record in Web of Science")</f>
        <v>View Full Record in Web of Science</v>
      </c>
    </row>
    <row r="930" spans="1:72" x14ac:dyDescent="0.15">
      <c r="A930" t="s">
        <v>72</v>
      </c>
      <c r="B930" t="s">
        <v>17515</v>
      </c>
      <c r="C930" t="s">
        <v>74</v>
      </c>
      <c r="D930" t="s">
        <v>74</v>
      </c>
      <c r="E930" t="s">
        <v>74</v>
      </c>
      <c r="F930" t="s">
        <v>17516</v>
      </c>
      <c r="G930" t="s">
        <v>74</v>
      </c>
      <c r="H930" t="s">
        <v>74</v>
      </c>
      <c r="I930" t="s">
        <v>17517</v>
      </c>
      <c r="J930" t="s">
        <v>17518</v>
      </c>
      <c r="K930" t="s">
        <v>74</v>
      </c>
      <c r="L930" t="s">
        <v>74</v>
      </c>
      <c r="M930" t="s">
        <v>78</v>
      </c>
      <c r="N930" t="s">
        <v>920</v>
      </c>
      <c r="O930" t="s">
        <v>74</v>
      </c>
      <c r="P930" t="s">
        <v>74</v>
      </c>
      <c r="Q930" t="s">
        <v>74</v>
      </c>
      <c r="R930" t="s">
        <v>74</v>
      </c>
      <c r="S930" t="s">
        <v>74</v>
      </c>
      <c r="T930" t="s">
        <v>17519</v>
      </c>
      <c r="U930" t="s">
        <v>17520</v>
      </c>
      <c r="V930" t="s">
        <v>17521</v>
      </c>
      <c r="W930" t="s">
        <v>17522</v>
      </c>
      <c r="X930" t="s">
        <v>17523</v>
      </c>
      <c r="Y930" t="s">
        <v>17524</v>
      </c>
      <c r="Z930" t="s">
        <v>17525</v>
      </c>
      <c r="AA930" t="s">
        <v>17526</v>
      </c>
      <c r="AB930" t="s">
        <v>17527</v>
      </c>
      <c r="AC930" t="s">
        <v>17528</v>
      </c>
      <c r="AD930" t="s">
        <v>17529</v>
      </c>
      <c r="AE930" t="s">
        <v>17530</v>
      </c>
      <c r="AF930" t="s">
        <v>74</v>
      </c>
      <c r="AG930">
        <v>117</v>
      </c>
      <c r="AH930">
        <v>1</v>
      </c>
      <c r="AI930">
        <v>1</v>
      </c>
      <c r="AJ930">
        <v>15</v>
      </c>
      <c r="AK930">
        <v>15</v>
      </c>
      <c r="AL930" t="s">
        <v>830</v>
      </c>
      <c r="AM930" t="s">
        <v>831</v>
      </c>
      <c r="AN930" t="s">
        <v>832</v>
      </c>
      <c r="AO930" t="s">
        <v>17531</v>
      </c>
      <c r="AP930" t="s">
        <v>17532</v>
      </c>
      <c r="AQ930" t="s">
        <v>74</v>
      </c>
      <c r="AR930" t="s">
        <v>17533</v>
      </c>
      <c r="AS930" t="s">
        <v>17534</v>
      </c>
      <c r="AT930" t="s">
        <v>1056</v>
      </c>
      <c r="AU930">
        <v>2024</v>
      </c>
      <c r="AV930">
        <v>32</v>
      </c>
      <c r="AW930">
        <v>1</v>
      </c>
      <c r="AX930" t="s">
        <v>74</v>
      </c>
      <c r="AY930" t="s">
        <v>74</v>
      </c>
      <c r="AZ930" t="s">
        <v>74</v>
      </c>
      <c r="BA930" t="s">
        <v>74</v>
      </c>
      <c r="BB930">
        <v>152</v>
      </c>
      <c r="BC930">
        <v>170</v>
      </c>
      <c r="BD930" t="s">
        <v>74</v>
      </c>
      <c r="BE930" t="s">
        <v>17535</v>
      </c>
      <c r="BF930" t="str">
        <f>HYPERLINK("http://dx.doi.org/10.1080/23308249.2023.2260489","http://dx.doi.org/10.1080/23308249.2023.2260489")</f>
        <v>http://dx.doi.org/10.1080/23308249.2023.2260489</v>
      </c>
      <c r="BG930" t="s">
        <v>74</v>
      </c>
      <c r="BH930" t="s">
        <v>15880</v>
      </c>
      <c r="BI930">
        <v>19</v>
      </c>
      <c r="BJ930" t="s">
        <v>3362</v>
      </c>
      <c r="BK930" t="s">
        <v>100</v>
      </c>
      <c r="BL930" t="s">
        <v>3362</v>
      </c>
      <c r="BM930" t="s">
        <v>17536</v>
      </c>
      <c r="BN930" t="s">
        <v>74</v>
      </c>
      <c r="BO930" t="s">
        <v>74</v>
      </c>
      <c r="BP930" t="s">
        <v>74</v>
      </c>
      <c r="BQ930" t="s">
        <v>74</v>
      </c>
      <c r="BR930" t="s">
        <v>104</v>
      </c>
      <c r="BS930" t="s">
        <v>17537</v>
      </c>
      <c r="BT930" t="str">
        <f>HYPERLINK("https%3A%2F%2Fwww.webofscience.com%2Fwos%2Fwoscc%2Ffull-record%2FWOS:001086613600001","View Full Record in Web of Science")</f>
        <v>View Full Record in Web of Science</v>
      </c>
    </row>
    <row r="931" spans="1:72" x14ac:dyDescent="0.15">
      <c r="A931" t="s">
        <v>72</v>
      </c>
      <c r="B931" t="s">
        <v>17538</v>
      </c>
      <c r="C931" t="s">
        <v>74</v>
      </c>
      <c r="D931" t="s">
        <v>74</v>
      </c>
      <c r="E931" t="s">
        <v>74</v>
      </c>
      <c r="F931" t="s">
        <v>17539</v>
      </c>
      <c r="G931" t="s">
        <v>74</v>
      </c>
      <c r="H931" t="s">
        <v>74</v>
      </c>
      <c r="I931" t="s">
        <v>17540</v>
      </c>
      <c r="J931" t="s">
        <v>8521</v>
      </c>
      <c r="K931" t="s">
        <v>74</v>
      </c>
      <c r="L931" t="s">
        <v>74</v>
      </c>
      <c r="M931" t="s">
        <v>78</v>
      </c>
      <c r="N931" t="s">
        <v>79</v>
      </c>
      <c r="O931" t="s">
        <v>74</v>
      </c>
      <c r="P931" t="s">
        <v>74</v>
      </c>
      <c r="Q931" t="s">
        <v>74</v>
      </c>
      <c r="R931" t="s">
        <v>74</v>
      </c>
      <c r="S931" t="s">
        <v>74</v>
      </c>
      <c r="T931" t="s">
        <v>17541</v>
      </c>
      <c r="U931" t="s">
        <v>17542</v>
      </c>
      <c r="V931" t="s">
        <v>17543</v>
      </c>
      <c r="W931" t="s">
        <v>17544</v>
      </c>
      <c r="X931" t="s">
        <v>17545</v>
      </c>
      <c r="Y931" t="s">
        <v>17546</v>
      </c>
      <c r="Z931" t="s">
        <v>17547</v>
      </c>
      <c r="AA931" t="s">
        <v>74</v>
      </c>
      <c r="AB931" t="s">
        <v>17548</v>
      </c>
      <c r="AC931" t="s">
        <v>17549</v>
      </c>
      <c r="AD931" t="s">
        <v>17550</v>
      </c>
      <c r="AE931" t="s">
        <v>17551</v>
      </c>
      <c r="AF931" t="s">
        <v>74</v>
      </c>
      <c r="AG931">
        <v>240</v>
      </c>
      <c r="AH931">
        <v>0</v>
      </c>
      <c r="AI931">
        <v>0</v>
      </c>
      <c r="AJ931">
        <v>7</v>
      </c>
      <c r="AK931">
        <v>7</v>
      </c>
      <c r="AL931" t="s">
        <v>975</v>
      </c>
      <c r="AM931" t="s">
        <v>976</v>
      </c>
      <c r="AN931" t="s">
        <v>977</v>
      </c>
      <c r="AO931" t="s">
        <v>8533</v>
      </c>
      <c r="AP931" t="s">
        <v>8534</v>
      </c>
      <c r="AQ931" t="s">
        <v>74</v>
      </c>
      <c r="AR931" t="s">
        <v>8535</v>
      </c>
      <c r="AS931" t="s">
        <v>8536</v>
      </c>
      <c r="AT931" t="s">
        <v>1947</v>
      </c>
      <c r="AU931">
        <v>2023</v>
      </c>
      <c r="AV931">
        <v>311</v>
      </c>
      <c r="AW931" t="s">
        <v>74</v>
      </c>
      <c r="AX931" t="s">
        <v>74</v>
      </c>
      <c r="AY931" t="s">
        <v>74</v>
      </c>
      <c r="AZ931" t="s">
        <v>74</v>
      </c>
      <c r="BA931" t="s">
        <v>74</v>
      </c>
      <c r="BB931" t="s">
        <v>74</v>
      </c>
      <c r="BC931" t="s">
        <v>74</v>
      </c>
      <c r="BD931">
        <v>108773</v>
      </c>
      <c r="BE931" t="s">
        <v>17552</v>
      </c>
      <c r="BF931" t="str">
        <f>HYPERLINK("http://dx.doi.org/10.1016/j.jqsrt.2023.108773","http://dx.doi.org/10.1016/j.jqsrt.2023.108773")</f>
        <v>http://dx.doi.org/10.1016/j.jqsrt.2023.108773</v>
      </c>
      <c r="BG931" t="s">
        <v>74</v>
      </c>
      <c r="BH931" t="s">
        <v>15880</v>
      </c>
      <c r="BI931">
        <v>20</v>
      </c>
      <c r="BJ931" t="s">
        <v>8538</v>
      </c>
      <c r="BK931" t="s">
        <v>100</v>
      </c>
      <c r="BL931" t="s">
        <v>8538</v>
      </c>
      <c r="BM931" t="s">
        <v>17553</v>
      </c>
      <c r="BN931" t="s">
        <v>74</v>
      </c>
      <c r="BO931" t="s">
        <v>103</v>
      </c>
      <c r="BP931" t="s">
        <v>74</v>
      </c>
      <c r="BQ931" t="s">
        <v>74</v>
      </c>
      <c r="BR931" t="s">
        <v>104</v>
      </c>
      <c r="BS931" t="s">
        <v>17554</v>
      </c>
      <c r="BT931" t="str">
        <f>HYPERLINK("https%3A%2F%2Fwww.webofscience.com%2Fwos%2Fwoscc%2Ffull-record%2FWOS:001080439000001","View Full Record in Web of Science")</f>
        <v>View Full Record in Web of Science</v>
      </c>
    </row>
    <row r="932" spans="1:72" x14ac:dyDescent="0.15">
      <c r="A932" t="s">
        <v>72</v>
      </c>
      <c r="B932" t="s">
        <v>17555</v>
      </c>
      <c r="C932" t="s">
        <v>74</v>
      </c>
      <c r="D932" t="s">
        <v>74</v>
      </c>
      <c r="E932" t="s">
        <v>74</v>
      </c>
      <c r="F932" t="s">
        <v>17556</v>
      </c>
      <c r="G932" t="s">
        <v>74</v>
      </c>
      <c r="H932" t="s">
        <v>74</v>
      </c>
      <c r="I932" t="s">
        <v>17557</v>
      </c>
      <c r="J932" t="s">
        <v>17558</v>
      </c>
      <c r="K932" t="s">
        <v>74</v>
      </c>
      <c r="L932" t="s">
        <v>74</v>
      </c>
      <c r="M932" t="s">
        <v>78</v>
      </c>
      <c r="N932" t="s">
        <v>79</v>
      </c>
      <c r="O932" t="s">
        <v>74</v>
      </c>
      <c r="P932" t="s">
        <v>74</v>
      </c>
      <c r="Q932" t="s">
        <v>74</v>
      </c>
      <c r="R932" t="s">
        <v>74</v>
      </c>
      <c r="S932" t="s">
        <v>74</v>
      </c>
      <c r="T932" t="s">
        <v>74</v>
      </c>
      <c r="U932" t="s">
        <v>17559</v>
      </c>
      <c r="V932" t="s">
        <v>17560</v>
      </c>
      <c r="W932" t="s">
        <v>17561</v>
      </c>
      <c r="X932" t="s">
        <v>17562</v>
      </c>
      <c r="Y932" t="s">
        <v>17563</v>
      </c>
      <c r="Z932" t="s">
        <v>17564</v>
      </c>
      <c r="AA932" t="s">
        <v>17565</v>
      </c>
      <c r="AB932" t="s">
        <v>17566</v>
      </c>
      <c r="AC932" t="s">
        <v>17567</v>
      </c>
      <c r="AD932" t="s">
        <v>17568</v>
      </c>
      <c r="AE932" t="s">
        <v>17569</v>
      </c>
      <c r="AF932" t="s">
        <v>74</v>
      </c>
      <c r="AG932">
        <v>47</v>
      </c>
      <c r="AH932">
        <v>5</v>
      </c>
      <c r="AI932">
        <v>5</v>
      </c>
      <c r="AJ932">
        <v>85</v>
      </c>
      <c r="AK932">
        <v>85</v>
      </c>
      <c r="AL932" t="s">
        <v>9202</v>
      </c>
      <c r="AM932" t="s">
        <v>1783</v>
      </c>
      <c r="AN932" t="s">
        <v>9203</v>
      </c>
      <c r="AO932" t="s">
        <v>17570</v>
      </c>
      <c r="AP932" t="s">
        <v>17571</v>
      </c>
      <c r="AQ932" t="s">
        <v>74</v>
      </c>
      <c r="AR932" t="s">
        <v>17558</v>
      </c>
      <c r="AS932" t="s">
        <v>17572</v>
      </c>
      <c r="AT932" t="s">
        <v>17487</v>
      </c>
      <c r="AU932">
        <v>2023</v>
      </c>
      <c r="AV932">
        <v>6</v>
      </c>
      <c r="AW932">
        <v>9</v>
      </c>
      <c r="AX932" t="s">
        <v>74</v>
      </c>
      <c r="AY932" t="s">
        <v>74</v>
      </c>
      <c r="AZ932" t="s">
        <v>74</v>
      </c>
      <c r="BA932" t="s">
        <v>74</v>
      </c>
      <c r="BB932">
        <v>1202</v>
      </c>
      <c r="BC932">
        <v>1212</v>
      </c>
      <c r="BD932" t="s">
        <v>74</v>
      </c>
      <c r="BE932" t="s">
        <v>17573</v>
      </c>
      <c r="BF932" t="str">
        <f>HYPERLINK("http://dx.doi.org/10.1016/j.oneear.2023.08.004","http://dx.doi.org/10.1016/j.oneear.2023.08.004")</f>
        <v>http://dx.doi.org/10.1016/j.oneear.2023.08.004</v>
      </c>
      <c r="BG932" t="s">
        <v>74</v>
      </c>
      <c r="BH932" t="s">
        <v>15880</v>
      </c>
      <c r="BI932">
        <v>12</v>
      </c>
      <c r="BJ932" t="s">
        <v>7095</v>
      </c>
      <c r="BK932" t="s">
        <v>456</v>
      </c>
      <c r="BL932" t="s">
        <v>7096</v>
      </c>
      <c r="BM932" t="s">
        <v>17574</v>
      </c>
      <c r="BN932" t="s">
        <v>74</v>
      </c>
      <c r="BO932" t="s">
        <v>74</v>
      </c>
      <c r="BP932" t="s">
        <v>74</v>
      </c>
      <c r="BQ932" t="s">
        <v>74</v>
      </c>
      <c r="BR932" t="s">
        <v>104</v>
      </c>
      <c r="BS932" t="s">
        <v>17575</v>
      </c>
      <c r="BT932" t="str">
        <f>HYPERLINK("https%3A%2F%2Fwww.webofscience.com%2Fwos%2Fwoscc%2Ffull-record%2FWOS:001080319900001","View Full Record in Web of Science")</f>
        <v>View Full Record in Web of Science</v>
      </c>
    </row>
    <row r="933" spans="1:72" x14ac:dyDescent="0.15">
      <c r="A933" t="s">
        <v>72</v>
      </c>
      <c r="B933" t="s">
        <v>17576</v>
      </c>
      <c r="C933" t="s">
        <v>74</v>
      </c>
      <c r="D933" t="s">
        <v>74</v>
      </c>
      <c r="E933" t="s">
        <v>74</v>
      </c>
      <c r="F933" t="s">
        <v>17577</v>
      </c>
      <c r="G933" t="s">
        <v>74</v>
      </c>
      <c r="H933" t="s">
        <v>74</v>
      </c>
      <c r="I933" t="s">
        <v>17578</v>
      </c>
      <c r="J933" t="s">
        <v>15962</v>
      </c>
      <c r="K933" t="s">
        <v>74</v>
      </c>
      <c r="L933" t="s">
        <v>74</v>
      </c>
      <c r="M933" t="s">
        <v>78</v>
      </c>
      <c r="N933" t="s">
        <v>79</v>
      </c>
      <c r="O933" t="s">
        <v>74</v>
      </c>
      <c r="P933" t="s">
        <v>74</v>
      </c>
      <c r="Q933" t="s">
        <v>74</v>
      </c>
      <c r="R933" t="s">
        <v>74</v>
      </c>
      <c r="S933" t="s">
        <v>74</v>
      </c>
      <c r="T933" t="s">
        <v>17579</v>
      </c>
      <c r="U933" t="s">
        <v>17580</v>
      </c>
      <c r="V933" t="s">
        <v>17581</v>
      </c>
      <c r="W933" t="s">
        <v>17582</v>
      </c>
      <c r="X933" t="s">
        <v>17583</v>
      </c>
      <c r="Y933" t="s">
        <v>17584</v>
      </c>
      <c r="Z933" t="s">
        <v>17585</v>
      </c>
      <c r="AA933" t="s">
        <v>17586</v>
      </c>
      <c r="AB933" t="s">
        <v>17587</v>
      </c>
      <c r="AC933" t="s">
        <v>17588</v>
      </c>
      <c r="AD933" t="s">
        <v>17589</v>
      </c>
      <c r="AE933" t="s">
        <v>17590</v>
      </c>
      <c r="AF933" t="s">
        <v>74</v>
      </c>
      <c r="AG933">
        <v>100</v>
      </c>
      <c r="AH933">
        <v>0</v>
      </c>
      <c r="AI933">
        <v>0</v>
      </c>
      <c r="AJ933">
        <v>9</v>
      </c>
      <c r="AK933">
        <v>10</v>
      </c>
      <c r="AL933" t="s">
        <v>1758</v>
      </c>
      <c r="AM933" t="s">
        <v>1759</v>
      </c>
      <c r="AN933" t="s">
        <v>1760</v>
      </c>
      <c r="AO933" t="s">
        <v>15974</v>
      </c>
      <c r="AP933" t="s">
        <v>74</v>
      </c>
      <c r="AQ933" t="s">
        <v>74</v>
      </c>
      <c r="AR933" t="s">
        <v>15975</v>
      </c>
      <c r="AS933" t="s">
        <v>15976</v>
      </c>
      <c r="AT933" t="s">
        <v>17487</v>
      </c>
      <c r="AU933">
        <v>2023</v>
      </c>
      <c r="AV933">
        <v>14</v>
      </c>
      <c r="AW933" t="s">
        <v>74</v>
      </c>
      <c r="AX933" t="s">
        <v>74</v>
      </c>
      <c r="AY933" t="s">
        <v>74</v>
      </c>
      <c r="AZ933" t="s">
        <v>74</v>
      </c>
      <c r="BA933" t="s">
        <v>74</v>
      </c>
      <c r="BB933" t="s">
        <v>74</v>
      </c>
      <c r="BC933" t="s">
        <v>74</v>
      </c>
      <c r="BD933">
        <v>1241612</v>
      </c>
      <c r="BE933" t="s">
        <v>17591</v>
      </c>
      <c r="BF933" t="str">
        <f>HYPERLINK("http://dx.doi.org/10.3389/fpls.2023.1241612","http://dx.doi.org/10.3389/fpls.2023.1241612")</f>
        <v>http://dx.doi.org/10.3389/fpls.2023.1241612</v>
      </c>
      <c r="BG933" t="s">
        <v>74</v>
      </c>
      <c r="BH933" t="s">
        <v>74</v>
      </c>
      <c r="BI933">
        <v>14</v>
      </c>
      <c r="BJ933" t="s">
        <v>1887</v>
      </c>
      <c r="BK933" t="s">
        <v>100</v>
      </c>
      <c r="BL933" t="s">
        <v>1887</v>
      </c>
      <c r="BM933" t="s">
        <v>17592</v>
      </c>
      <c r="BN933">
        <v>37780522</v>
      </c>
      <c r="BO933" t="s">
        <v>8285</v>
      </c>
      <c r="BP933" t="s">
        <v>74</v>
      </c>
      <c r="BQ933" t="s">
        <v>74</v>
      </c>
      <c r="BR933" t="s">
        <v>104</v>
      </c>
      <c r="BS933" t="s">
        <v>17593</v>
      </c>
      <c r="BT933" t="str">
        <f>HYPERLINK("https%3A%2F%2Fwww.webofscience.com%2Fwos%2Fwoscc%2Ffull-record%2FWOS:001075326400001","View Full Record in Web of Science")</f>
        <v>View Full Record in Web of Science</v>
      </c>
    </row>
    <row r="934" spans="1:72" x14ac:dyDescent="0.15">
      <c r="A934" t="s">
        <v>72</v>
      </c>
      <c r="B934" t="s">
        <v>17594</v>
      </c>
      <c r="C934" t="s">
        <v>74</v>
      </c>
      <c r="D934" t="s">
        <v>74</v>
      </c>
      <c r="E934" t="s">
        <v>74</v>
      </c>
      <c r="F934" t="s">
        <v>17595</v>
      </c>
      <c r="G934" t="s">
        <v>74</v>
      </c>
      <c r="H934" t="s">
        <v>74</v>
      </c>
      <c r="I934" t="s">
        <v>17596</v>
      </c>
      <c r="J934" t="s">
        <v>12338</v>
      </c>
      <c r="K934" t="s">
        <v>74</v>
      </c>
      <c r="L934" t="s">
        <v>74</v>
      </c>
      <c r="M934" t="s">
        <v>78</v>
      </c>
      <c r="N934" t="s">
        <v>79</v>
      </c>
      <c r="O934" t="s">
        <v>74</v>
      </c>
      <c r="P934" t="s">
        <v>74</v>
      </c>
      <c r="Q934" t="s">
        <v>74</v>
      </c>
      <c r="R934" t="s">
        <v>74</v>
      </c>
      <c r="S934" t="s">
        <v>74</v>
      </c>
      <c r="T934" t="s">
        <v>74</v>
      </c>
      <c r="U934" t="s">
        <v>17597</v>
      </c>
      <c r="V934" t="s">
        <v>17598</v>
      </c>
      <c r="W934" t="s">
        <v>17599</v>
      </c>
      <c r="X934" t="s">
        <v>17600</v>
      </c>
      <c r="Y934" t="s">
        <v>17601</v>
      </c>
      <c r="Z934" t="s">
        <v>17602</v>
      </c>
      <c r="AA934" t="s">
        <v>17603</v>
      </c>
      <c r="AB934" t="s">
        <v>17604</v>
      </c>
      <c r="AC934" t="s">
        <v>17605</v>
      </c>
      <c r="AD934" t="s">
        <v>17605</v>
      </c>
      <c r="AE934" t="s">
        <v>17606</v>
      </c>
      <c r="AF934" t="s">
        <v>74</v>
      </c>
      <c r="AG934">
        <v>100</v>
      </c>
      <c r="AH934">
        <v>2</v>
      </c>
      <c r="AI934">
        <v>2</v>
      </c>
      <c r="AJ934">
        <v>27</v>
      </c>
      <c r="AK934">
        <v>36</v>
      </c>
      <c r="AL934" t="s">
        <v>2529</v>
      </c>
      <c r="AM934" t="s">
        <v>2294</v>
      </c>
      <c r="AN934" t="s">
        <v>2530</v>
      </c>
      <c r="AO934" t="s">
        <v>12349</v>
      </c>
      <c r="AP934" t="s">
        <v>12350</v>
      </c>
      <c r="AQ934" t="s">
        <v>74</v>
      </c>
      <c r="AR934" t="s">
        <v>12351</v>
      </c>
      <c r="AS934" t="s">
        <v>12352</v>
      </c>
      <c r="AT934" t="s">
        <v>4525</v>
      </c>
      <c r="AU934">
        <v>2023</v>
      </c>
      <c r="AV934">
        <v>17</v>
      </c>
      <c r="AW934">
        <v>11</v>
      </c>
      <c r="AX934" t="s">
        <v>74</v>
      </c>
      <c r="AY934" t="s">
        <v>74</v>
      </c>
      <c r="AZ934" t="s">
        <v>74</v>
      </c>
      <c r="BA934" t="s">
        <v>74</v>
      </c>
      <c r="BB934">
        <v>2035</v>
      </c>
      <c r="BC934">
        <v>2046</v>
      </c>
      <c r="BD934" t="s">
        <v>74</v>
      </c>
      <c r="BE934" t="s">
        <v>17607</v>
      </c>
      <c r="BF934" t="str">
        <f>HYPERLINK("http://dx.doi.org/10.1038/s41396-023-01475-0","http://dx.doi.org/10.1038/s41396-023-01475-0")</f>
        <v>http://dx.doi.org/10.1038/s41396-023-01475-0</v>
      </c>
      <c r="BG934" t="s">
        <v>74</v>
      </c>
      <c r="BH934" t="s">
        <v>15880</v>
      </c>
      <c r="BI934">
        <v>12</v>
      </c>
      <c r="BJ934" t="s">
        <v>12354</v>
      </c>
      <c r="BK934" t="s">
        <v>100</v>
      </c>
      <c r="BL934" t="s">
        <v>12355</v>
      </c>
      <c r="BM934" t="s">
        <v>17608</v>
      </c>
      <c r="BN934">
        <v>37709939</v>
      </c>
      <c r="BO934" t="s">
        <v>3456</v>
      </c>
      <c r="BP934" t="s">
        <v>74</v>
      </c>
      <c r="BQ934" t="s">
        <v>74</v>
      </c>
      <c r="BR934" t="s">
        <v>104</v>
      </c>
      <c r="BS934" t="s">
        <v>17609</v>
      </c>
      <c r="BT934" t="str">
        <f>HYPERLINK("https%3A%2F%2Fwww.webofscience.com%2Fwos%2Fwoscc%2Ffull-record%2FWOS:001065524000001","View Full Record in Web of Science")</f>
        <v>View Full Record in Web of Science</v>
      </c>
    </row>
    <row r="935" spans="1:72" x14ac:dyDescent="0.15">
      <c r="A935" t="s">
        <v>72</v>
      </c>
      <c r="B935" t="s">
        <v>17610</v>
      </c>
      <c r="C935" t="s">
        <v>74</v>
      </c>
      <c r="D935" t="s">
        <v>74</v>
      </c>
      <c r="E935" t="s">
        <v>74</v>
      </c>
      <c r="F935" t="s">
        <v>17611</v>
      </c>
      <c r="G935" t="s">
        <v>74</v>
      </c>
      <c r="H935" t="s">
        <v>74</v>
      </c>
      <c r="I935" t="s">
        <v>17612</v>
      </c>
      <c r="J935" t="s">
        <v>17613</v>
      </c>
      <c r="K935" t="s">
        <v>74</v>
      </c>
      <c r="L935" t="s">
        <v>74</v>
      </c>
      <c r="M935" t="s">
        <v>78</v>
      </c>
      <c r="N935" t="s">
        <v>1459</v>
      </c>
      <c r="O935" t="s">
        <v>74</v>
      </c>
      <c r="P935" t="s">
        <v>74</v>
      </c>
      <c r="Q935" t="s">
        <v>74</v>
      </c>
      <c r="R935" t="s">
        <v>74</v>
      </c>
      <c r="S935" t="s">
        <v>74</v>
      </c>
      <c r="T935" t="s">
        <v>74</v>
      </c>
      <c r="U935" t="s">
        <v>74</v>
      </c>
      <c r="V935" t="s">
        <v>17614</v>
      </c>
      <c r="W935" t="s">
        <v>17615</v>
      </c>
      <c r="X935" t="s">
        <v>17616</v>
      </c>
      <c r="Y935" t="s">
        <v>17617</v>
      </c>
      <c r="Z935" t="s">
        <v>17618</v>
      </c>
      <c r="AA935" t="s">
        <v>17619</v>
      </c>
      <c r="AB935" t="s">
        <v>17620</v>
      </c>
      <c r="AC935" t="s">
        <v>74</v>
      </c>
      <c r="AD935" t="s">
        <v>74</v>
      </c>
      <c r="AE935" t="s">
        <v>74</v>
      </c>
      <c r="AF935" t="s">
        <v>74</v>
      </c>
      <c r="AG935">
        <v>6</v>
      </c>
      <c r="AH935">
        <v>0</v>
      </c>
      <c r="AI935">
        <v>0</v>
      </c>
      <c r="AJ935">
        <v>2</v>
      </c>
      <c r="AK935">
        <v>2</v>
      </c>
      <c r="AL935" t="s">
        <v>17621</v>
      </c>
      <c r="AM935" t="s">
        <v>17622</v>
      </c>
      <c r="AN935" t="s">
        <v>17623</v>
      </c>
      <c r="AO935" t="s">
        <v>17624</v>
      </c>
      <c r="AP935" t="s">
        <v>17625</v>
      </c>
      <c r="AQ935" t="s">
        <v>74</v>
      </c>
      <c r="AR935" t="s">
        <v>17626</v>
      </c>
      <c r="AS935" t="s">
        <v>17627</v>
      </c>
      <c r="AT935" t="s">
        <v>17628</v>
      </c>
      <c r="AU935">
        <v>2023</v>
      </c>
      <c r="AV935">
        <v>389</v>
      </c>
      <c r="AW935">
        <v>11</v>
      </c>
      <c r="AX935" t="s">
        <v>74</v>
      </c>
      <c r="AY935" t="s">
        <v>74</v>
      </c>
      <c r="AZ935" t="s">
        <v>74</v>
      </c>
      <c r="BA935" t="s">
        <v>74</v>
      </c>
      <c r="BB935">
        <v>1059</v>
      </c>
      <c r="BC935">
        <v>1060</v>
      </c>
      <c r="BD935" t="s">
        <v>74</v>
      </c>
      <c r="BE935" t="s">
        <v>17629</v>
      </c>
      <c r="BF935" t="str">
        <f>HYPERLINK("http://dx.doi.org/10.1056/NEJMc2308778","http://dx.doi.org/10.1056/NEJMc2308778")</f>
        <v>http://dx.doi.org/10.1056/NEJMc2308778</v>
      </c>
      <c r="BG935" t="s">
        <v>74</v>
      </c>
      <c r="BH935" t="s">
        <v>74</v>
      </c>
      <c r="BI935">
        <v>2</v>
      </c>
      <c r="BJ935" t="s">
        <v>17630</v>
      </c>
      <c r="BK935" t="s">
        <v>100</v>
      </c>
      <c r="BL935" t="s">
        <v>17631</v>
      </c>
      <c r="BM935" t="s">
        <v>17632</v>
      </c>
      <c r="BN935">
        <v>37703571</v>
      </c>
      <c r="BO935" t="s">
        <v>74</v>
      </c>
      <c r="BP935" t="s">
        <v>74</v>
      </c>
      <c r="BQ935" t="s">
        <v>74</v>
      </c>
      <c r="BR935" t="s">
        <v>104</v>
      </c>
      <c r="BS935" t="s">
        <v>17633</v>
      </c>
      <c r="BT935" t="str">
        <f>HYPERLINK("https%3A%2F%2Fwww.webofscience.com%2Fwos%2Fwoscc%2Ffull-record%2FWOS:001142831800010","View Full Record in Web of Science")</f>
        <v>View Full Record in Web of Science</v>
      </c>
    </row>
    <row r="936" spans="1:72" x14ac:dyDescent="0.15">
      <c r="A936" t="s">
        <v>72</v>
      </c>
      <c r="B936" t="s">
        <v>17634</v>
      </c>
      <c r="C936" t="s">
        <v>74</v>
      </c>
      <c r="D936" t="s">
        <v>74</v>
      </c>
      <c r="E936" t="s">
        <v>74</v>
      </c>
      <c r="F936" t="s">
        <v>17635</v>
      </c>
      <c r="G936" t="s">
        <v>74</v>
      </c>
      <c r="H936" t="s">
        <v>74</v>
      </c>
      <c r="I936" t="s">
        <v>17636</v>
      </c>
      <c r="J936" t="s">
        <v>17637</v>
      </c>
      <c r="K936" t="s">
        <v>74</v>
      </c>
      <c r="L936" t="s">
        <v>74</v>
      </c>
      <c r="M936" t="s">
        <v>78</v>
      </c>
      <c r="N936" t="s">
        <v>79</v>
      </c>
      <c r="O936" t="s">
        <v>74</v>
      </c>
      <c r="P936" t="s">
        <v>74</v>
      </c>
      <c r="Q936" t="s">
        <v>74</v>
      </c>
      <c r="R936" t="s">
        <v>74</v>
      </c>
      <c r="S936" t="s">
        <v>74</v>
      </c>
      <c r="T936" t="s">
        <v>17638</v>
      </c>
      <c r="U936" t="s">
        <v>17639</v>
      </c>
      <c r="V936" t="s">
        <v>17640</v>
      </c>
      <c r="W936" t="s">
        <v>17641</v>
      </c>
      <c r="X936" t="s">
        <v>17642</v>
      </c>
      <c r="Y936" t="s">
        <v>17643</v>
      </c>
      <c r="Z936" t="s">
        <v>17644</v>
      </c>
      <c r="AA936" t="s">
        <v>74</v>
      </c>
      <c r="AB936" t="s">
        <v>74</v>
      </c>
      <c r="AC936" t="s">
        <v>17645</v>
      </c>
      <c r="AD936" t="s">
        <v>17645</v>
      </c>
      <c r="AE936" t="s">
        <v>17646</v>
      </c>
      <c r="AF936" t="s">
        <v>74</v>
      </c>
      <c r="AG936">
        <v>56</v>
      </c>
      <c r="AH936">
        <v>0</v>
      </c>
      <c r="AI936">
        <v>0</v>
      </c>
      <c r="AJ936">
        <v>3</v>
      </c>
      <c r="AK936">
        <v>3</v>
      </c>
      <c r="AL936" t="s">
        <v>1810</v>
      </c>
      <c r="AM936" t="s">
        <v>1811</v>
      </c>
      <c r="AN936" t="s">
        <v>1812</v>
      </c>
      <c r="AO936" t="s">
        <v>17647</v>
      </c>
      <c r="AP936" t="s">
        <v>17648</v>
      </c>
      <c r="AQ936" t="s">
        <v>74</v>
      </c>
      <c r="AR936" t="s">
        <v>17649</v>
      </c>
      <c r="AS936" t="s">
        <v>17650</v>
      </c>
      <c r="AT936" t="s">
        <v>17628</v>
      </c>
      <c r="AU936">
        <v>2023</v>
      </c>
      <c r="AV936">
        <v>155</v>
      </c>
      <c r="AW936" t="s">
        <v>74</v>
      </c>
      <c r="AX936" t="s">
        <v>74</v>
      </c>
      <c r="AY936" t="s">
        <v>74</v>
      </c>
      <c r="AZ936" t="s">
        <v>74</v>
      </c>
      <c r="BA936" t="s">
        <v>74</v>
      </c>
      <c r="BB936">
        <v>125</v>
      </c>
      <c r="BC936">
        <v>140</v>
      </c>
      <c r="BD936" t="s">
        <v>74</v>
      </c>
      <c r="BE936" t="s">
        <v>17651</v>
      </c>
      <c r="BF936" t="str">
        <f>HYPERLINK("http://dx.doi.org/10.3354/dao03730","http://dx.doi.org/10.3354/dao03730")</f>
        <v>http://dx.doi.org/10.3354/dao03730</v>
      </c>
      <c r="BG936" t="s">
        <v>74</v>
      </c>
      <c r="BH936" t="s">
        <v>74</v>
      </c>
      <c r="BI936">
        <v>16</v>
      </c>
      <c r="BJ936" t="s">
        <v>17652</v>
      </c>
      <c r="BK936" t="s">
        <v>100</v>
      </c>
      <c r="BL936" t="s">
        <v>17652</v>
      </c>
      <c r="BM936" t="s">
        <v>17653</v>
      </c>
      <c r="BN936">
        <v>37706643</v>
      </c>
      <c r="BO936" t="s">
        <v>74</v>
      </c>
      <c r="BP936" t="s">
        <v>74</v>
      </c>
      <c r="BQ936" t="s">
        <v>74</v>
      </c>
      <c r="BR936" t="s">
        <v>104</v>
      </c>
      <c r="BS936" t="s">
        <v>17654</v>
      </c>
      <c r="BT936" t="str">
        <f>HYPERLINK("https%3A%2F%2Fwww.webofscience.com%2Fwos%2Fwoscc%2Ffull-record%2FWOS:001079832400001","View Full Record in Web of Science")</f>
        <v>View Full Record in Web of Science</v>
      </c>
    </row>
    <row r="937" spans="1:72" x14ac:dyDescent="0.15">
      <c r="A937" t="s">
        <v>72</v>
      </c>
      <c r="B937" t="s">
        <v>17655</v>
      </c>
      <c r="C937" t="s">
        <v>74</v>
      </c>
      <c r="D937" t="s">
        <v>74</v>
      </c>
      <c r="E937" t="s">
        <v>74</v>
      </c>
      <c r="F937" t="s">
        <v>17656</v>
      </c>
      <c r="G937" t="s">
        <v>74</v>
      </c>
      <c r="H937" t="s">
        <v>74</v>
      </c>
      <c r="I937" t="s">
        <v>17657</v>
      </c>
      <c r="J937" t="s">
        <v>12725</v>
      </c>
      <c r="K937" t="s">
        <v>74</v>
      </c>
      <c r="L937" t="s">
        <v>74</v>
      </c>
      <c r="M937" t="s">
        <v>78</v>
      </c>
      <c r="N937" t="s">
        <v>10145</v>
      </c>
      <c r="O937" t="s">
        <v>74</v>
      </c>
      <c r="P937" t="s">
        <v>74</v>
      </c>
      <c r="Q937" t="s">
        <v>74</v>
      </c>
      <c r="R937" t="s">
        <v>74</v>
      </c>
      <c r="S937" t="s">
        <v>74</v>
      </c>
      <c r="T937" t="s">
        <v>17658</v>
      </c>
      <c r="U937" t="s">
        <v>74</v>
      </c>
      <c r="V937" t="s">
        <v>17659</v>
      </c>
      <c r="W937" t="s">
        <v>74</v>
      </c>
      <c r="X937" t="s">
        <v>74</v>
      </c>
      <c r="Y937" t="s">
        <v>74</v>
      </c>
      <c r="Z937" t="s">
        <v>74</v>
      </c>
      <c r="AA937" t="s">
        <v>74</v>
      </c>
      <c r="AB937" t="s">
        <v>74</v>
      </c>
      <c r="AC937" t="s">
        <v>74</v>
      </c>
      <c r="AD937" t="s">
        <v>74</v>
      </c>
      <c r="AE937" t="s">
        <v>74</v>
      </c>
      <c r="AF937" t="s">
        <v>74</v>
      </c>
      <c r="AG937">
        <v>4</v>
      </c>
      <c r="AH937">
        <v>0</v>
      </c>
      <c r="AI937">
        <v>0</v>
      </c>
      <c r="AJ937">
        <v>4</v>
      </c>
      <c r="AK937">
        <v>4</v>
      </c>
      <c r="AL937" t="s">
        <v>3057</v>
      </c>
      <c r="AM937" t="s">
        <v>3058</v>
      </c>
      <c r="AN937" t="s">
        <v>3059</v>
      </c>
      <c r="AO937" t="s">
        <v>12728</v>
      </c>
      <c r="AP937" t="s">
        <v>12729</v>
      </c>
      <c r="AQ937" t="s">
        <v>74</v>
      </c>
      <c r="AR937" t="s">
        <v>12725</v>
      </c>
      <c r="AS937" t="s">
        <v>12730</v>
      </c>
      <c r="AT937" t="s">
        <v>17628</v>
      </c>
      <c r="AU937">
        <v>2023</v>
      </c>
      <c r="AV937">
        <v>621</v>
      </c>
      <c r="AW937">
        <v>7978</v>
      </c>
      <c r="AX937" t="s">
        <v>74</v>
      </c>
      <c r="AY937" t="s">
        <v>74</v>
      </c>
      <c r="AZ937" t="s">
        <v>74</v>
      </c>
      <c r="BA937" t="s">
        <v>74</v>
      </c>
      <c r="BB937">
        <v>241</v>
      </c>
      <c r="BC937">
        <v>241</v>
      </c>
      <c r="BD937" t="s">
        <v>74</v>
      </c>
      <c r="BE937" t="s">
        <v>17660</v>
      </c>
      <c r="BF937" t="str">
        <f>HYPERLINK("http://dx.doi.org/10.1038/d41586-023-02740-0","http://dx.doi.org/10.1038/d41586-023-02740-0")</f>
        <v>http://dx.doi.org/10.1038/d41586-023-02740-0</v>
      </c>
      <c r="BG937" t="s">
        <v>74</v>
      </c>
      <c r="BH937" t="s">
        <v>74</v>
      </c>
      <c r="BI937">
        <v>1</v>
      </c>
      <c r="BJ937" t="s">
        <v>1035</v>
      </c>
      <c r="BK937" t="s">
        <v>100</v>
      </c>
      <c r="BL937" t="s">
        <v>1036</v>
      </c>
      <c r="BM937" t="s">
        <v>17661</v>
      </c>
      <c r="BN937">
        <v>37653100</v>
      </c>
      <c r="BO937" t="s">
        <v>74</v>
      </c>
      <c r="BP937" t="s">
        <v>74</v>
      </c>
      <c r="BQ937" t="s">
        <v>74</v>
      </c>
      <c r="BR937" t="s">
        <v>104</v>
      </c>
      <c r="BS937" t="s">
        <v>17662</v>
      </c>
      <c r="BT937" t="str">
        <f>HYPERLINK("https%3A%2F%2Fwww.webofscience.com%2Fwos%2Fwoscc%2Ffull-record%2FWOS:001074292100010","View Full Record in Web of Science")</f>
        <v>View Full Record in Web of Science</v>
      </c>
    </row>
    <row r="938" spans="1:72" x14ac:dyDescent="0.15">
      <c r="A938" t="s">
        <v>72</v>
      </c>
      <c r="B938" t="s">
        <v>17663</v>
      </c>
      <c r="C938" t="s">
        <v>74</v>
      </c>
      <c r="D938" t="s">
        <v>74</v>
      </c>
      <c r="E938" t="s">
        <v>74</v>
      </c>
      <c r="F938" t="s">
        <v>17664</v>
      </c>
      <c r="G938" t="s">
        <v>74</v>
      </c>
      <c r="H938" t="s">
        <v>74</v>
      </c>
      <c r="I938" t="s">
        <v>17665</v>
      </c>
      <c r="J938" t="s">
        <v>3922</v>
      </c>
      <c r="K938" t="s">
        <v>74</v>
      </c>
      <c r="L938" t="s">
        <v>74</v>
      </c>
      <c r="M938" t="s">
        <v>78</v>
      </c>
      <c r="N938" t="s">
        <v>79</v>
      </c>
      <c r="O938" t="s">
        <v>74</v>
      </c>
      <c r="P938" t="s">
        <v>74</v>
      </c>
      <c r="Q938" t="s">
        <v>74</v>
      </c>
      <c r="R938" t="s">
        <v>74</v>
      </c>
      <c r="S938" t="s">
        <v>74</v>
      </c>
      <c r="T938" t="s">
        <v>17666</v>
      </c>
      <c r="U938" t="s">
        <v>17667</v>
      </c>
      <c r="V938" t="s">
        <v>17668</v>
      </c>
      <c r="W938" t="s">
        <v>17669</v>
      </c>
      <c r="X938" t="s">
        <v>17670</v>
      </c>
      <c r="Y938" t="s">
        <v>17671</v>
      </c>
      <c r="Z938" t="s">
        <v>17672</v>
      </c>
      <c r="AA938" t="s">
        <v>74</v>
      </c>
      <c r="AB938" t="s">
        <v>74</v>
      </c>
      <c r="AC938" t="s">
        <v>17673</v>
      </c>
      <c r="AD938" t="s">
        <v>17674</v>
      </c>
      <c r="AE938" t="s">
        <v>17675</v>
      </c>
      <c r="AF938" t="s">
        <v>74</v>
      </c>
      <c r="AG938">
        <v>105</v>
      </c>
      <c r="AH938">
        <v>0</v>
      </c>
      <c r="AI938">
        <v>0</v>
      </c>
      <c r="AJ938">
        <v>4</v>
      </c>
      <c r="AK938">
        <v>6</v>
      </c>
      <c r="AL938" t="s">
        <v>1880</v>
      </c>
      <c r="AM938" t="s">
        <v>1881</v>
      </c>
      <c r="AN938" t="s">
        <v>1882</v>
      </c>
      <c r="AO938" t="s">
        <v>3931</v>
      </c>
      <c r="AP938" t="s">
        <v>3932</v>
      </c>
      <c r="AQ938" t="s">
        <v>74</v>
      </c>
      <c r="AR938" t="s">
        <v>3933</v>
      </c>
      <c r="AS938" t="s">
        <v>3934</v>
      </c>
      <c r="AT938" t="s">
        <v>17628</v>
      </c>
      <c r="AU938">
        <v>2023</v>
      </c>
      <c r="AV938">
        <v>11</v>
      </c>
      <c r="AW938" t="s">
        <v>74</v>
      </c>
      <c r="AX938" t="s">
        <v>74</v>
      </c>
      <c r="AY938" t="s">
        <v>74</v>
      </c>
      <c r="AZ938" t="s">
        <v>74</v>
      </c>
      <c r="BA938" t="s">
        <v>74</v>
      </c>
      <c r="BB938" t="s">
        <v>74</v>
      </c>
      <c r="BC938" t="s">
        <v>74</v>
      </c>
      <c r="BD938" t="s">
        <v>17676</v>
      </c>
      <c r="BE938" t="s">
        <v>17677</v>
      </c>
      <c r="BF938" t="str">
        <f>HYPERLINK("http://dx.doi.org/10.3897/BDJ.11.e102057","http://dx.doi.org/10.3897/BDJ.11.e102057")</f>
        <v>http://dx.doi.org/10.3897/BDJ.11.e102057</v>
      </c>
      <c r="BG938" t="s">
        <v>74</v>
      </c>
      <c r="BH938" t="s">
        <v>74</v>
      </c>
      <c r="BI938">
        <v>48</v>
      </c>
      <c r="BJ938" t="s">
        <v>1615</v>
      </c>
      <c r="BK938" t="s">
        <v>100</v>
      </c>
      <c r="BL938" t="s">
        <v>1616</v>
      </c>
      <c r="BM938" t="s">
        <v>17678</v>
      </c>
      <c r="BN938">
        <v>37809281</v>
      </c>
      <c r="BO938" t="s">
        <v>200</v>
      </c>
      <c r="BP938" t="s">
        <v>74</v>
      </c>
      <c r="BQ938" t="s">
        <v>74</v>
      </c>
      <c r="BR938" t="s">
        <v>104</v>
      </c>
      <c r="BS938" t="s">
        <v>17679</v>
      </c>
      <c r="BT938" t="str">
        <f>HYPERLINK("https%3A%2F%2Fwww.webofscience.com%2Fwos%2Fwoscc%2Ffull-record%2FWOS:001075042700001","View Full Record in Web of Science")</f>
        <v>View Full Record in Web of Science</v>
      </c>
    </row>
    <row r="939" spans="1:72" x14ac:dyDescent="0.15">
      <c r="A939" t="s">
        <v>72</v>
      </c>
      <c r="B939" t="s">
        <v>17680</v>
      </c>
      <c r="C939" t="s">
        <v>74</v>
      </c>
      <c r="D939" t="s">
        <v>74</v>
      </c>
      <c r="E939" t="s">
        <v>74</v>
      </c>
      <c r="F939" t="s">
        <v>17681</v>
      </c>
      <c r="G939" t="s">
        <v>74</v>
      </c>
      <c r="H939" t="s">
        <v>74</v>
      </c>
      <c r="I939" t="s">
        <v>17682</v>
      </c>
      <c r="J939" t="s">
        <v>17683</v>
      </c>
      <c r="K939" t="s">
        <v>74</v>
      </c>
      <c r="L939" t="s">
        <v>74</v>
      </c>
      <c r="M939" t="s">
        <v>78</v>
      </c>
      <c r="N939" t="s">
        <v>79</v>
      </c>
      <c r="O939" t="s">
        <v>74</v>
      </c>
      <c r="P939" t="s">
        <v>74</v>
      </c>
      <c r="Q939" t="s">
        <v>74</v>
      </c>
      <c r="R939" t="s">
        <v>74</v>
      </c>
      <c r="S939" t="s">
        <v>74</v>
      </c>
      <c r="T939" t="s">
        <v>17684</v>
      </c>
      <c r="U939" t="s">
        <v>17685</v>
      </c>
      <c r="V939" t="s">
        <v>17686</v>
      </c>
      <c r="W939" t="s">
        <v>17687</v>
      </c>
      <c r="X939" t="s">
        <v>17688</v>
      </c>
      <c r="Y939" t="s">
        <v>17689</v>
      </c>
      <c r="Z939" t="s">
        <v>17690</v>
      </c>
      <c r="AA939" t="s">
        <v>17691</v>
      </c>
      <c r="AB939" t="s">
        <v>17692</v>
      </c>
      <c r="AC939" t="s">
        <v>17693</v>
      </c>
      <c r="AD939" t="s">
        <v>17693</v>
      </c>
      <c r="AE939" t="s">
        <v>17693</v>
      </c>
      <c r="AF939" t="s">
        <v>74</v>
      </c>
      <c r="AG939">
        <v>108</v>
      </c>
      <c r="AH939">
        <v>1</v>
      </c>
      <c r="AI939">
        <v>1</v>
      </c>
      <c r="AJ939">
        <v>31</v>
      </c>
      <c r="AK939">
        <v>34</v>
      </c>
      <c r="AL939" t="s">
        <v>9537</v>
      </c>
      <c r="AM939" t="s">
        <v>2294</v>
      </c>
      <c r="AN939" t="s">
        <v>9538</v>
      </c>
      <c r="AO939" t="s">
        <v>17694</v>
      </c>
      <c r="AP939" t="s">
        <v>74</v>
      </c>
      <c r="AQ939" t="s">
        <v>74</v>
      </c>
      <c r="AR939" t="s">
        <v>17683</v>
      </c>
      <c r="AS939" t="s">
        <v>17695</v>
      </c>
      <c r="AT939" t="s">
        <v>17628</v>
      </c>
      <c r="AU939">
        <v>2023</v>
      </c>
      <c r="AV939">
        <v>24</v>
      </c>
      <c r="AW939">
        <v>1</v>
      </c>
      <c r="AX939" t="s">
        <v>74</v>
      </c>
      <c r="AY939" t="s">
        <v>74</v>
      </c>
      <c r="AZ939" t="s">
        <v>74</v>
      </c>
      <c r="BA939" t="s">
        <v>74</v>
      </c>
      <c r="BB939" t="s">
        <v>74</v>
      </c>
      <c r="BC939" t="s">
        <v>74</v>
      </c>
      <c r="BD939">
        <v>545</v>
      </c>
      <c r="BE939" t="s">
        <v>17696</v>
      </c>
      <c r="BF939" t="str">
        <f>HYPERLINK("http://dx.doi.org/10.1186/s12864-023-09587-9","http://dx.doi.org/10.1186/s12864-023-09587-9")</f>
        <v>http://dx.doi.org/10.1186/s12864-023-09587-9</v>
      </c>
      <c r="BG939" t="s">
        <v>74</v>
      </c>
      <c r="BH939" t="s">
        <v>74</v>
      </c>
      <c r="BI939">
        <v>18</v>
      </c>
      <c r="BJ939" t="s">
        <v>17697</v>
      </c>
      <c r="BK939" t="s">
        <v>100</v>
      </c>
      <c r="BL939" t="s">
        <v>17697</v>
      </c>
      <c r="BM939" t="s">
        <v>17698</v>
      </c>
      <c r="BN939">
        <v>37710165</v>
      </c>
      <c r="BO939" t="s">
        <v>200</v>
      </c>
      <c r="BP939" t="s">
        <v>74</v>
      </c>
      <c r="BQ939" t="s">
        <v>74</v>
      </c>
      <c r="BR939" t="s">
        <v>104</v>
      </c>
      <c r="BS939" t="s">
        <v>17699</v>
      </c>
      <c r="BT939" t="str">
        <f>HYPERLINK("https%3A%2F%2Fwww.webofscience.com%2Fwos%2Fwoscc%2Ffull-record%2FWOS:001067084300002","View Full Record in Web of Science")</f>
        <v>View Full Record in Web of Science</v>
      </c>
    </row>
    <row r="940" spans="1:72" x14ac:dyDescent="0.15">
      <c r="A940" t="s">
        <v>72</v>
      </c>
      <c r="B940" t="s">
        <v>17700</v>
      </c>
      <c r="C940" t="s">
        <v>74</v>
      </c>
      <c r="D940" t="s">
        <v>74</v>
      </c>
      <c r="E940" t="s">
        <v>74</v>
      </c>
      <c r="F940" t="s">
        <v>17701</v>
      </c>
      <c r="G940" t="s">
        <v>74</v>
      </c>
      <c r="H940" t="s">
        <v>74</v>
      </c>
      <c r="I940" t="s">
        <v>17702</v>
      </c>
      <c r="J940" t="s">
        <v>12471</v>
      </c>
      <c r="K940" t="s">
        <v>74</v>
      </c>
      <c r="L940" t="s">
        <v>74</v>
      </c>
      <c r="M940" t="s">
        <v>78</v>
      </c>
      <c r="N940" t="s">
        <v>79</v>
      </c>
      <c r="O940" t="s">
        <v>74</v>
      </c>
      <c r="P940" t="s">
        <v>74</v>
      </c>
      <c r="Q940" t="s">
        <v>74</v>
      </c>
      <c r="R940" t="s">
        <v>74</v>
      </c>
      <c r="S940" t="s">
        <v>74</v>
      </c>
      <c r="T940" t="s">
        <v>17703</v>
      </c>
      <c r="U940" t="s">
        <v>17704</v>
      </c>
      <c r="V940" t="s">
        <v>17705</v>
      </c>
      <c r="W940" t="s">
        <v>17706</v>
      </c>
      <c r="X940" t="s">
        <v>17707</v>
      </c>
      <c r="Y940" t="s">
        <v>17708</v>
      </c>
      <c r="Z940" t="s">
        <v>17709</v>
      </c>
      <c r="AA940" t="s">
        <v>74</v>
      </c>
      <c r="AB940" t="s">
        <v>17710</v>
      </c>
      <c r="AC940" t="s">
        <v>17711</v>
      </c>
      <c r="AD940" t="s">
        <v>17712</v>
      </c>
      <c r="AE940" t="s">
        <v>17713</v>
      </c>
      <c r="AF940" t="s">
        <v>74</v>
      </c>
      <c r="AG940">
        <v>44</v>
      </c>
      <c r="AH940">
        <v>0</v>
      </c>
      <c r="AI940">
        <v>0</v>
      </c>
      <c r="AJ940">
        <v>2</v>
      </c>
      <c r="AK940">
        <v>2</v>
      </c>
      <c r="AL940" t="s">
        <v>1101</v>
      </c>
      <c r="AM940" t="s">
        <v>1102</v>
      </c>
      <c r="AN940" t="s">
        <v>1103</v>
      </c>
      <c r="AO940" t="s">
        <v>12481</v>
      </c>
      <c r="AP940" t="s">
        <v>12482</v>
      </c>
      <c r="AQ940" t="s">
        <v>74</v>
      </c>
      <c r="AR940" t="s">
        <v>12483</v>
      </c>
      <c r="AS940" t="s">
        <v>12484</v>
      </c>
      <c r="AT940" t="s">
        <v>17714</v>
      </c>
      <c r="AU940">
        <v>2023</v>
      </c>
      <c r="AV940">
        <v>140</v>
      </c>
      <c r="AW940">
        <v>46</v>
      </c>
      <c r="AX940" t="s">
        <v>74</v>
      </c>
      <c r="AY940" t="s">
        <v>74</v>
      </c>
      <c r="AZ940" t="s">
        <v>74</v>
      </c>
      <c r="BA940" t="s">
        <v>74</v>
      </c>
      <c r="BB940" t="s">
        <v>74</v>
      </c>
      <c r="BC940" t="s">
        <v>74</v>
      </c>
      <c r="BD940" t="s">
        <v>74</v>
      </c>
      <c r="BE940" t="s">
        <v>17715</v>
      </c>
      <c r="BF940" t="str">
        <f>HYPERLINK("http://dx.doi.org/10.1002/app.54688","http://dx.doi.org/10.1002/app.54688")</f>
        <v>http://dx.doi.org/10.1002/app.54688</v>
      </c>
      <c r="BG940" t="s">
        <v>74</v>
      </c>
      <c r="BH940" t="s">
        <v>15880</v>
      </c>
      <c r="BI940">
        <v>15</v>
      </c>
      <c r="BJ940" t="s">
        <v>8433</v>
      </c>
      <c r="BK940" t="s">
        <v>100</v>
      </c>
      <c r="BL940" t="s">
        <v>8433</v>
      </c>
      <c r="BM940" t="s">
        <v>17716</v>
      </c>
      <c r="BN940" t="s">
        <v>74</v>
      </c>
      <c r="BO940" t="s">
        <v>74</v>
      </c>
      <c r="BP940" t="s">
        <v>74</v>
      </c>
      <c r="BQ940" t="s">
        <v>74</v>
      </c>
      <c r="BR940" t="s">
        <v>104</v>
      </c>
      <c r="BS940" t="s">
        <v>17717</v>
      </c>
      <c r="BT940" t="str">
        <f>HYPERLINK("https%3A%2F%2Fwww.webofscience.com%2Fwos%2Fwoscc%2Ffull-record%2FWOS:001067519500001","View Full Record in Web of Science")</f>
        <v>View Full Record in Web of Science</v>
      </c>
    </row>
    <row r="941" spans="1:72" x14ac:dyDescent="0.15">
      <c r="A941" t="s">
        <v>72</v>
      </c>
      <c r="B941" t="s">
        <v>17718</v>
      </c>
      <c r="C941" t="s">
        <v>74</v>
      </c>
      <c r="D941" t="s">
        <v>74</v>
      </c>
      <c r="E941" t="s">
        <v>74</v>
      </c>
      <c r="F941" t="s">
        <v>17719</v>
      </c>
      <c r="G941" t="s">
        <v>74</v>
      </c>
      <c r="H941" t="s">
        <v>74</v>
      </c>
      <c r="I941" t="s">
        <v>17720</v>
      </c>
      <c r="J941" t="s">
        <v>17721</v>
      </c>
      <c r="K941" t="s">
        <v>74</v>
      </c>
      <c r="L941" t="s">
        <v>74</v>
      </c>
      <c r="M941" t="s">
        <v>78</v>
      </c>
      <c r="N941" t="s">
        <v>79</v>
      </c>
      <c r="O941" t="s">
        <v>74</v>
      </c>
      <c r="P941" t="s">
        <v>74</v>
      </c>
      <c r="Q941" t="s">
        <v>74</v>
      </c>
      <c r="R941" t="s">
        <v>74</v>
      </c>
      <c r="S941" t="s">
        <v>74</v>
      </c>
      <c r="T941" t="s">
        <v>17722</v>
      </c>
      <c r="U941" t="s">
        <v>17723</v>
      </c>
      <c r="V941" t="s">
        <v>17724</v>
      </c>
      <c r="W941" t="s">
        <v>17725</v>
      </c>
      <c r="X941" t="s">
        <v>17726</v>
      </c>
      <c r="Y941" t="s">
        <v>17727</v>
      </c>
      <c r="Z941" t="s">
        <v>17728</v>
      </c>
      <c r="AA941" t="s">
        <v>74</v>
      </c>
      <c r="AB941" t="s">
        <v>17729</v>
      </c>
      <c r="AC941" t="s">
        <v>17730</v>
      </c>
      <c r="AD941" t="s">
        <v>17731</v>
      </c>
      <c r="AE941" t="s">
        <v>17732</v>
      </c>
      <c r="AF941" t="s">
        <v>74</v>
      </c>
      <c r="AG941">
        <v>15</v>
      </c>
      <c r="AH941">
        <v>0</v>
      </c>
      <c r="AI941">
        <v>0</v>
      </c>
      <c r="AJ941">
        <v>3</v>
      </c>
      <c r="AK941">
        <v>3</v>
      </c>
      <c r="AL941" t="s">
        <v>3812</v>
      </c>
      <c r="AM941" t="s">
        <v>3813</v>
      </c>
      <c r="AN941" t="s">
        <v>3814</v>
      </c>
      <c r="AO941" t="s">
        <v>17733</v>
      </c>
      <c r="AP941" t="s">
        <v>17734</v>
      </c>
      <c r="AQ941" t="s">
        <v>74</v>
      </c>
      <c r="AR941" t="s">
        <v>17735</v>
      </c>
      <c r="AS941" t="s">
        <v>17736</v>
      </c>
      <c r="AT941" t="s">
        <v>954</v>
      </c>
      <c r="AU941">
        <v>2024</v>
      </c>
      <c r="AV941">
        <v>165</v>
      </c>
      <c r="AW941">
        <v>1</v>
      </c>
      <c r="AX941" t="s">
        <v>74</v>
      </c>
      <c r="AY941" t="s">
        <v>74</v>
      </c>
      <c r="AZ941" t="s">
        <v>74</v>
      </c>
      <c r="BA941" t="s">
        <v>74</v>
      </c>
      <c r="BB941">
        <v>263</v>
      </c>
      <c r="BC941">
        <v>267</v>
      </c>
      <c r="BD941" t="s">
        <v>74</v>
      </c>
      <c r="BE941" t="s">
        <v>17737</v>
      </c>
      <c r="BF941" t="str">
        <f>HYPERLINK("http://dx.doi.org/10.1007/s10336-023-02109-0","http://dx.doi.org/10.1007/s10336-023-02109-0")</f>
        <v>http://dx.doi.org/10.1007/s10336-023-02109-0</v>
      </c>
      <c r="BG941" t="s">
        <v>74</v>
      </c>
      <c r="BH941" t="s">
        <v>15880</v>
      </c>
      <c r="BI941">
        <v>5</v>
      </c>
      <c r="BJ941" t="s">
        <v>3084</v>
      </c>
      <c r="BK941" t="s">
        <v>100</v>
      </c>
      <c r="BL941" t="s">
        <v>1568</v>
      </c>
      <c r="BM941" t="s">
        <v>17738</v>
      </c>
      <c r="BN941" t="s">
        <v>74</v>
      </c>
      <c r="BO941" t="s">
        <v>74</v>
      </c>
      <c r="BP941" t="s">
        <v>74</v>
      </c>
      <c r="BQ941" t="s">
        <v>74</v>
      </c>
      <c r="BR941" t="s">
        <v>104</v>
      </c>
      <c r="BS941" t="s">
        <v>17739</v>
      </c>
      <c r="BT941" t="str">
        <f>HYPERLINK("https%3A%2F%2Fwww.webofscience.com%2Fwos%2Fwoscc%2Ffull-record%2FWOS:001068032800001","View Full Record in Web of Science")</f>
        <v>View Full Record in Web of Science</v>
      </c>
    </row>
    <row r="942" spans="1:72" x14ac:dyDescent="0.15">
      <c r="A942" t="s">
        <v>72</v>
      </c>
      <c r="B942" t="s">
        <v>17740</v>
      </c>
      <c r="C942" t="s">
        <v>74</v>
      </c>
      <c r="D942" t="s">
        <v>74</v>
      </c>
      <c r="E942" t="s">
        <v>74</v>
      </c>
      <c r="F942" t="s">
        <v>17741</v>
      </c>
      <c r="G942" t="s">
        <v>74</v>
      </c>
      <c r="H942" t="s">
        <v>74</v>
      </c>
      <c r="I942" t="s">
        <v>17742</v>
      </c>
      <c r="J942" t="s">
        <v>2828</v>
      </c>
      <c r="K942" t="s">
        <v>74</v>
      </c>
      <c r="L942" t="s">
        <v>74</v>
      </c>
      <c r="M942" t="s">
        <v>78</v>
      </c>
      <c r="N942" t="s">
        <v>79</v>
      </c>
      <c r="O942" t="s">
        <v>74</v>
      </c>
      <c r="P942" t="s">
        <v>74</v>
      </c>
      <c r="Q942" t="s">
        <v>74</v>
      </c>
      <c r="R942" t="s">
        <v>74</v>
      </c>
      <c r="S942" t="s">
        <v>74</v>
      </c>
      <c r="T942" t="s">
        <v>74</v>
      </c>
      <c r="U942" t="s">
        <v>17743</v>
      </c>
      <c r="V942" t="s">
        <v>17744</v>
      </c>
      <c r="W942" t="s">
        <v>17745</v>
      </c>
      <c r="X942" t="s">
        <v>17746</v>
      </c>
      <c r="Y942" t="s">
        <v>17747</v>
      </c>
      <c r="Z942" t="s">
        <v>17748</v>
      </c>
      <c r="AA942" t="s">
        <v>17749</v>
      </c>
      <c r="AB942" t="s">
        <v>17750</v>
      </c>
      <c r="AC942" t="s">
        <v>17751</v>
      </c>
      <c r="AD942" t="s">
        <v>17751</v>
      </c>
      <c r="AE942" t="s">
        <v>17752</v>
      </c>
      <c r="AF942" t="s">
        <v>74</v>
      </c>
      <c r="AG942">
        <v>84</v>
      </c>
      <c r="AH942">
        <v>0</v>
      </c>
      <c r="AI942">
        <v>0</v>
      </c>
      <c r="AJ942">
        <v>4</v>
      </c>
      <c r="AK942">
        <v>4</v>
      </c>
      <c r="AL942" t="s">
        <v>1838</v>
      </c>
      <c r="AM942" t="s">
        <v>1839</v>
      </c>
      <c r="AN942" t="s">
        <v>1840</v>
      </c>
      <c r="AO942" t="s">
        <v>2839</v>
      </c>
      <c r="AP942" t="s">
        <v>2840</v>
      </c>
      <c r="AQ942" t="s">
        <v>74</v>
      </c>
      <c r="AR942" t="s">
        <v>2841</v>
      </c>
      <c r="AS942" t="s">
        <v>2842</v>
      </c>
      <c r="AT942" t="s">
        <v>17753</v>
      </c>
      <c r="AU942">
        <v>2023</v>
      </c>
      <c r="AV942">
        <v>42</v>
      </c>
      <c r="AW942">
        <v>2</v>
      </c>
      <c r="AX942" t="s">
        <v>74</v>
      </c>
      <c r="AY942" t="s">
        <v>74</v>
      </c>
      <c r="AZ942" t="s">
        <v>74</v>
      </c>
      <c r="BA942" t="s">
        <v>74</v>
      </c>
      <c r="BB942">
        <v>95</v>
      </c>
      <c r="BC942">
        <v>115</v>
      </c>
      <c r="BD942" t="s">
        <v>74</v>
      </c>
      <c r="BE942" t="s">
        <v>17754</v>
      </c>
      <c r="BF942" t="str">
        <f>HYPERLINK("http://dx.doi.org/10.5194/jm-42-95-2023","http://dx.doi.org/10.5194/jm-42-95-2023")</f>
        <v>http://dx.doi.org/10.5194/jm-42-95-2023</v>
      </c>
      <c r="BG942" t="s">
        <v>74</v>
      </c>
      <c r="BH942" t="s">
        <v>74</v>
      </c>
      <c r="BI942">
        <v>21</v>
      </c>
      <c r="BJ942" t="s">
        <v>2844</v>
      </c>
      <c r="BK942" t="s">
        <v>100</v>
      </c>
      <c r="BL942" t="s">
        <v>2844</v>
      </c>
      <c r="BM942" t="s">
        <v>17755</v>
      </c>
      <c r="BN942" t="s">
        <v>74</v>
      </c>
      <c r="BO942" t="s">
        <v>131</v>
      </c>
      <c r="BP942" t="s">
        <v>74</v>
      </c>
      <c r="BQ942" t="s">
        <v>74</v>
      </c>
      <c r="BR942" t="s">
        <v>104</v>
      </c>
      <c r="BS942" t="s">
        <v>17756</v>
      </c>
      <c r="BT942" t="str">
        <f>HYPERLINK("https%3A%2F%2Fwww.webofscience.com%2Fwos%2Fwoscc%2Ffull-record%2FWOS:001161781200001","View Full Record in Web of Science")</f>
        <v>View Full Record in Web of Science</v>
      </c>
    </row>
    <row r="943" spans="1:72" x14ac:dyDescent="0.15">
      <c r="A943" t="s">
        <v>72</v>
      </c>
      <c r="B943" t="s">
        <v>17757</v>
      </c>
      <c r="C943" t="s">
        <v>74</v>
      </c>
      <c r="D943" t="s">
        <v>74</v>
      </c>
      <c r="E943" t="s">
        <v>74</v>
      </c>
      <c r="F943" t="s">
        <v>17758</v>
      </c>
      <c r="G943" t="s">
        <v>74</v>
      </c>
      <c r="H943" t="s">
        <v>74</v>
      </c>
      <c r="I943" t="s">
        <v>17759</v>
      </c>
      <c r="J943" t="s">
        <v>2518</v>
      </c>
      <c r="K943" t="s">
        <v>74</v>
      </c>
      <c r="L943" t="s">
        <v>74</v>
      </c>
      <c r="M943" t="s">
        <v>78</v>
      </c>
      <c r="N943" t="s">
        <v>79</v>
      </c>
      <c r="O943" t="s">
        <v>74</v>
      </c>
      <c r="P943" t="s">
        <v>74</v>
      </c>
      <c r="Q943" t="s">
        <v>74</v>
      </c>
      <c r="R943" t="s">
        <v>74</v>
      </c>
      <c r="S943" t="s">
        <v>74</v>
      </c>
      <c r="T943" t="s">
        <v>74</v>
      </c>
      <c r="U943" t="s">
        <v>17760</v>
      </c>
      <c r="V943" t="s">
        <v>17761</v>
      </c>
      <c r="W943" t="s">
        <v>17762</v>
      </c>
      <c r="X943" t="s">
        <v>17763</v>
      </c>
      <c r="Y943" t="s">
        <v>17764</v>
      </c>
      <c r="Z943" t="s">
        <v>17765</v>
      </c>
      <c r="AA943" t="s">
        <v>74</v>
      </c>
      <c r="AB943" t="s">
        <v>17766</v>
      </c>
      <c r="AC943" t="s">
        <v>17767</v>
      </c>
      <c r="AD943" t="s">
        <v>17768</v>
      </c>
      <c r="AE943" t="s">
        <v>17769</v>
      </c>
      <c r="AF943" t="s">
        <v>74</v>
      </c>
      <c r="AG943">
        <v>60</v>
      </c>
      <c r="AH943">
        <v>22</v>
      </c>
      <c r="AI943">
        <v>22</v>
      </c>
      <c r="AJ943">
        <v>16</v>
      </c>
      <c r="AK943">
        <v>18</v>
      </c>
      <c r="AL943" t="s">
        <v>2529</v>
      </c>
      <c r="AM943" t="s">
        <v>2294</v>
      </c>
      <c r="AN943" t="s">
        <v>2530</v>
      </c>
      <c r="AO943" t="s">
        <v>74</v>
      </c>
      <c r="AP943" t="s">
        <v>2531</v>
      </c>
      <c r="AQ943" t="s">
        <v>74</v>
      </c>
      <c r="AR943" t="s">
        <v>2532</v>
      </c>
      <c r="AS943" t="s">
        <v>2533</v>
      </c>
      <c r="AT943" t="s">
        <v>17753</v>
      </c>
      <c r="AU943">
        <v>2023</v>
      </c>
      <c r="AV943">
        <v>4</v>
      </c>
      <c r="AW943">
        <v>1</v>
      </c>
      <c r="AX943" t="s">
        <v>74</v>
      </c>
      <c r="AY943" t="s">
        <v>74</v>
      </c>
      <c r="AZ943" t="s">
        <v>74</v>
      </c>
      <c r="BA943" t="s">
        <v>74</v>
      </c>
      <c r="BB943" t="s">
        <v>74</v>
      </c>
      <c r="BC943" t="s">
        <v>74</v>
      </c>
      <c r="BD943">
        <v>314</v>
      </c>
      <c r="BE943" t="s">
        <v>17770</v>
      </c>
      <c r="BF943" t="str">
        <f>HYPERLINK("http://dx.doi.org/10.1038/s43247-023-00961-9","http://dx.doi.org/10.1038/s43247-023-00961-9")</f>
        <v>http://dx.doi.org/10.1038/s43247-023-00961-9</v>
      </c>
      <c r="BG943" t="s">
        <v>74</v>
      </c>
      <c r="BH943" t="s">
        <v>74</v>
      </c>
      <c r="BI943">
        <v>9</v>
      </c>
      <c r="BJ943" t="s">
        <v>2535</v>
      </c>
      <c r="BK943" t="s">
        <v>100</v>
      </c>
      <c r="BL943" t="s">
        <v>2536</v>
      </c>
      <c r="BM943" t="s">
        <v>17771</v>
      </c>
      <c r="BN943" t="s">
        <v>74</v>
      </c>
      <c r="BO943" t="s">
        <v>131</v>
      </c>
      <c r="BP943" t="s">
        <v>74</v>
      </c>
      <c r="BQ943" t="s">
        <v>74</v>
      </c>
      <c r="BR943" t="s">
        <v>104</v>
      </c>
      <c r="BS943" t="s">
        <v>17772</v>
      </c>
      <c r="BT943" t="str">
        <f>HYPERLINK("https%3A%2F%2Fwww.webofscience.com%2Fwos%2Fwoscc%2Ffull-record%2FWOS:001065299900002","View Full Record in Web of Science")</f>
        <v>View Full Record in Web of Science</v>
      </c>
    </row>
    <row r="944" spans="1:72" x14ac:dyDescent="0.15">
      <c r="A944" t="s">
        <v>72</v>
      </c>
      <c r="B944" t="s">
        <v>17773</v>
      </c>
      <c r="C944" t="s">
        <v>74</v>
      </c>
      <c r="D944" t="s">
        <v>74</v>
      </c>
      <c r="E944" t="s">
        <v>74</v>
      </c>
      <c r="F944" t="s">
        <v>17774</v>
      </c>
      <c r="G944" t="s">
        <v>74</v>
      </c>
      <c r="H944" t="s">
        <v>74</v>
      </c>
      <c r="I944" t="s">
        <v>17775</v>
      </c>
      <c r="J944" t="s">
        <v>1458</v>
      </c>
      <c r="K944" t="s">
        <v>74</v>
      </c>
      <c r="L944" t="s">
        <v>74</v>
      </c>
      <c r="M944" t="s">
        <v>78</v>
      </c>
      <c r="N944" t="s">
        <v>79</v>
      </c>
      <c r="O944" t="s">
        <v>74</v>
      </c>
      <c r="P944" t="s">
        <v>74</v>
      </c>
      <c r="Q944" t="s">
        <v>74</v>
      </c>
      <c r="R944" t="s">
        <v>74</v>
      </c>
      <c r="S944" t="s">
        <v>74</v>
      </c>
      <c r="T944" t="s">
        <v>74</v>
      </c>
      <c r="U944" t="s">
        <v>17776</v>
      </c>
      <c r="V944" t="s">
        <v>17777</v>
      </c>
      <c r="W944" t="s">
        <v>17778</v>
      </c>
      <c r="X944" t="s">
        <v>17779</v>
      </c>
      <c r="Y944" t="s">
        <v>17780</v>
      </c>
      <c r="Z944" t="s">
        <v>17781</v>
      </c>
      <c r="AA944" t="s">
        <v>17782</v>
      </c>
      <c r="AB944" t="s">
        <v>17783</v>
      </c>
      <c r="AC944" t="s">
        <v>17784</v>
      </c>
      <c r="AD944" t="s">
        <v>17785</v>
      </c>
      <c r="AE944" t="s">
        <v>17786</v>
      </c>
      <c r="AF944" t="s">
        <v>74</v>
      </c>
      <c r="AG944">
        <v>71</v>
      </c>
      <c r="AH944">
        <v>0</v>
      </c>
      <c r="AI944">
        <v>0</v>
      </c>
      <c r="AJ944">
        <v>10</v>
      </c>
      <c r="AK944">
        <v>13</v>
      </c>
      <c r="AL944" t="s">
        <v>1101</v>
      </c>
      <c r="AM944" t="s">
        <v>1102</v>
      </c>
      <c r="AN944" t="s">
        <v>1103</v>
      </c>
      <c r="AO944" t="s">
        <v>74</v>
      </c>
      <c r="AP944" t="s">
        <v>1471</v>
      </c>
      <c r="AQ944" t="s">
        <v>74</v>
      </c>
      <c r="AR944" t="s">
        <v>1472</v>
      </c>
      <c r="AS944" t="s">
        <v>1473</v>
      </c>
      <c r="AT944" t="s">
        <v>1947</v>
      </c>
      <c r="AU944">
        <v>2023</v>
      </c>
      <c r="AV944">
        <v>8</v>
      </c>
      <c r="AW944">
        <v>6</v>
      </c>
      <c r="AX944" t="s">
        <v>74</v>
      </c>
      <c r="AY944" t="s">
        <v>74</v>
      </c>
      <c r="AZ944" t="s">
        <v>74</v>
      </c>
      <c r="BA944" t="s">
        <v>74</v>
      </c>
      <c r="BB944">
        <v>896</v>
      </c>
      <c r="BC944">
        <v>905</v>
      </c>
      <c r="BD944" t="s">
        <v>74</v>
      </c>
      <c r="BE944" t="s">
        <v>17787</v>
      </c>
      <c r="BF944" t="str">
        <f>HYPERLINK("http://dx.doi.org/10.1002/lol2.10355","http://dx.doi.org/10.1002/lol2.10355")</f>
        <v>http://dx.doi.org/10.1002/lol2.10355</v>
      </c>
      <c r="BG944" t="s">
        <v>74</v>
      </c>
      <c r="BH944" t="s">
        <v>15880</v>
      </c>
      <c r="BI944">
        <v>10</v>
      </c>
      <c r="BJ944" t="s">
        <v>1475</v>
      </c>
      <c r="BK944" t="s">
        <v>100</v>
      </c>
      <c r="BL944" t="s">
        <v>1476</v>
      </c>
      <c r="BM944" t="s">
        <v>17788</v>
      </c>
      <c r="BN944" t="s">
        <v>74</v>
      </c>
      <c r="BO944" t="s">
        <v>131</v>
      </c>
      <c r="BP944" t="s">
        <v>74</v>
      </c>
      <c r="BQ944" t="s">
        <v>74</v>
      </c>
      <c r="BR944" t="s">
        <v>104</v>
      </c>
      <c r="BS944" t="s">
        <v>17789</v>
      </c>
      <c r="BT944" t="str">
        <f>HYPERLINK("https%3A%2F%2Fwww.webofscience.com%2Fwos%2Fwoscc%2Ffull-record%2FWOS:001067050400001","View Full Record in Web of Science")</f>
        <v>View Full Record in Web of Science</v>
      </c>
    </row>
    <row r="945" spans="1:72" x14ac:dyDescent="0.15">
      <c r="A945" t="s">
        <v>72</v>
      </c>
      <c r="B945" t="s">
        <v>17790</v>
      </c>
      <c r="C945" t="s">
        <v>74</v>
      </c>
      <c r="D945" t="s">
        <v>74</v>
      </c>
      <c r="E945" t="s">
        <v>74</v>
      </c>
      <c r="F945" t="s">
        <v>17791</v>
      </c>
      <c r="G945" t="s">
        <v>74</v>
      </c>
      <c r="H945" t="s">
        <v>74</v>
      </c>
      <c r="I945" t="s">
        <v>17792</v>
      </c>
      <c r="J945" t="s">
        <v>17793</v>
      </c>
      <c r="K945" t="s">
        <v>74</v>
      </c>
      <c r="L945" t="s">
        <v>74</v>
      </c>
      <c r="M945" t="s">
        <v>78</v>
      </c>
      <c r="N945" t="s">
        <v>79</v>
      </c>
      <c r="O945" t="s">
        <v>74</v>
      </c>
      <c r="P945" t="s">
        <v>74</v>
      </c>
      <c r="Q945" t="s">
        <v>74</v>
      </c>
      <c r="R945" t="s">
        <v>74</v>
      </c>
      <c r="S945" t="s">
        <v>74</v>
      </c>
      <c r="T945" t="s">
        <v>17794</v>
      </c>
      <c r="U945" t="s">
        <v>17795</v>
      </c>
      <c r="V945" t="s">
        <v>17796</v>
      </c>
      <c r="W945" t="s">
        <v>17797</v>
      </c>
      <c r="X945" t="s">
        <v>17798</v>
      </c>
      <c r="Y945" t="s">
        <v>17799</v>
      </c>
      <c r="Z945" t="s">
        <v>17800</v>
      </c>
      <c r="AA945" t="s">
        <v>17801</v>
      </c>
      <c r="AB945" t="s">
        <v>17802</v>
      </c>
      <c r="AC945" t="s">
        <v>17803</v>
      </c>
      <c r="AD945" t="s">
        <v>17803</v>
      </c>
      <c r="AE945" t="s">
        <v>17804</v>
      </c>
      <c r="AF945" t="s">
        <v>74</v>
      </c>
      <c r="AG945">
        <v>92</v>
      </c>
      <c r="AH945">
        <v>1</v>
      </c>
      <c r="AI945">
        <v>1</v>
      </c>
      <c r="AJ945">
        <v>8</v>
      </c>
      <c r="AK945">
        <v>12</v>
      </c>
      <c r="AL945" t="s">
        <v>3719</v>
      </c>
      <c r="AM945" t="s">
        <v>1209</v>
      </c>
      <c r="AN945" t="s">
        <v>3720</v>
      </c>
      <c r="AO945" t="s">
        <v>17805</v>
      </c>
      <c r="AP945" t="s">
        <v>74</v>
      </c>
      <c r="AQ945" t="s">
        <v>74</v>
      </c>
      <c r="AR945" t="s">
        <v>17793</v>
      </c>
      <c r="AS945" t="s">
        <v>17806</v>
      </c>
      <c r="AT945" t="s">
        <v>17753</v>
      </c>
      <c r="AU945">
        <v>2023</v>
      </c>
      <c r="AV945" t="s">
        <v>74</v>
      </c>
      <c r="AW945" t="s">
        <v>74</v>
      </c>
      <c r="AX945" t="s">
        <v>74</v>
      </c>
      <c r="AY945" t="s">
        <v>74</v>
      </c>
      <c r="AZ945" t="s">
        <v>74</v>
      </c>
      <c r="BA945" t="s">
        <v>74</v>
      </c>
      <c r="BB945" t="s">
        <v>74</v>
      </c>
      <c r="BC945" t="s">
        <v>74</v>
      </c>
      <c r="BD945" t="s">
        <v>17807</v>
      </c>
      <c r="BE945" t="s">
        <v>17808</v>
      </c>
      <c r="BF945" t="str">
        <f>HYPERLINK("http://dx.doi.org/10.1128/msystems.00197-23","http://dx.doi.org/10.1128/msystems.00197-23")</f>
        <v>http://dx.doi.org/10.1128/msystems.00197-23</v>
      </c>
      <c r="BG945" t="s">
        <v>74</v>
      </c>
      <c r="BH945" t="s">
        <v>74</v>
      </c>
      <c r="BI945">
        <v>22</v>
      </c>
      <c r="BJ945" t="s">
        <v>1084</v>
      </c>
      <c r="BK945" t="s">
        <v>100</v>
      </c>
      <c r="BL945" t="s">
        <v>1084</v>
      </c>
      <c r="BM945" t="s">
        <v>17809</v>
      </c>
      <c r="BN945">
        <v>37702511</v>
      </c>
      <c r="BO945" t="s">
        <v>265</v>
      </c>
      <c r="BP945" t="s">
        <v>74</v>
      </c>
      <c r="BQ945" t="s">
        <v>74</v>
      </c>
      <c r="BR945" t="s">
        <v>104</v>
      </c>
      <c r="BS945" t="s">
        <v>17810</v>
      </c>
      <c r="BT945" t="str">
        <f>HYPERLINK("https%3A%2F%2Fwww.webofscience.com%2Fwos%2Fwoscc%2Ffull-record%2FWOS:001066374200001","View Full Record in Web of Science")</f>
        <v>View Full Record in Web of Science</v>
      </c>
    </row>
    <row r="946" spans="1:72" x14ac:dyDescent="0.15">
      <c r="A946" t="s">
        <v>72</v>
      </c>
      <c r="B946" t="s">
        <v>17811</v>
      </c>
      <c r="C946" t="s">
        <v>74</v>
      </c>
      <c r="D946" t="s">
        <v>74</v>
      </c>
      <c r="E946" t="s">
        <v>74</v>
      </c>
      <c r="F946" t="s">
        <v>17812</v>
      </c>
      <c r="G946" t="s">
        <v>74</v>
      </c>
      <c r="H946" t="s">
        <v>74</v>
      </c>
      <c r="I946" t="s">
        <v>17813</v>
      </c>
      <c r="J946" t="s">
        <v>3384</v>
      </c>
      <c r="K946" t="s">
        <v>74</v>
      </c>
      <c r="L946" t="s">
        <v>74</v>
      </c>
      <c r="M946" t="s">
        <v>78</v>
      </c>
      <c r="N946" t="s">
        <v>79</v>
      </c>
      <c r="O946" t="s">
        <v>74</v>
      </c>
      <c r="P946" t="s">
        <v>74</v>
      </c>
      <c r="Q946" t="s">
        <v>74</v>
      </c>
      <c r="R946" t="s">
        <v>74</v>
      </c>
      <c r="S946" t="s">
        <v>74</v>
      </c>
      <c r="T946" t="s">
        <v>74</v>
      </c>
      <c r="U946" t="s">
        <v>17814</v>
      </c>
      <c r="V946" t="s">
        <v>17815</v>
      </c>
      <c r="W946" t="s">
        <v>17816</v>
      </c>
      <c r="X946" t="s">
        <v>17817</v>
      </c>
      <c r="Y946" t="s">
        <v>17818</v>
      </c>
      <c r="Z946" t="s">
        <v>17819</v>
      </c>
      <c r="AA946" t="s">
        <v>17820</v>
      </c>
      <c r="AB946" t="s">
        <v>17821</v>
      </c>
      <c r="AC946" t="s">
        <v>17822</v>
      </c>
      <c r="AD946" t="s">
        <v>17823</v>
      </c>
      <c r="AE946" t="s">
        <v>17824</v>
      </c>
      <c r="AF946" t="s">
        <v>74</v>
      </c>
      <c r="AG946">
        <v>114</v>
      </c>
      <c r="AH946">
        <v>3</v>
      </c>
      <c r="AI946">
        <v>3</v>
      </c>
      <c r="AJ946">
        <v>11</v>
      </c>
      <c r="AK946">
        <v>12</v>
      </c>
      <c r="AL946" t="s">
        <v>3057</v>
      </c>
      <c r="AM946" t="s">
        <v>3058</v>
      </c>
      <c r="AN946" t="s">
        <v>3059</v>
      </c>
      <c r="AO946" t="s">
        <v>74</v>
      </c>
      <c r="AP946" t="s">
        <v>3396</v>
      </c>
      <c r="AQ946" t="s">
        <v>74</v>
      </c>
      <c r="AR946" t="s">
        <v>3397</v>
      </c>
      <c r="AS946" t="s">
        <v>3398</v>
      </c>
      <c r="AT946" t="s">
        <v>17825</v>
      </c>
      <c r="AU946">
        <v>2023</v>
      </c>
      <c r="AV946">
        <v>14</v>
      </c>
      <c r="AW946">
        <v>1</v>
      </c>
      <c r="AX946" t="s">
        <v>74</v>
      </c>
      <c r="AY946" t="s">
        <v>74</v>
      </c>
      <c r="AZ946" t="s">
        <v>74</v>
      </c>
      <c r="BA946" t="s">
        <v>74</v>
      </c>
      <c r="BB946" t="s">
        <v>74</v>
      </c>
      <c r="BC946" t="s">
        <v>74</v>
      </c>
      <c r="BD946">
        <v>5465</v>
      </c>
      <c r="BE946" t="s">
        <v>17826</v>
      </c>
      <c r="BF946" t="str">
        <f>HYPERLINK("http://dx.doi.org/10.1038/s41467-023-40052-z","http://dx.doi.org/10.1038/s41467-023-40052-z")</f>
        <v>http://dx.doi.org/10.1038/s41467-023-40052-z</v>
      </c>
      <c r="BG946" t="s">
        <v>74</v>
      </c>
      <c r="BH946" t="s">
        <v>74</v>
      </c>
      <c r="BI946">
        <v>18</v>
      </c>
      <c r="BJ946" t="s">
        <v>1035</v>
      </c>
      <c r="BK946" t="s">
        <v>100</v>
      </c>
      <c r="BL946" t="s">
        <v>1036</v>
      </c>
      <c r="BM946" t="s">
        <v>17827</v>
      </c>
      <c r="BN946">
        <v>37699896</v>
      </c>
      <c r="BO946" t="s">
        <v>200</v>
      </c>
      <c r="BP946" t="s">
        <v>74</v>
      </c>
      <c r="BQ946" t="s">
        <v>74</v>
      </c>
      <c r="BR946" t="s">
        <v>104</v>
      </c>
      <c r="BS946" t="s">
        <v>17828</v>
      </c>
      <c r="BT946" t="str">
        <f>HYPERLINK("https%3A%2F%2Fwww.webofscience.com%2Fwos%2Fwoscc%2Ffull-record%2FWOS:001068217000028","View Full Record in Web of Science")</f>
        <v>View Full Record in Web of Science</v>
      </c>
    </row>
    <row r="947" spans="1:72" x14ac:dyDescent="0.15">
      <c r="A947" t="s">
        <v>72</v>
      </c>
      <c r="B947" t="s">
        <v>17829</v>
      </c>
      <c r="C947" t="s">
        <v>74</v>
      </c>
      <c r="D947" t="s">
        <v>74</v>
      </c>
      <c r="E947" t="s">
        <v>74</v>
      </c>
      <c r="F947" t="s">
        <v>17830</v>
      </c>
      <c r="G947" t="s">
        <v>74</v>
      </c>
      <c r="H947" t="s">
        <v>74</v>
      </c>
      <c r="I947" t="s">
        <v>17831</v>
      </c>
      <c r="J947" t="s">
        <v>2434</v>
      </c>
      <c r="K947" t="s">
        <v>74</v>
      </c>
      <c r="L947" t="s">
        <v>74</v>
      </c>
      <c r="M947" t="s">
        <v>78</v>
      </c>
      <c r="N947" t="s">
        <v>79</v>
      </c>
      <c r="O947" t="s">
        <v>74</v>
      </c>
      <c r="P947" t="s">
        <v>74</v>
      </c>
      <c r="Q947" t="s">
        <v>74</v>
      </c>
      <c r="R947" t="s">
        <v>74</v>
      </c>
      <c r="S947" t="s">
        <v>74</v>
      </c>
      <c r="T947" t="s">
        <v>17832</v>
      </c>
      <c r="U947" t="s">
        <v>17833</v>
      </c>
      <c r="V947" t="s">
        <v>17834</v>
      </c>
      <c r="W947" t="s">
        <v>17835</v>
      </c>
      <c r="X947" t="s">
        <v>17836</v>
      </c>
      <c r="Y947" t="s">
        <v>17837</v>
      </c>
      <c r="Z947" t="s">
        <v>17838</v>
      </c>
      <c r="AA947" t="s">
        <v>74</v>
      </c>
      <c r="AB947" t="s">
        <v>17839</v>
      </c>
      <c r="AC947" t="s">
        <v>17840</v>
      </c>
      <c r="AD947" t="s">
        <v>17841</v>
      </c>
      <c r="AE947" t="s">
        <v>17842</v>
      </c>
      <c r="AF947" t="s">
        <v>74</v>
      </c>
      <c r="AG947">
        <v>49</v>
      </c>
      <c r="AH947">
        <v>0</v>
      </c>
      <c r="AI947">
        <v>0</v>
      </c>
      <c r="AJ947">
        <v>13</v>
      </c>
      <c r="AK947">
        <v>13</v>
      </c>
      <c r="AL947" t="s">
        <v>975</v>
      </c>
      <c r="AM947" t="s">
        <v>976</v>
      </c>
      <c r="AN947" t="s">
        <v>977</v>
      </c>
      <c r="AO947" t="s">
        <v>2446</v>
      </c>
      <c r="AP947" t="s">
        <v>2447</v>
      </c>
      <c r="AQ947" t="s">
        <v>74</v>
      </c>
      <c r="AR947" t="s">
        <v>2448</v>
      </c>
      <c r="AS947" t="s">
        <v>2449</v>
      </c>
      <c r="AT947" t="s">
        <v>9002</v>
      </c>
      <c r="AU947">
        <v>2023</v>
      </c>
      <c r="AV947">
        <v>313</v>
      </c>
      <c r="AW947" t="s">
        <v>74</v>
      </c>
      <c r="AX947" t="s">
        <v>74</v>
      </c>
      <c r="AY947" t="s">
        <v>74</v>
      </c>
      <c r="AZ947" t="s">
        <v>74</v>
      </c>
      <c r="BA947" t="s">
        <v>74</v>
      </c>
      <c r="BB947" t="s">
        <v>74</v>
      </c>
      <c r="BC947" t="s">
        <v>74</v>
      </c>
      <c r="BD947">
        <v>120073</v>
      </c>
      <c r="BE947" t="s">
        <v>17843</v>
      </c>
      <c r="BF947" t="str">
        <f>HYPERLINK("http://dx.doi.org/10.1016/j.atmosenv.2023.120073","http://dx.doi.org/10.1016/j.atmosenv.2023.120073")</f>
        <v>http://dx.doi.org/10.1016/j.atmosenv.2023.120073</v>
      </c>
      <c r="BG947" t="s">
        <v>74</v>
      </c>
      <c r="BH947" t="s">
        <v>15880</v>
      </c>
      <c r="BI947">
        <v>8</v>
      </c>
      <c r="BJ947" t="s">
        <v>2382</v>
      </c>
      <c r="BK947" t="s">
        <v>100</v>
      </c>
      <c r="BL947" t="s">
        <v>2383</v>
      </c>
      <c r="BM947" t="s">
        <v>17844</v>
      </c>
      <c r="BN947" t="s">
        <v>74</v>
      </c>
      <c r="BO947" t="s">
        <v>74</v>
      </c>
      <c r="BP947" t="s">
        <v>74</v>
      </c>
      <c r="BQ947" t="s">
        <v>74</v>
      </c>
      <c r="BR947" t="s">
        <v>104</v>
      </c>
      <c r="BS947" t="s">
        <v>17845</v>
      </c>
      <c r="BT947" t="str">
        <f>HYPERLINK("https%3A%2F%2Fwww.webofscience.com%2Fwos%2Fwoscc%2Ffull-record%2FWOS:001080670900001","View Full Record in Web of Science")</f>
        <v>View Full Record in Web of Science</v>
      </c>
    </row>
    <row r="948" spans="1:72" x14ac:dyDescent="0.15">
      <c r="A948" t="s">
        <v>72</v>
      </c>
      <c r="B948" t="s">
        <v>17846</v>
      </c>
      <c r="C948" t="s">
        <v>74</v>
      </c>
      <c r="D948" t="s">
        <v>74</v>
      </c>
      <c r="E948" t="s">
        <v>74</v>
      </c>
      <c r="F948" t="s">
        <v>17847</v>
      </c>
      <c r="G948" t="s">
        <v>74</v>
      </c>
      <c r="H948" t="s">
        <v>74</v>
      </c>
      <c r="I948" t="s">
        <v>17848</v>
      </c>
      <c r="J948" t="s">
        <v>2412</v>
      </c>
      <c r="K948" t="s">
        <v>74</v>
      </c>
      <c r="L948" t="s">
        <v>74</v>
      </c>
      <c r="M948" t="s">
        <v>78</v>
      </c>
      <c r="N948" t="s">
        <v>79</v>
      </c>
      <c r="O948" t="s">
        <v>74</v>
      </c>
      <c r="P948" t="s">
        <v>74</v>
      </c>
      <c r="Q948" t="s">
        <v>74</v>
      </c>
      <c r="R948" t="s">
        <v>74</v>
      </c>
      <c r="S948" t="s">
        <v>74</v>
      </c>
      <c r="T948" t="s">
        <v>17849</v>
      </c>
      <c r="U948" t="s">
        <v>17850</v>
      </c>
      <c r="V948" t="s">
        <v>17851</v>
      </c>
      <c r="W948" t="s">
        <v>17852</v>
      </c>
      <c r="X948" t="s">
        <v>17853</v>
      </c>
      <c r="Y948" t="s">
        <v>17854</v>
      </c>
      <c r="Z948" t="s">
        <v>17855</v>
      </c>
      <c r="AA948" t="s">
        <v>74</v>
      </c>
      <c r="AB948" t="s">
        <v>17856</v>
      </c>
      <c r="AC948" t="s">
        <v>17857</v>
      </c>
      <c r="AD948" t="s">
        <v>17858</v>
      </c>
      <c r="AE948" t="s">
        <v>17859</v>
      </c>
      <c r="AF948" t="s">
        <v>74</v>
      </c>
      <c r="AG948">
        <v>81</v>
      </c>
      <c r="AH948">
        <v>0</v>
      </c>
      <c r="AI948">
        <v>0</v>
      </c>
      <c r="AJ948">
        <v>5</v>
      </c>
      <c r="AK948">
        <v>5</v>
      </c>
      <c r="AL948" t="s">
        <v>947</v>
      </c>
      <c r="AM948" t="s">
        <v>948</v>
      </c>
      <c r="AN948" t="s">
        <v>949</v>
      </c>
      <c r="AO948" t="s">
        <v>2424</v>
      </c>
      <c r="AP948" t="s">
        <v>2425</v>
      </c>
      <c r="AQ948" t="s">
        <v>74</v>
      </c>
      <c r="AR948" t="s">
        <v>2426</v>
      </c>
      <c r="AS948" t="s">
        <v>2427</v>
      </c>
      <c r="AT948" t="s">
        <v>10415</v>
      </c>
      <c r="AU948">
        <v>2023</v>
      </c>
      <c r="AV948">
        <v>229</v>
      </c>
      <c r="AW948" t="s">
        <v>74</v>
      </c>
      <c r="AX948" t="s">
        <v>74</v>
      </c>
      <c r="AY948" t="s">
        <v>74</v>
      </c>
      <c r="AZ948" t="s">
        <v>74</v>
      </c>
      <c r="BA948" t="s">
        <v>74</v>
      </c>
      <c r="BB948" t="s">
        <v>74</v>
      </c>
      <c r="BC948" t="s">
        <v>74</v>
      </c>
      <c r="BD948">
        <v>104237</v>
      </c>
      <c r="BE948" t="s">
        <v>17860</v>
      </c>
      <c r="BF948" t="str">
        <f>HYPERLINK("http://dx.doi.org/10.1016/j.gloplacha.2023.104237","http://dx.doi.org/10.1016/j.gloplacha.2023.104237")</f>
        <v>http://dx.doi.org/10.1016/j.gloplacha.2023.104237</v>
      </c>
      <c r="BG948" t="s">
        <v>74</v>
      </c>
      <c r="BH948" t="s">
        <v>15880</v>
      </c>
      <c r="BI948">
        <v>15</v>
      </c>
      <c r="BJ948" t="s">
        <v>984</v>
      </c>
      <c r="BK948" t="s">
        <v>100</v>
      </c>
      <c r="BL948" t="s">
        <v>985</v>
      </c>
      <c r="BM948" t="s">
        <v>17861</v>
      </c>
      <c r="BN948" t="s">
        <v>74</v>
      </c>
      <c r="BO948" t="s">
        <v>74</v>
      </c>
      <c r="BP948" t="s">
        <v>74</v>
      </c>
      <c r="BQ948" t="s">
        <v>74</v>
      </c>
      <c r="BR948" t="s">
        <v>104</v>
      </c>
      <c r="BS948" t="s">
        <v>17862</v>
      </c>
      <c r="BT948" t="str">
        <f>HYPERLINK("https%3A%2F%2Fwww.webofscience.com%2Fwos%2Fwoscc%2Ffull-record%2FWOS:001080422900001","View Full Record in Web of Science")</f>
        <v>View Full Record in Web of Science</v>
      </c>
    </row>
    <row r="949" spans="1:72" x14ac:dyDescent="0.15">
      <c r="A949" t="s">
        <v>72</v>
      </c>
      <c r="B949" t="s">
        <v>17863</v>
      </c>
      <c r="C949" t="s">
        <v>74</v>
      </c>
      <c r="D949" t="s">
        <v>74</v>
      </c>
      <c r="E949" t="s">
        <v>74</v>
      </c>
      <c r="F949" t="s">
        <v>17864</v>
      </c>
      <c r="G949" t="s">
        <v>74</v>
      </c>
      <c r="H949" t="s">
        <v>74</v>
      </c>
      <c r="I949" t="s">
        <v>17865</v>
      </c>
      <c r="J949" t="s">
        <v>17866</v>
      </c>
      <c r="K949" t="s">
        <v>74</v>
      </c>
      <c r="L949" t="s">
        <v>74</v>
      </c>
      <c r="M949" t="s">
        <v>78</v>
      </c>
      <c r="N949" t="s">
        <v>79</v>
      </c>
      <c r="O949" t="s">
        <v>74</v>
      </c>
      <c r="P949" t="s">
        <v>74</v>
      </c>
      <c r="Q949" t="s">
        <v>74</v>
      </c>
      <c r="R949" t="s">
        <v>74</v>
      </c>
      <c r="S949" t="s">
        <v>74</v>
      </c>
      <c r="T949" t="s">
        <v>17867</v>
      </c>
      <c r="U949" t="s">
        <v>17868</v>
      </c>
      <c r="V949" t="s">
        <v>17869</v>
      </c>
      <c r="W949" t="s">
        <v>17870</v>
      </c>
      <c r="X949" t="s">
        <v>17871</v>
      </c>
      <c r="Y949" t="s">
        <v>17872</v>
      </c>
      <c r="Z949" t="s">
        <v>17873</v>
      </c>
      <c r="AA949" t="s">
        <v>17874</v>
      </c>
      <c r="AB949" t="s">
        <v>74</v>
      </c>
      <c r="AC949" t="s">
        <v>17875</v>
      </c>
      <c r="AD949" t="s">
        <v>13305</v>
      </c>
      <c r="AE949" t="s">
        <v>17876</v>
      </c>
      <c r="AF949" t="s">
        <v>74</v>
      </c>
      <c r="AG949">
        <v>48</v>
      </c>
      <c r="AH949">
        <v>1</v>
      </c>
      <c r="AI949">
        <v>1</v>
      </c>
      <c r="AJ949">
        <v>45</v>
      </c>
      <c r="AK949">
        <v>56</v>
      </c>
      <c r="AL949" t="s">
        <v>1075</v>
      </c>
      <c r="AM949" t="s">
        <v>1076</v>
      </c>
      <c r="AN949" t="s">
        <v>1077</v>
      </c>
      <c r="AO949" t="s">
        <v>17877</v>
      </c>
      <c r="AP949" t="s">
        <v>17878</v>
      </c>
      <c r="AQ949" t="s">
        <v>74</v>
      </c>
      <c r="AR949" t="s">
        <v>17879</v>
      </c>
      <c r="AS949" t="s">
        <v>17880</v>
      </c>
      <c r="AT949" t="s">
        <v>4525</v>
      </c>
      <c r="AU949">
        <v>2023</v>
      </c>
      <c r="AV949">
        <v>107</v>
      </c>
      <c r="AW949">
        <v>22</v>
      </c>
      <c r="AX949" t="s">
        <v>74</v>
      </c>
      <c r="AY949" t="s">
        <v>74</v>
      </c>
      <c r="AZ949" t="s">
        <v>74</v>
      </c>
      <c r="BA949" t="s">
        <v>74</v>
      </c>
      <c r="BB949">
        <v>6845</v>
      </c>
      <c r="BC949">
        <v>6857</v>
      </c>
      <c r="BD949" t="s">
        <v>74</v>
      </c>
      <c r="BE949" t="s">
        <v>17881</v>
      </c>
      <c r="BF949" t="str">
        <f>HYPERLINK("http://dx.doi.org/10.1007/s00253-023-12745-4","http://dx.doi.org/10.1007/s00253-023-12745-4")</f>
        <v>http://dx.doi.org/10.1007/s00253-023-12745-4</v>
      </c>
      <c r="BG949" t="s">
        <v>74</v>
      </c>
      <c r="BH949" t="s">
        <v>15880</v>
      </c>
      <c r="BI949">
        <v>13</v>
      </c>
      <c r="BJ949" t="s">
        <v>5019</v>
      </c>
      <c r="BK949" t="s">
        <v>100</v>
      </c>
      <c r="BL949" t="s">
        <v>5019</v>
      </c>
      <c r="BM949" t="s">
        <v>17882</v>
      </c>
      <c r="BN949">
        <v>37698609</v>
      </c>
      <c r="BO949" t="s">
        <v>74</v>
      </c>
      <c r="BP949" t="s">
        <v>74</v>
      </c>
      <c r="BQ949" t="s">
        <v>74</v>
      </c>
      <c r="BR949" t="s">
        <v>104</v>
      </c>
      <c r="BS949" t="s">
        <v>17883</v>
      </c>
      <c r="BT949" t="str">
        <f>HYPERLINK("https%3A%2F%2Fwww.webofscience.com%2Fwos%2Fwoscc%2Ffull-record%2FWOS:001066997600001","View Full Record in Web of Science")</f>
        <v>View Full Record in Web of Science</v>
      </c>
    </row>
    <row r="950" spans="1:72" x14ac:dyDescent="0.15">
      <c r="A950" t="s">
        <v>72</v>
      </c>
      <c r="B950" t="s">
        <v>17884</v>
      </c>
      <c r="C950" t="s">
        <v>74</v>
      </c>
      <c r="D950" t="s">
        <v>74</v>
      </c>
      <c r="E950" t="s">
        <v>74</v>
      </c>
      <c r="F950" t="s">
        <v>17885</v>
      </c>
      <c r="G950" t="s">
        <v>74</v>
      </c>
      <c r="H950" t="s">
        <v>74</v>
      </c>
      <c r="I950" t="s">
        <v>17886</v>
      </c>
      <c r="J950" t="s">
        <v>16034</v>
      </c>
      <c r="K950" t="s">
        <v>74</v>
      </c>
      <c r="L950" t="s">
        <v>74</v>
      </c>
      <c r="M950" t="s">
        <v>78</v>
      </c>
      <c r="N950" t="s">
        <v>79</v>
      </c>
      <c r="O950" t="s">
        <v>74</v>
      </c>
      <c r="P950" t="s">
        <v>74</v>
      </c>
      <c r="Q950" t="s">
        <v>74</v>
      </c>
      <c r="R950" t="s">
        <v>74</v>
      </c>
      <c r="S950" t="s">
        <v>74</v>
      </c>
      <c r="T950" t="s">
        <v>17887</v>
      </c>
      <c r="U950" t="s">
        <v>17888</v>
      </c>
      <c r="V950" t="s">
        <v>17889</v>
      </c>
      <c r="W950" t="s">
        <v>17890</v>
      </c>
      <c r="X950" t="s">
        <v>17891</v>
      </c>
      <c r="Y950" t="s">
        <v>17892</v>
      </c>
      <c r="Z950" t="s">
        <v>17893</v>
      </c>
      <c r="AA950" t="s">
        <v>74</v>
      </c>
      <c r="AB950" t="s">
        <v>74</v>
      </c>
      <c r="AC950" t="s">
        <v>74</v>
      </c>
      <c r="AD950" t="s">
        <v>74</v>
      </c>
      <c r="AE950" t="s">
        <v>74</v>
      </c>
      <c r="AF950" t="s">
        <v>74</v>
      </c>
      <c r="AG950">
        <v>140</v>
      </c>
      <c r="AH950">
        <v>0</v>
      </c>
      <c r="AI950">
        <v>0</v>
      </c>
      <c r="AJ950">
        <v>1</v>
      </c>
      <c r="AK950">
        <v>1</v>
      </c>
      <c r="AL950" t="s">
        <v>975</v>
      </c>
      <c r="AM950" t="s">
        <v>976</v>
      </c>
      <c r="AN950" t="s">
        <v>977</v>
      </c>
      <c r="AO950" t="s">
        <v>16047</v>
      </c>
      <c r="AP950" t="s">
        <v>16048</v>
      </c>
      <c r="AQ950" t="s">
        <v>74</v>
      </c>
      <c r="AR950" t="s">
        <v>16049</v>
      </c>
      <c r="AS950" t="s">
        <v>16050</v>
      </c>
      <c r="AT950" t="s">
        <v>10415</v>
      </c>
      <c r="AU950">
        <v>2023</v>
      </c>
      <c r="AV950">
        <v>130</v>
      </c>
      <c r="AW950" t="s">
        <v>74</v>
      </c>
      <c r="AX950" t="s">
        <v>74</v>
      </c>
      <c r="AY950" t="s">
        <v>74</v>
      </c>
      <c r="AZ950" t="s">
        <v>74</v>
      </c>
      <c r="BA950" t="s">
        <v>74</v>
      </c>
      <c r="BB950" t="s">
        <v>74</v>
      </c>
      <c r="BC950" t="s">
        <v>74</v>
      </c>
      <c r="BD950">
        <v>104587</v>
      </c>
      <c r="BE950" t="s">
        <v>17894</v>
      </c>
      <c r="BF950" t="str">
        <f>HYPERLINK("http://dx.doi.org/10.1016/j.jsames.2023.104587","http://dx.doi.org/10.1016/j.jsames.2023.104587")</f>
        <v>http://dx.doi.org/10.1016/j.jsames.2023.104587</v>
      </c>
      <c r="BG950" t="s">
        <v>74</v>
      </c>
      <c r="BH950" t="s">
        <v>15880</v>
      </c>
      <c r="BI950">
        <v>20</v>
      </c>
      <c r="BJ950" t="s">
        <v>535</v>
      </c>
      <c r="BK950" t="s">
        <v>100</v>
      </c>
      <c r="BL950" t="s">
        <v>536</v>
      </c>
      <c r="BM950" t="s">
        <v>17895</v>
      </c>
      <c r="BN950" t="s">
        <v>74</v>
      </c>
      <c r="BO950" t="s">
        <v>74</v>
      </c>
      <c r="BP950" t="s">
        <v>74</v>
      </c>
      <c r="BQ950" t="s">
        <v>74</v>
      </c>
      <c r="BR950" t="s">
        <v>104</v>
      </c>
      <c r="BS950" t="s">
        <v>17896</v>
      </c>
      <c r="BT950" t="str">
        <f>HYPERLINK("https%3A%2F%2Fwww.webofscience.com%2Fwos%2Fwoscc%2Ffull-record%2FWOS:001077372900001","View Full Record in Web of Science")</f>
        <v>View Full Record in Web of Science</v>
      </c>
    </row>
    <row r="951" spans="1:72" x14ac:dyDescent="0.15">
      <c r="A951" t="s">
        <v>72</v>
      </c>
      <c r="B951" t="s">
        <v>17897</v>
      </c>
      <c r="C951" t="s">
        <v>74</v>
      </c>
      <c r="D951" t="s">
        <v>74</v>
      </c>
      <c r="E951" t="s">
        <v>74</v>
      </c>
      <c r="F951" t="s">
        <v>17898</v>
      </c>
      <c r="G951" t="s">
        <v>74</v>
      </c>
      <c r="H951" t="s">
        <v>74</v>
      </c>
      <c r="I951" t="s">
        <v>17899</v>
      </c>
      <c r="J951" t="s">
        <v>7701</v>
      </c>
      <c r="K951" t="s">
        <v>74</v>
      </c>
      <c r="L951" t="s">
        <v>74</v>
      </c>
      <c r="M951" t="s">
        <v>78</v>
      </c>
      <c r="N951" t="s">
        <v>79</v>
      </c>
      <c r="O951" t="s">
        <v>74</v>
      </c>
      <c r="P951" t="s">
        <v>74</v>
      </c>
      <c r="Q951" t="s">
        <v>74</v>
      </c>
      <c r="R951" t="s">
        <v>74</v>
      </c>
      <c r="S951" t="s">
        <v>74</v>
      </c>
      <c r="T951" t="s">
        <v>74</v>
      </c>
      <c r="U951" t="s">
        <v>17900</v>
      </c>
      <c r="V951" t="s">
        <v>17901</v>
      </c>
      <c r="W951" t="s">
        <v>17902</v>
      </c>
      <c r="X951" t="s">
        <v>17903</v>
      </c>
      <c r="Y951" t="s">
        <v>17904</v>
      </c>
      <c r="Z951" t="s">
        <v>17905</v>
      </c>
      <c r="AA951" t="s">
        <v>17906</v>
      </c>
      <c r="AB951" t="s">
        <v>17907</v>
      </c>
      <c r="AC951" t="s">
        <v>17908</v>
      </c>
      <c r="AD951" t="s">
        <v>17909</v>
      </c>
      <c r="AE951" t="s">
        <v>17910</v>
      </c>
      <c r="AF951" t="s">
        <v>74</v>
      </c>
      <c r="AG951">
        <v>77</v>
      </c>
      <c r="AH951">
        <v>0</v>
      </c>
      <c r="AI951">
        <v>0</v>
      </c>
      <c r="AJ951">
        <v>4</v>
      </c>
      <c r="AK951">
        <v>4</v>
      </c>
      <c r="AL951" t="s">
        <v>1101</v>
      </c>
      <c r="AM951" t="s">
        <v>1102</v>
      </c>
      <c r="AN951" t="s">
        <v>1103</v>
      </c>
      <c r="AO951" t="s">
        <v>7713</v>
      </c>
      <c r="AP951" t="s">
        <v>7714</v>
      </c>
      <c r="AQ951" t="s">
        <v>74</v>
      </c>
      <c r="AR951" t="s">
        <v>7715</v>
      </c>
      <c r="AS951" t="s">
        <v>7716</v>
      </c>
      <c r="AT951" t="s">
        <v>1108</v>
      </c>
      <c r="AU951">
        <v>2024</v>
      </c>
      <c r="AV951">
        <v>59</v>
      </c>
      <c r="AW951">
        <v>4</v>
      </c>
      <c r="AX951" t="s">
        <v>74</v>
      </c>
      <c r="AY951" t="s">
        <v>74</v>
      </c>
      <c r="AZ951" t="s">
        <v>4005</v>
      </c>
      <c r="BA951" t="s">
        <v>74</v>
      </c>
      <c r="BB951">
        <v>789</v>
      </c>
      <c r="BC951">
        <v>808</v>
      </c>
      <c r="BD951" t="s">
        <v>74</v>
      </c>
      <c r="BE951" t="s">
        <v>17911</v>
      </c>
      <c r="BF951" t="str">
        <f>HYPERLINK("http://dx.doi.org/10.1111/maps.14076","http://dx.doi.org/10.1111/maps.14076")</f>
        <v>http://dx.doi.org/10.1111/maps.14076</v>
      </c>
      <c r="BG951" t="s">
        <v>74</v>
      </c>
      <c r="BH951" t="s">
        <v>15880</v>
      </c>
      <c r="BI951">
        <v>20</v>
      </c>
      <c r="BJ951" t="s">
        <v>4252</v>
      </c>
      <c r="BK951" t="s">
        <v>100</v>
      </c>
      <c r="BL951" t="s">
        <v>4252</v>
      </c>
      <c r="BM951" t="s">
        <v>17912</v>
      </c>
      <c r="BN951" t="s">
        <v>74</v>
      </c>
      <c r="BO951" t="s">
        <v>74</v>
      </c>
      <c r="BP951" t="s">
        <v>74</v>
      </c>
      <c r="BQ951" t="s">
        <v>74</v>
      </c>
      <c r="BR951" t="s">
        <v>104</v>
      </c>
      <c r="BS951" t="s">
        <v>17913</v>
      </c>
      <c r="BT951" t="str">
        <f>HYPERLINK("https%3A%2F%2Fwww.webofscience.com%2Fwos%2Fwoscc%2Ffull-record%2FWOS:001065804200001","View Full Record in Web of Science")</f>
        <v>View Full Record in Web of Science</v>
      </c>
    </row>
    <row r="952" spans="1:72" x14ac:dyDescent="0.15">
      <c r="A952" t="s">
        <v>72</v>
      </c>
      <c r="B952" t="s">
        <v>17914</v>
      </c>
      <c r="C952" t="s">
        <v>74</v>
      </c>
      <c r="D952" t="s">
        <v>74</v>
      </c>
      <c r="E952" t="s">
        <v>74</v>
      </c>
      <c r="F952" t="s">
        <v>17915</v>
      </c>
      <c r="G952" t="s">
        <v>74</v>
      </c>
      <c r="H952" t="s">
        <v>74</v>
      </c>
      <c r="I952" t="s">
        <v>17916</v>
      </c>
      <c r="J952" t="s">
        <v>17917</v>
      </c>
      <c r="K952" t="s">
        <v>74</v>
      </c>
      <c r="L952" t="s">
        <v>74</v>
      </c>
      <c r="M952" t="s">
        <v>78</v>
      </c>
      <c r="N952" t="s">
        <v>79</v>
      </c>
      <c r="O952" t="s">
        <v>74</v>
      </c>
      <c r="P952" t="s">
        <v>74</v>
      </c>
      <c r="Q952" t="s">
        <v>74</v>
      </c>
      <c r="R952" t="s">
        <v>74</v>
      </c>
      <c r="S952" t="s">
        <v>74</v>
      </c>
      <c r="T952" t="s">
        <v>17918</v>
      </c>
      <c r="U952" t="s">
        <v>17919</v>
      </c>
      <c r="V952" t="s">
        <v>17920</v>
      </c>
      <c r="W952" t="s">
        <v>17921</v>
      </c>
      <c r="X952" t="s">
        <v>17922</v>
      </c>
      <c r="Y952" t="s">
        <v>17923</v>
      </c>
      <c r="Z952" t="s">
        <v>17924</v>
      </c>
      <c r="AA952" t="s">
        <v>17925</v>
      </c>
      <c r="AB952" t="s">
        <v>17926</v>
      </c>
      <c r="AC952" t="s">
        <v>17927</v>
      </c>
      <c r="AD952" t="s">
        <v>17928</v>
      </c>
      <c r="AE952" t="s">
        <v>17929</v>
      </c>
      <c r="AF952" t="s">
        <v>74</v>
      </c>
      <c r="AG952">
        <v>84</v>
      </c>
      <c r="AH952">
        <v>1</v>
      </c>
      <c r="AI952">
        <v>1</v>
      </c>
      <c r="AJ952">
        <v>6</v>
      </c>
      <c r="AK952">
        <v>8</v>
      </c>
      <c r="AL952" t="s">
        <v>1758</v>
      </c>
      <c r="AM952" t="s">
        <v>1759</v>
      </c>
      <c r="AN952" t="s">
        <v>1760</v>
      </c>
      <c r="AO952" t="s">
        <v>74</v>
      </c>
      <c r="AP952" t="s">
        <v>17930</v>
      </c>
      <c r="AQ952" t="s">
        <v>74</v>
      </c>
      <c r="AR952" t="s">
        <v>17931</v>
      </c>
      <c r="AS952" t="s">
        <v>17932</v>
      </c>
      <c r="AT952" t="s">
        <v>17825</v>
      </c>
      <c r="AU952">
        <v>2023</v>
      </c>
      <c r="AV952">
        <v>14</v>
      </c>
      <c r="AW952" t="s">
        <v>74</v>
      </c>
      <c r="AX952" t="s">
        <v>74</v>
      </c>
      <c r="AY952" t="s">
        <v>74</v>
      </c>
      <c r="AZ952" t="s">
        <v>74</v>
      </c>
      <c r="BA952" t="s">
        <v>74</v>
      </c>
      <c r="BB952" t="s">
        <v>74</v>
      </c>
      <c r="BC952" t="s">
        <v>74</v>
      </c>
      <c r="BD952">
        <v>1258932</v>
      </c>
      <c r="BE952" t="s">
        <v>17933</v>
      </c>
      <c r="BF952" t="str">
        <f>HYPERLINK("http://dx.doi.org/10.3389/fphys.2023.1258932","http://dx.doi.org/10.3389/fphys.2023.1258932")</f>
        <v>http://dx.doi.org/10.3389/fphys.2023.1258932</v>
      </c>
      <c r="BG952" t="s">
        <v>74</v>
      </c>
      <c r="BH952" t="s">
        <v>74</v>
      </c>
      <c r="BI952">
        <v>12</v>
      </c>
      <c r="BJ952" t="s">
        <v>17934</v>
      </c>
      <c r="BK952" t="s">
        <v>100</v>
      </c>
      <c r="BL952" t="s">
        <v>17934</v>
      </c>
      <c r="BM952" t="s">
        <v>17935</v>
      </c>
      <c r="BN952">
        <v>37766751</v>
      </c>
      <c r="BO952" t="s">
        <v>131</v>
      </c>
      <c r="BP952" t="s">
        <v>74</v>
      </c>
      <c r="BQ952" t="s">
        <v>74</v>
      </c>
      <c r="BR952" t="s">
        <v>104</v>
      </c>
      <c r="BS952" t="s">
        <v>17936</v>
      </c>
      <c r="BT952" t="str">
        <f>HYPERLINK("https%3A%2F%2Fwww.webofscience.com%2Fwos%2Fwoscc%2Ffull-record%2FWOS:001071822000001","View Full Record in Web of Science")</f>
        <v>View Full Record in Web of Science</v>
      </c>
    </row>
    <row r="953" spans="1:72" x14ac:dyDescent="0.15">
      <c r="A953" t="s">
        <v>72</v>
      </c>
      <c r="B953" t="s">
        <v>17937</v>
      </c>
      <c r="C953" t="s">
        <v>74</v>
      </c>
      <c r="D953" t="s">
        <v>74</v>
      </c>
      <c r="E953" t="s">
        <v>74</v>
      </c>
      <c r="F953" t="s">
        <v>17938</v>
      </c>
      <c r="G953" t="s">
        <v>74</v>
      </c>
      <c r="H953" t="s">
        <v>74</v>
      </c>
      <c r="I953" t="s">
        <v>17939</v>
      </c>
      <c r="J953" t="s">
        <v>3384</v>
      </c>
      <c r="K953" t="s">
        <v>74</v>
      </c>
      <c r="L953" t="s">
        <v>74</v>
      </c>
      <c r="M953" t="s">
        <v>78</v>
      </c>
      <c r="N953" t="s">
        <v>79</v>
      </c>
      <c r="O953" t="s">
        <v>74</v>
      </c>
      <c r="P953" t="s">
        <v>74</v>
      </c>
      <c r="Q953" t="s">
        <v>74</v>
      </c>
      <c r="R953" t="s">
        <v>74</v>
      </c>
      <c r="S953" t="s">
        <v>74</v>
      </c>
      <c r="T953" t="s">
        <v>74</v>
      </c>
      <c r="U953" t="s">
        <v>17940</v>
      </c>
      <c r="V953" t="s">
        <v>17941</v>
      </c>
      <c r="W953" t="s">
        <v>17942</v>
      </c>
      <c r="X953" t="s">
        <v>17943</v>
      </c>
      <c r="Y953" t="s">
        <v>17944</v>
      </c>
      <c r="Z953" t="s">
        <v>17945</v>
      </c>
      <c r="AA953" t="s">
        <v>17946</v>
      </c>
      <c r="AB953" t="s">
        <v>17947</v>
      </c>
      <c r="AC953" t="s">
        <v>17948</v>
      </c>
      <c r="AD953" t="s">
        <v>17949</v>
      </c>
      <c r="AE953" t="s">
        <v>17950</v>
      </c>
      <c r="AF953" t="s">
        <v>74</v>
      </c>
      <c r="AG953">
        <v>63</v>
      </c>
      <c r="AH953">
        <v>3</v>
      </c>
      <c r="AI953">
        <v>3</v>
      </c>
      <c r="AJ953">
        <v>19</v>
      </c>
      <c r="AK953">
        <v>25</v>
      </c>
      <c r="AL953" t="s">
        <v>3057</v>
      </c>
      <c r="AM953" t="s">
        <v>3058</v>
      </c>
      <c r="AN953" t="s">
        <v>3059</v>
      </c>
      <c r="AO953" t="s">
        <v>74</v>
      </c>
      <c r="AP953" t="s">
        <v>3396</v>
      </c>
      <c r="AQ953" t="s">
        <v>74</v>
      </c>
      <c r="AR953" t="s">
        <v>3397</v>
      </c>
      <c r="AS953" t="s">
        <v>3398</v>
      </c>
      <c r="AT953" t="s">
        <v>17951</v>
      </c>
      <c r="AU953">
        <v>2023</v>
      </c>
      <c r="AV953">
        <v>14</v>
      </c>
      <c r="AW953">
        <v>1</v>
      </c>
      <c r="AX953" t="s">
        <v>74</v>
      </c>
      <c r="AY953" t="s">
        <v>74</v>
      </c>
      <c r="AZ953" t="s">
        <v>74</v>
      </c>
      <c r="BA953" t="s">
        <v>74</v>
      </c>
      <c r="BB953" t="s">
        <v>74</v>
      </c>
      <c r="BC953" t="s">
        <v>74</v>
      </c>
      <c r="BD953">
        <v>5427</v>
      </c>
      <c r="BE953" t="s">
        <v>17952</v>
      </c>
      <c r="BF953" t="str">
        <f>HYPERLINK("http://dx.doi.org/10.1038/s41467-023-41116-w","http://dx.doi.org/10.1038/s41467-023-41116-w")</f>
        <v>http://dx.doi.org/10.1038/s41467-023-41116-w</v>
      </c>
      <c r="BG953" t="s">
        <v>74</v>
      </c>
      <c r="BH953" t="s">
        <v>74</v>
      </c>
      <c r="BI953">
        <v>9</v>
      </c>
      <c r="BJ953" t="s">
        <v>1035</v>
      </c>
      <c r="BK953" t="s">
        <v>100</v>
      </c>
      <c r="BL953" t="s">
        <v>1036</v>
      </c>
      <c r="BM953" t="s">
        <v>17953</v>
      </c>
      <c r="BN953">
        <v>37696798</v>
      </c>
      <c r="BO953" t="s">
        <v>17954</v>
      </c>
      <c r="BP953" t="s">
        <v>74</v>
      </c>
      <c r="BQ953" t="s">
        <v>74</v>
      </c>
      <c r="BR953" t="s">
        <v>104</v>
      </c>
      <c r="BS953" t="s">
        <v>17955</v>
      </c>
      <c r="BT953" t="str">
        <f>HYPERLINK("https%3A%2F%2Fwww.webofscience.com%2Fwos%2Fwoscc%2Ffull-record%2FWOS:001157889300007","View Full Record in Web of Science")</f>
        <v>View Full Record in Web of Science</v>
      </c>
    </row>
    <row r="954" spans="1:72" x14ac:dyDescent="0.15">
      <c r="A954" t="s">
        <v>72</v>
      </c>
      <c r="B954" t="s">
        <v>17956</v>
      </c>
      <c r="C954" t="s">
        <v>74</v>
      </c>
      <c r="D954" t="s">
        <v>74</v>
      </c>
      <c r="E954" t="s">
        <v>74</v>
      </c>
      <c r="F954" t="s">
        <v>17957</v>
      </c>
      <c r="G954" t="s">
        <v>74</v>
      </c>
      <c r="H954" t="s">
        <v>74</v>
      </c>
      <c r="I954" t="s">
        <v>17958</v>
      </c>
      <c r="J954" t="s">
        <v>3045</v>
      </c>
      <c r="K954" t="s">
        <v>74</v>
      </c>
      <c r="L954" t="s">
        <v>74</v>
      </c>
      <c r="M954" t="s">
        <v>78</v>
      </c>
      <c r="N954" t="s">
        <v>79</v>
      </c>
      <c r="O954" t="s">
        <v>74</v>
      </c>
      <c r="P954" t="s">
        <v>74</v>
      </c>
      <c r="Q954" t="s">
        <v>74</v>
      </c>
      <c r="R954" t="s">
        <v>74</v>
      </c>
      <c r="S954" t="s">
        <v>74</v>
      </c>
      <c r="T954" t="s">
        <v>74</v>
      </c>
      <c r="U954" t="s">
        <v>17959</v>
      </c>
      <c r="V954" t="s">
        <v>17960</v>
      </c>
      <c r="W954" t="s">
        <v>17961</v>
      </c>
      <c r="X954" t="s">
        <v>17962</v>
      </c>
      <c r="Y954" t="s">
        <v>17963</v>
      </c>
      <c r="Z954" t="s">
        <v>17964</v>
      </c>
      <c r="AA954" t="s">
        <v>74</v>
      </c>
      <c r="AB954" t="s">
        <v>74</v>
      </c>
      <c r="AC954" t="s">
        <v>17965</v>
      </c>
      <c r="AD954" t="s">
        <v>17966</v>
      </c>
      <c r="AE954" t="s">
        <v>17967</v>
      </c>
      <c r="AF954" t="s">
        <v>74</v>
      </c>
      <c r="AG954">
        <v>58</v>
      </c>
      <c r="AH954">
        <v>1</v>
      </c>
      <c r="AI954">
        <v>1</v>
      </c>
      <c r="AJ954">
        <v>8</v>
      </c>
      <c r="AK954">
        <v>8</v>
      </c>
      <c r="AL954" t="s">
        <v>3057</v>
      </c>
      <c r="AM954" t="s">
        <v>3058</v>
      </c>
      <c r="AN954" t="s">
        <v>3059</v>
      </c>
      <c r="AO954" t="s">
        <v>3060</v>
      </c>
      <c r="AP954" t="s">
        <v>74</v>
      </c>
      <c r="AQ954" t="s">
        <v>74</v>
      </c>
      <c r="AR954" t="s">
        <v>3061</v>
      </c>
      <c r="AS954" t="s">
        <v>3062</v>
      </c>
      <c r="AT954" t="s">
        <v>17951</v>
      </c>
      <c r="AU954">
        <v>2023</v>
      </c>
      <c r="AV954">
        <v>13</v>
      </c>
      <c r="AW954">
        <v>1</v>
      </c>
      <c r="AX954" t="s">
        <v>74</v>
      </c>
      <c r="AY954" t="s">
        <v>74</v>
      </c>
      <c r="AZ954" t="s">
        <v>74</v>
      </c>
      <c r="BA954" t="s">
        <v>74</v>
      </c>
      <c r="BB954" t="s">
        <v>74</v>
      </c>
      <c r="BC954" t="s">
        <v>74</v>
      </c>
      <c r="BD954">
        <v>14970</v>
      </c>
      <c r="BE954" t="s">
        <v>17968</v>
      </c>
      <c r="BF954" t="str">
        <f>HYPERLINK("http://dx.doi.org/10.1038/s41598-023-42179-x","http://dx.doi.org/10.1038/s41598-023-42179-x")</f>
        <v>http://dx.doi.org/10.1038/s41598-023-42179-x</v>
      </c>
      <c r="BG954" t="s">
        <v>74</v>
      </c>
      <c r="BH954" t="s">
        <v>74</v>
      </c>
      <c r="BI954">
        <v>12</v>
      </c>
      <c r="BJ954" t="s">
        <v>1035</v>
      </c>
      <c r="BK954" t="s">
        <v>100</v>
      </c>
      <c r="BL954" t="s">
        <v>1036</v>
      </c>
      <c r="BM954" t="s">
        <v>17969</v>
      </c>
      <c r="BN954">
        <v>37697016</v>
      </c>
      <c r="BO954" t="s">
        <v>265</v>
      </c>
      <c r="BP954" t="s">
        <v>74</v>
      </c>
      <c r="BQ954" t="s">
        <v>74</v>
      </c>
      <c r="BR954" t="s">
        <v>104</v>
      </c>
      <c r="BS954" t="s">
        <v>17970</v>
      </c>
      <c r="BT954" t="str">
        <f>HYPERLINK("https%3A%2F%2Fwww.webofscience.com%2Fwos%2Fwoscc%2Ffull-record%2FWOS:001123496500065","View Full Record in Web of Science")</f>
        <v>View Full Record in Web of Science</v>
      </c>
    </row>
    <row r="955" spans="1:72" x14ac:dyDescent="0.15">
      <c r="A955" t="s">
        <v>72</v>
      </c>
      <c r="B955" t="s">
        <v>17971</v>
      </c>
      <c r="C955" t="s">
        <v>74</v>
      </c>
      <c r="D955" t="s">
        <v>74</v>
      </c>
      <c r="E955" t="s">
        <v>74</v>
      </c>
      <c r="F955" t="s">
        <v>17972</v>
      </c>
      <c r="G955" t="s">
        <v>74</v>
      </c>
      <c r="H955" t="s">
        <v>74</v>
      </c>
      <c r="I955" t="s">
        <v>17973</v>
      </c>
      <c r="J955" t="s">
        <v>12837</v>
      </c>
      <c r="K955" t="s">
        <v>74</v>
      </c>
      <c r="L955" t="s">
        <v>74</v>
      </c>
      <c r="M955" t="s">
        <v>78</v>
      </c>
      <c r="N955" t="s">
        <v>79</v>
      </c>
      <c r="O955" t="s">
        <v>74</v>
      </c>
      <c r="P955" t="s">
        <v>74</v>
      </c>
      <c r="Q955" t="s">
        <v>74</v>
      </c>
      <c r="R955" t="s">
        <v>74</v>
      </c>
      <c r="S955" t="s">
        <v>74</v>
      </c>
      <c r="T955" t="s">
        <v>17974</v>
      </c>
      <c r="U955" t="s">
        <v>17975</v>
      </c>
      <c r="V955" t="s">
        <v>17976</v>
      </c>
      <c r="W955" t="s">
        <v>17977</v>
      </c>
      <c r="X955" t="s">
        <v>17978</v>
      </c>
      <c r="Y955" t="s">
        <v>17979</v>
      </c>
      <c r="Z955" t="s">
        <v>1465</v>
      </c>
      <c r="AA955" t="s">
        <v>17980</v>
      </c>
      <c r="AB955" t="s">
        <v>17981</v>
      </c>
      <c r="AC955" t="s">
        <v>17982</v>
      </c>
      <c r="AD955" t="s">
        <v>17983</v>
      </c>
      <c r="AE955" t="s">
        <v>17984</v>
      </c>
      <c r="AF955" t="s">
        <v>74</v>
      </c>
      <c r="AG955">
        <v>65</v>
      </c>
      <c r="AH955">
        <v>1</v>
      </c>
      <c r="AI955">
        <v>1</v>
      </c>
      <c r="AJ955">
        <v>6</v>
      </c>
      <c r="AK955">
        <v>6</v>
      </c>
      <c r="AL955" t="s">
        <v>12850</v>
      </c>
      <c r="AM955" t="s">
        <v>12851</v>
      </c>
      <c r="AN955" t="s">
        <v>12852</v>
      </c>
      <c r="AO955" t="s">
        <v>12853</v>
      </c>
      <c r="AP955" t="s">
        <v>74</v>
      </c>
      <c r="AQ955" t="s">
        <v>74</v>
      </c>
      <c r="AR955" t="s">
        <v>12854</v>
      </c>
      <c r="AS955" t="s">
        <v>12855</v>
      </c>
      <c r="AT955" t="s">
        <v>17951</v>
      </c>
      <c r="AU955">
        <v>2023</v>
      </c>
      <c r="AV955">
        <v>11</v>
      </c>
      <c r="AW955">
        <v>1</v>
      </c>
      <c r="AX955" t="s">
        <v>74</v>
      </c>
      <c r="AY955" t="s">
        <v>74</v>
      </c>
      <c r="AZ955" t="s">
        <v>74</v>
      </c>
      <c r="BA955" t="s">
        <v>74</v>
      </c>
      <c r="BB955" t="s">
        <v>74</v>
      </c>
      <c r="BC955" t="s">
        <v>74</v>
      </c>
      <c r="BD955">
        <v>22</v>
      </c>
      <c r="BE955" t="s">
        <v>17985</v>
      </c>
      <c r="BF955" t="str">
        <f>HYPERLINK("http://dx.doi.org/10.1525/elementa.2023.00022","http://dx.doi.org/10.1525/elementa.2023.00022")</f>
        <v>http://dx.doi.org/10.1525/elementa.2023.00022</v>
      </c>
      <c r="BG955" t="s">
        <v>74</v>
      </c>
      <c r="BH955" t="s">
        <v>74</v>
      </c>
      <c r="BI955">
        <v>19</v>
      </c>
      <c r="BJ955" t="s">
        <v>2382</v>
      </c>
      <c r="BK955" t="s">
        <v>100</v>
      </c>
      <c r="BL955" t="s">
        <v>2383</v>
      </c>
      <c r="BM955" t="s">
        <v>17986</v>
      </c>
      <c r="BN955" t="s">
        <v>74</v>
      </c>
      <c r="BO955" t="s">
        <v>131</v>
      </c>
      <c r="BP955" t="s">
        <v>74</v>
      </c>
      <c r="BQ955" t="s">
        <v>74</v>
      </c>
      <c r="BR955" t="s">
        <v>104</v>
      </c>
      <c r="BS955" t="s">
        <v>17987</v>
      </c>
      <c r="BT955" t="str">
        <f>HYPERLINK("https%3A%2F%2Fwww.webofscience.com%2Fwos%2Fwoscc%2Ffull-record%2FWOS:001083531700001","View Full Record in Web of Science")</f>
        <v>View Full Record in Web of Science</v>
      </c>
    </row>
    <row r="956" spans="1:72" x14ac:dyDescent="0.15">
      <c r="A956" t="s">
        <v>72</v>
      </c>
      <c r="B956" t="s">
        <v>17988</v>
      </c>
      <c r="C956" t="s">
        <v>74</v>
      </c>
      <c r="D956" t="s">
        <v>74</v>
      </c>
      <c r="E956" t="s">
        <v>74</v>
      </c>
      <c r="F956" t="s">
        <v>17989</v>
      </c>
      <c r="G956" t="s">
        <v>74</v>
      </c>
      <c r="H956" t="s">
        <v>74</v>
      </c>
      <c r="I956" t="s">
        <v>17990</v>
      </c>
      <c r="J956" t="s">
        <v>5307</v>
      </c>
      <c r="K956" t="s">
        <v>74</v>
      </c>
      <c r="L956" t="s">
        <v>74</v>
      </c>
      <c r="M956" t="s">
        <v>78</v>
      </c>
      <c r="N956" t="s">
        <v>441</v>
      </c>
      <c r="O956" t="s">
        <v>74</v>
      </c>
      <c r="P956" t="s">
        <v>74</v>
      </c>
      <c r="Q956" t="s">
        <v>74</v>
      </c>
      <c r="R956" t="s">
        <v>74</v>
      </c>
      <c r="S956" t="s">
        <v>74</v>
      </c>
      <c r="T956" t="s">
        <v>17991</v>
      </c>
      <c r="U956" t="s">
        <v>17992</v>
      </c>
      <c r="V956" t="s">
        <v>17993</v>
      </c>
      <c r="W956" t="s">
        <v>17994</v>
      </c>
      <c r="X956" t="s">
        <v>17995</v>
      </c>
      <c r="Y956" t="s">
        <v>17996</v>
      </c>
      <c r="Z956" t="s">
        <v>17997</v>
      </c>
      <c r="AA956" t="s">
        <v>74</v>
      </c>
      <c r="AB956" t="s">
        <v>74</v>
      </c>
      <c r="AC956" t="s">
        <v>15909</v>
      </c>
      <c r="AD956" t="s">
        <v>15909</v>
      </c>
      <c r="AE956" t="s">
        <v>17998</v>
      </c>
      <c r="AF956" t="s">
        <v>74</v>
      </c>
      <c r="AG956">
        <v>50</v>
      </c>
      <c r="AH956">
        <v>0</v>
      </c>
      <c r="AI956">
        <v>0</v>
      </c>
      <c r="AJ956">
        <v>3</v>
      </c>
      <c r="AK956">
        <v>3</v>
      </c>
      <c r="AL956" t="s">
        <v>975</v>
      </c>
      <c r="AM956" t="s">
        <v>976</v>
      </c>
      <c r="AN956" t="s">
        <v>977</v>
      </c>
      <c r="AO956" t="s">
        <v>5318</v>
      </c>
      <c r="AP956" t="s">
        <v>5319</v>
      </c>
      <c r="AQ956" t="s">
        <v>74</v>
      </c>
      <c r="AR956" t="s">
        <v>5320</v>
      </c>
      <c r="AS956" t="s">
        <v>5321</v>
      </c>
      <c r="AT956" t="s">
        <v>4525</v>
      </c>
      <c r="AU956">
        <v>2023</v>
      </c>
      <c r="AV956">
        <v>218</v>
      </c>
      <c r="AW956" t="s">
        <v>74</v>
      </c>
      <c r="AX956" t="s">
        <v>74</v>
      </c>
      <c r="AY956" t="s">
        <v>74</v>
      </c>
      <c r="AZ956" t="s">
        <v>74</v>
      </c>
      <c r="BA956" t="s">
        <v>74</v>
      </c>
      <c r="BB956" t="s">
        <v>74</v>
      </c>
      <c r="BC956" t="s">
        <v>74</v>
      </c>
      <c r="BD956">
        <v>103107</v>
      </c>
      <c r="BE956" t="s">
        <v>17999</v>
      </c>
      <c r="BF956" t="str">
        <f>HYPERLINK("http://dx.doi.org/10.1016/j.pocean.2023.103107","http://dx.doi.org/10.1016/j.pocean.2023.103107")</f>
        <v>http://dx.doi.org/10.1016/j.pocean.2023.103107</v>
      </c>
      <c r="BG956" t="s">
        <v>74</v>
      </c>
      <c r="BH956" t="s">
        <v>15880</v>
      </c>
      <c r="BI956">
        <v>12</v>
      </c>
      <c r="BJ956" t="s">
        <v>5060</v>
      </c>
      <c r="BK956" t="s">
        <v>100</v>
      </c>
      <c r="BL956" t="s">
        <v>5060</v>
      </c>
      <c r="BM956" t="s">
        <v>18000</v>
      </c>
      <c r="BN956" t="s">
        <v>74</v>
      </c>
      <c r="BO956" t="s">
        <v>74</v>
      </c>
      <c r="BP956" t="s">
        <v>74</v>
      </c>
      <c r="BQ956" t="s">
        <v>74</v>
      </c>
      <c r="BR956" t="s">
        <v>104</v>
      </c>
      <c r="BS956" t="s">
        <v>18001</v>
      </c>
      <c r="BT956" t="str">
        <f>HYPERLINK("https%3A%2F%2Fwww.webofscience.com%2Fwos%2Fwoscc%2Ffull-record%2FWOS:001080411100001","View Full Record in Web of Science")</f>
        <v>View Full Record in Web of Science</v>
      </c>
    </row>
    <row r="957" spans="1:72" x14ac:dyDescent="0.15">
      <c r="A957" t="s">
        <v>72</v>
      </c>
      <c r="B957" t="s">
        <v>18002</v>
      </c>
      <c r="C957" t="s">
        <v>74</v>
      </c>
      <c r="D957" t="s">
        <v>74</v>
      </c>
      <c r="E957" t="s">
        <v>74</v>
      </c>
      <c r="F957" t="s">
        <v>18003</v>
      </c>
      <c r="G957" t="s">
        <v>74</v>
      </c>
      <c r="H957" t="s">
        <v>74</v>
      </c>
      <c r="I957" t="s">
        <v>18004</v>
      </c>
      <c r="J957" t="s">
        <v>3551</v>
      </c>
      <c r="K957" t="s">
        <v>74</v>
      </c>
      <c r="L957" t="s">
        <v>74</v>
      </c>
      <c r="M957" t="s">
        <v>78</v>
      </c>
      <c r="N957" t="s">
        <v>79</v>
      </c>
      <c r="O957" t="s">
        <v>74</v>
      </c>
      <c r="P957" t="s">
        <v>74</v>
      </c>
      <c r="Q957" t="s">
        <v>74</v>
      </c>
      <c r="R957" t="s">
        <v>74</v>
      </c>
      <c r="S957" t="s">
        <v>74</v>
      </c>
      <c r="T957" t="s">
        <v>18005</v>
      </c>
      <c r="U957" t="s">
        <v>18006</v>
      </c>
      <c r="V957" t="s">
        <v>18007</v>
      </c>
      <c r="W957" t="s">
        <v>18008</v>
      </c>
      <c r="X957" t="s">
        <v>2651</v>
      </c>
      <c r="Y957" t="s">
        <v>18009</v>
      </c>
      <c r="Z957" t="s">
        <v>18010</v>
      </c>
      <c r="AA957" t="s">
        <v>18011</v>
      </c>
      <c r="AB957" t="s">
        <v>18012</v>
      </c>
      <c r="AC957" t="s">
        <v>18013</v>
      </c>
      <c r="AD957" t="s">
        <v>18014</v>
      </c>
      <c r="AE957" t="s">
        <v>18015</v>
      </c>
      <c r="AF957" t="s">
        <v>74</v>
      </c>
      <c r="AG957">
        <v>33</v>
      </c>
      <c r="AH957">
        <v>0</v>
      </c>
      <c r="AI957">
        <v>0</v>
      </c>
      <c r="AJ957">
        <v>0</v>
      </c>
      <c r="AK957">
        <v>0</v>
      </c>
      <c r="AL957" t="s">
        <v>89</v>
      </c>
      <c r="AM957" t="s">
        <v>976</v>
      </c>
      <c r="AN957" t="s">
        <v>11027</v>
      </c>
      <c r="AO957" t="s">
        <v>3564</v>
      </c>
      <c r="AP957" t="s">
        <v>3565</v>
      </c>
      <c r="AQ957" t="s">
        <v>74</v>
      </c>
      <c r="AR957" t="s">
        <v>3566</v>
      </c>
      <c r="AS957" t="s">
        <v>3567</v>
      </c>
      <c r="AT957" t="s">
        <v>13270</v>
      </c>
      <c r="AU957">
        <v>2023</v>
      </c>
      <c r="AV957">
        <v>72</v>
      </c>
      <c r="AW957">
        <v>8</v>
      </c>
      <c r="AX957" t="s">
        <v>74</v>
      </c>
      <c r="AY957" t="s">
        <v>74</v>
      </c>
      <c r="AZ957" t="s">
        <v>74</v>
      </c>
      <c r="BA957" t="s">
        <v>74</v>
      </c>
      <c r="BB957">
        <v>3428</v>
      </c>
      <c r="BC957">
        <v>3439</v>
      </c>
      <c r="BD957" t="s">
        <v>74</v>
      </c>
      <c r="BE957" t="s">
        <v>18016</v>
      </c>
      <c r="BF957" t="str">
        <f>HYPERLINK("http://dx.doi.org/10.1016/j.asr.2023.07.046","http://dx.doi.org/10.1016/j.asr.2023.07.046")</f>
        <v>http://dx.doi.org/10.1016/j.asr.2023.07.046</v>
      </c>
      <c r="BG957" t="s">
        <v>74</v>
      </c>
      <c r="BH957" t="s">
        <v>15880</v>
      </c>
      <c r="BI957">
        <v>12</v>
      </c>
      <c r="BJ957" t="s">
        <v>3569</v>
      </c>
      <c r="BK957" t="s">
        <v>100</v>
      </c>
      <c r="BL957" t="s">
        <v>3570</v>
      </c>
      <c r="BM957" t="s">
        <v>18017</v>
      </c>
      <c r="BN957" t="s">
        <v>74</v>
      </c>
      <c r="BO957" t="s">
        <v>103</v>
      </c>
      <c r="BP957" t="s">
        <v>74</v>
      </c>
      <c r="BQ957" t="s">
        <v>74</v>
      </c>
      <c r="BR957" t="s">
        <v>104</v>
      </c>
      <c r="BS957" t="s">
        <v>18018</v>
      </c>
      <c r="BT957" t="str">
        <f>HYPERLINK("https%3A%2F%2Fwww.webofscience.com%2Fwos%2Fwoscc%2Ffull-record%2FWOS:001079023800001","View Full Record in Web of Science")</f>
        <v>View Full Record in Web of Science</v>
      </c>
    </row>
    <row r="958" spans="1:72" x14ac:dyDescent="0.15">
      <c r="A958" t="s">
        <v>72</v>
      </c>
      <c r="B958" t="s">
        <v>18019</v>
      </c>
      <c r="C958" t="s">
        <v>74</v>
      </c>
      <c r="D958" t="s">
        <v>74</v>
      </c>
      <c r="E958" t="s">
        <v>74</v>
      </c>
      <c r="F958" t="s">
        <v>18020</v>
      </c>
      <c r="G958" t="s">
        <v>74</v>
      </c>
      <c r="H958" t="s">
        <v>74</v>
      </c>
      <c r="I958" t="s">
        <v>18021</v>
      </c>
      <c r="J958" t="s">
        <v>10295</v>
      </c>
      <c r="K958" t="s">
        <v>74</v>
      </c>
      <c r="L958" t="s">
        <v>74</v>
      </c>
      <c r="M958" t="s">
        <v>78</v>
      </c>
      <c r="N958" t="s">
        <v>79</v>
      </c>
      <c r="O958" t="s">
        <v>74</v>
      </c>
      <c r="P958" t="s">
        <v>74</v>
      </c>
      <c r="Q958" t="s">
        <v>74</v>
      </c>
      <c r="R958" t="s">
        <v>74</v>
      </c>
      <c r="S958" t="s">
        <v>74</v>
      </c>
      <c r="T958" t="s">
        <v>18022</v>
      </c>
      <c r="U958" t="s">
        <v>18023</v>
      </c>
      <c r="V958" t="s">
        <v>18024</v>
      </c>
      <c r="W958" t="s">
        <v>18025</v>
      </c>
      <c r="X958" t="s">
        <v>18026</v>
      </c>
      <c r="Y958" t="s">
        <v>18027</v>
      </c>
      <c r="Z958" t="s">
        <v>18028</v>
      </c>
      <c r="AA958" t="s">
        <v>17874</v>
      </c>
      <c r="AB958" t="s">
        <v>74</v>
      </c>
      <c r="AC958" t="s">
        <v>13305</v>
      </c>
      <c r="AD958" t="s">
        <v>13305</v>
      </c>
      <c r="AE958" t="s">
        <v>18029</v>
      </c>
      <c r="AF958" t="s">
        <v>74</v>
      </c>
      <c r="AG958">
        <v>126</v>
      </c>
      <c r="AH958">
        <v>0</v>
      </c>
      <c r="AI958">
        <v>0</v>
      </c>
      <c r="AJ958">
        <v>3</v>
      </c>
      <c r="AK958">
        <v>3</v>
      </c>
      <c r="AL958" t="s">
        <v>1075</v>
      </c>
      <c r="AM958" t="s">
        <v>2949</v>
      </c>
      <c r="AN958" t="s">
        <v>2950</v>
      </c>
      <c r="AO958" t="s">
        <v>10307</v>
      </c>
      <c r="AP958" t="s">
        <v>10308</v>
      </c>
      <c r="AQ958" t="s">
        <v>74</v>
      </c>
      <c r="AR958" t="s">
        <v>10309</v>
      </c>
      <c r="AS958" t="s">
        <v>10310</v>
      </c>
      <c r="AT958" t="s">
        <v>1947</v>
      </c>
      <c r="AU958">
        <v>2023</v>
      </c>
      <c r="AV958">
        <v>35</v>
      </c>
      <c r="AW958">
        <v>6</v>
      </c>
      <c r="AX958" t="s">
        <v>74</v>
      </c>
      <c r="AY958" t="s">
        <v>74</v>
      </c>
      <c r="AZ958" t="s">
        <v>4005</v>
      </c>
      <c r="BA958" t="s">
        <v>74</v>
      </c>
      <c r="BB958">
        <v>3113</v>
      </c>
      <c r="BC958">
        <v>3121</v>
      </c>
      <c r="BD958" t="s">
        <v>74</v>
      </c>
      <c r="BE958" t="s">
        <v>18030</v>
      </c>
      <c r="BF958" t="str">
        <f>HYPERLINK("http://dx.doi.org/10.1007/s10811-023-03086-w","http://dx.doi.org/10.1007/s10811-023-03086-w")</f>
        <v>http://dx.doi.org/10.1007/s10811-023-03086-w</v>
      </c>
      <c r="BG958" t="s">
        <v>74</v>
      </c>
      <c r="BH958" t="s">
        <v>15880</v>
      </c>
      <c r="BI958">
        <v>9</v>
      </c>
      <c r="BJ958" t="s">
        <v>10313</v>
      </c>
      <c r="BK958" t="s">
        <v>100</v>
      </c>
      <c r="BL958" t="s">
        <v>10313</v>
      </c>
      <c r="BM958" t="s">
        <v>12909</v>
      </c>
      <c r="BN958" t="s">
        <v>74</v>
      </c>
      <c r="BO958" t="s">
        <v>74</v>
      </c>
      <c r="BP958" t="s">
        <v>74</v>
      </c>
      <c r="BQ958" t="s">
        <v>74</v>
      </c>
      <c r="BR958" t="s">
        <v>104</v>
      </c>
      <c r="BS958" t="s">
        <v>18031</v>
      </c>
      <c r="BT958" t="str">
        <f>HYPERLINK("https%3A%2F%2Fwww.webofscience.com%2Fwos%2Fwoscc%2Ffull-record%2FWOS:001065090800005","View Full Record in Web of Science")</f>
        <v>View Full Record in Web of Science</v>
      </c>
    </row>
    <row r="959" spans="1:72" x14ac:dyDescent="0.15">
      <c r="A959" t="s">
        <v>72</v>
      </c>
      <c r="B959" t="s">
        <v>18019</v>
      </c>
      <c r="C959" t="s">
        <v>74</v>
      </c>
      <c r="D959" t="s">
        <v>74</v>
      </c>
      <c r="E959" t="s">
        <v>74</v>
      </c>
      <c r="F959" t="s">
        <v>18020</v>
      </c>
      <c r="G959" t="s">
        <v>74</v>
      </c>
      <c r="H959" t="s">
        <v>74</v>
      </c>
      <c r="I959" t="s">
        <v>18021</v>
      </c>
      <c r="J959" t="s">
        <v>10295</v>
      </c>
      <c r="K959" t="s">
        <v>74</v>
      </c>
      <c r="L959" t="s">
        <v>74</v>
      </c>
      <c r="M959" t="s">
        <v>78</v>
      </c>
      <c r="N959" t="s">
        <v>79</v>
      </c>
      <c r="O959" t="s">
        <v>74</v>
      </c>
      <c r="P959" t="s">
        <v>74</v>
      </c>
      <c r="Q959" t="s">
        <v>74</v>
      </c>
      <c r="R959" t="s">
        <v>74</v>
      </c>
      <c r="S959" t="s">
        <v>74</v>
      </c>
      <c r="T959" t="s">
        <v>18022</v>
      </c>
      <c r="U959" t="s">
        <v>74</v>
      </c>
      <c r="V959" t="s">
        <v>18024</v>
      </c>
      <c r="W959" t="s">
        <v>18025</v>
      </c>
      <c r="X959" t="s">
        <v>18026</v>
      </c>
      <c r="Y959" t="s">
        <v>18027</v>
      </c>
      <c r="Z959" t="s">
        <v>18028</v>
      </c>
      <c r="AA959" t="s">
        <v>17874</v>
      </c>
      <c r="AB959" t="s">
        <v>74</v>
      </c>
      <c r="AC959" t="s">
        <v>13305</v>
      </c>
      <c r="AD959" t="s">
        <v>13305</v>
      </c>
      <c r="AE959" t="s">
        <v>18029</v>
      </c>
      <c r="AF959" t="s">
        <v>74</v>
      </c>
      <c r="AG959">
        <v>53</v>
      </c>
      <c r="AH959">
        <v>0</v>
      </c>
      <c r="AI959">
        <v>0</v>
      </c>
      <c r="AJ959">
        <v>3</v>
      </c>
      <c r="AK959">
        <v>3</v>
      </c>
      <c r="AL959" t="s">
        <v>1075</v>
      </c>
      <c r="AM959" t="s">
        <v>2949</v>
      </c>
      <c r="AN959" t="s">
        <v>2950</v>
      </c>
      <c r="AO959" t="s">
        <v>10307</v>
      </c>
      <c r="AP959" t="s">
        <v>10308</v>
      </c>
      <c r="AQ959" t="s">
        <v>74</v>
      </c>
      <c r="AR959" t="s">
        <v>10309</v>
      </c>
      <c r="AS959" t="s">
        <v>10310</v>
      </c>
      <c r="AT959" t="s">
        <v>1947</v>
      </c>
      <c r="AU959">
        <v>2023</v>
      </c>
      <c r="AV959">
        <v>35</v>
      </c>
      <c r="AW959">
        <v>6</v>
      </c>
      <c r="AX959" t="s">
        <v>74</v>
      </c>
      <c r="AY959" t="s">
        <v>74</v>
      </c>
      <c r="AZ959" t="s">
        <v>4005</v>
      </c>
      <c r="BA959" t="s">
        <v>74</v>
      </c>
      <c r="BB959">
        <v>3113</v>
      </c>
      <c r="BC959">
        <v>3121</v>
      </c>
      <c r="BD959" t="s">
        <v>74</v>
      </c>
      <c r="BE959" t="s">
        <v>18030</v>
      </c>
      <c r="BF959" t="str">
        <f>HYPERLINK("http://dx.doi.org/10.1007/s10811-023-03086-w","http://dx.doi.org/10.1007/s10811-023-03086-w")</f>
        <v>http://dx.doi.org/10.1007/s10811-023-03086-w</v>
      </c>
      <c r="BG959" t="s">
        <v>74</v>
      </c>
      <c r="BH959" t="s">
        <v>15880</v>
      </c>
      <c r="BI959">
        <v>9</v>
      </c>
      <c r="BJ959" t="s">
        <v>10313</v>
      </c>
      <c r="BK959" t="s">
        <v>100</v>
      </c>
      <c r="BL959" t="s">
        <v>10313</v>
      </c>
      <c r="BM959" t="s">
        <v>12909</v>
      </c>
      <c r="BN959" t="s">
        <v>74</v>
      </c>
      <c r="BO959" t="s">
        <v>74</v>
      </c>
      <c r="BP959" t="s">
        <v>74</v>
      </c>
      <c r="BQ959" t="s">
        <v>74</v>
      </c>
      <c r="BR959" t="s">
        <v>104</v>
      </c>
      <c r="BS959" t="s">
        <v>18032</v>
      </c>
      <c r="BT959" t="str">
        <f>HYPERLINK("https%3A%2F%2Fwww.webofscience.com%2Fwos%2Fwoscc%2Ffull-record%2FWOS:001065090800002","View Full Record in Web of Science")</f>
        <v>View Full Record in Web of Science</v>
      </c>
    </row>
    <row r="960" spans="1:72" x14ac:dyDescent="0.15">
      <c r="A960" t="s">
        <v>72</v>
      </c>
      <c r="B960" t="s">
        <v>18033</v>
      </c>
      <c r="C960" t="s">
        <v>74</v>
      </c>
      <c r="D960" t="s">
        <v>74</v>
      </c>
      <c r="E960" t="s">
        <v>74</v>
      </c>
      <c r="F960" t="s">
        <v>18034</v>
      </c>
      <c r="G960" t="s">
        <v>74</v>
      </c>
      <c r="H960" t="s">
        <v>74</v>
      </c>
      <c r="I960" t="s">
        <v>18035</v>
      </c>
      <c r="J960" t="s">
        <v>11925</v>
      </c>
      <c r="K960" t="s">
        <v>74</v>
      </c>
      <c r="L960" t="s">
        <v>74</v>
      </c>
      <c r="M960" t="s">
        <v>78</v>
      </c>
      <c r="N960" t="s">
        <v>79</v>
      </c>
      <c r="O960" t="s">
        <v>74</v>
      </c>
      <c r="P960" t="s">
        <v>74</v>
      </c>
      <c r="Q960" t="s">
        <v>74</v>
      </c>
      <c r="R960" t="s">
        <v>74</v>
      </c>
      <c r="S960" t="s">
        <v>74</v>
      </c>
      <c r="T960" t="s">
        <v>18036</v>
      </c>
      <c r="U960" t="s">
        <v>74</v>
      </c>
      <c r="V960" t="s">
        <v>18037</v>
      </c>
      <c r="W960" t="s">
        <v>18038</v>
      </c>
      <c r="X960" t="s">
        <v>18039</v>
      </c>
      <c r="Y960" t="s">
        <v>18040</v>
      </c>
      <c r="Z960" t="s">
        <v>18041</v>
      </c>
      <c r="AA960" t="s">
        <v>74</v>
      </c>
      <c r="AB960" t="s">
        <v>74</v>
      </c>
      <c r="AC960" t="s">
        <v>18042</v>
      </c>
      <c r="AD960" t="s">
        <v>18042</v>
      </c>
      <c r="AE960" t="s">
        <v>18043</v>
      </c>
      <c r="AF960" t="s">
        <v>74</v>
      </c>
      <c r="AG960">
        <v>40</v>
      </c>
      <c r="AH960">
        <v>0</v>
      </c>
      <c r="AI960">
        <v>0</v>
      </c>
      <c r="AJ960">
        <v>0</v>
      </c>
      <c r="AK960">
        <v>0</v>
      </c>
      <c r="AL960" t="s">
        <v>119</v>
      </c>
      <c r="AM960" t="s">
        <v>120</v>
      </c>
      <c r="AN960" t="s">
        <v>121</v>
      </c>
      <c r="AO960" t="s">
        <v>11932</v>
      </c>
      <c r="AP960" t="s">
        <v>11933</v>
      </c>
      <c r="AQ960" t="s">
        <v>74</v>
      </c>
      <c r="AR960" t="s">
        <v>11934</v>
      </c>
      <c r="AS960" t="s">
        <v>11935</v>
      </c>
      <c r="AT960" t="s">
        <v>11936</v>
      </c>
      <c r="AU960">
        <v>2023</v>
      </c>
      <c r="AV960">
        <v>13</v>
      </c>
      <c r="AW960">
        <v>2</v>
      </c>
      <c r="AX960" t="s">
        <v>74</v>
      </c>
      <c r="AY960" t="s">
        <v>74</v>
      </c>
      <c r="AZ960" t="s">
        <v>4005</v>
      </c>
      <c r="BA960" t="s">
        <v>74</v>
      </c>
      <c r="BB960">
        <v>288</v>
      </c>
      <c r="BC960">
        <v>311</v>
      </c>
      <c r="BD960" t="s">
        <v>74</v>
      </c>
      <c r="BE960" t="s">
        <v>18044</v>
      </c>
      <c r="BF960" t="str">
        <f>HYPERLINK("http://dx.doi.org/10.1080/2154896X.2023.2251224","http://dx.doi.org/10.1080/2154896X.2023.2251224")</f>
        <v>http://dx.doi.org/10.1080/2154896X.2023.2251224</v>
      </c>
      <c r="BG960" t="s">
        <v>74</v>
      </c>
      <c r="BH960" t="s">
        <v>15880</v>
      </c>
      <c r="BI960">
        <v>24</v>
      </c>
      <c r="BJ960" t="s">
        <v>11938</v>
      </c>
      <c r="BK960" t="s">
        <v>912</v>
      </c>
      <c r="BL960" t="s">
        <v>11939</v>
      </c>
      <c r="BM960" t="s">
        <v>11940</v>
      </c>
      <c r="BN960" t="s">
        <v>74</v>
      </c>
      <c r="BO960" t="s">
        <v>3883</v>
      </c>
      <c r="BP960" t="s">
        <v>74</v>
      </c>
      <c r="BQ960" t="s">
        <v>74</v>
      </c>
      <c r="BR960" t="s">
        <v>104</v>
      </c>
      <c r="BS960" t="s">
        <v>18045</v>
      </c>
      <c r="BT960" t="str">
        <f>HYPERLINK("https%3A%2F%2Fwww.webofscience.com%2Fwos%2Fwoscc%2Ffull-record%2FWOS:001093372200001","View Full Record in Web of Science")</f>
        <v>View Full Record in Web of Science</v>
      </c>
    </row>
    <row r="961" spans="1:72" x14ac:dyDescent="0.15">
      <c r="A961" t="s">
        <v>72</v>
      </c>
      <c r="B961" t="s">
        <v>18046</v>
      </c>
      <c r="C961" t="s">
        <v>74</v>
      </c>
      <c r="D961" t="s">
        <v>74</v>
      </c>
      <c r="E961" t="s">
        <v>74</v>
      </c>
      <c r="F961" t="s">
        <v>18047</v>
      </c>
      <c r="G961" t="s">
        <v>74</v>
      </c>
      <c r="H961" t="s">
        <v>74</v>
      </c>
      <c r="I961" t="s">
        <v>18048</v>
      </c>
      <c r="J961" t="s">
        <v>18049</v>
      </c>
      <c r="K961" t="s">
        <v>74</v>
      </c>
      <c r="L961" t="s">
        <v>74</v>
      </c>
      <c r="M961" t="s">
        <v>78</v>
      </c>
      <c r="N961" t="s">
        <v>79</v>
      </c>
      <c r="O961" t="s">
        <v>74</v>
      </c>
      <c r="P961" t="s">
        <v>74</v>
      </c>
      <c r="Q961" t="s">
        <v>74</v>
      </c>
      <c r="R961" t="s">
        <v>74</v>
      </c>
      <c r="S961" t="s">
        <v>74</v>
      </c>
      <c r="T961" t="s">
        <v>18050</v>
      </c>
      <c r="U961" t="s">
        <v>18051</v>
      </c>
      <c r="V961" t="s">
        <v>18052</v>
      </c>
      <c r="W961" t="s">
        <v>18053</v>
      </c>
      <c r="X961" t="s">
        <v>18054</v>
      </c>
      <c r="Y961" t="s">
        <v>18055</v>
      </c>
      <c r="Z961" t="s">
        <v>18056</v>
      </c>
      <c r="AA961" t="s">
        <v>1096</v>
      </c>
      <c r="AB961" t="s">
        <v>18057</v>
      </c>
      <c r="AC961" t="s">
        <v>18058</v>
      </c>
      <c r="AD961" t="s">
        <v>18059</v>
      </c>
      <c r="AE961" t="s">
        <v>18060</v>
      </c>
      <c r="AF961" t="s">
        <v>74</v>
      </c>
      <c r="AG961">
        <v>110</v>
      </c>
      <c r="AH961">
        <v>0</v>
      </c>
      <c r="AI961">
        <v>0</v>
      </c>
      <c r="AJ961">
        <v>2</v>
      </c>
      <c r="AK961">
        <v>2</v>
      </c>
      <c r="AL961" t="s">
        <v>947</v>
      </c>
      <c r="AM961" t="s">
        <v>948</v>
      </c>
      <c r="AN961" t="s">
        <v>949</v>
      </c>
      <c r="AO961" t="s">
        <v>74</v>
      </c>
      <c r="AP961" t="s">
        <v>18061</v>
      </c>
      <c r="AQ961" t="s">
        <v>74</v>
      </c>
      <c r="AR961" t="s">
        <v>18062</v>
      </c>
      <c r="AS961" t="s">
        <v>18063</v>
      </c>
      <c r="AT961" t="s">
        <v>10415</v>
      </c>
      <c r="AU961">
        <v>2023</v>
      </c>
      <c r="AV961">
        <v>46</v>
      </c>
      <c r="AW961" t="s">
        <v>74</v>
      </c>
      <c r="AX961" t="s">
        <v>74</v>
      </c>
      <c r="AY961" t="s">
        <v>74</v>
      </c>
      <c r="AZ961" t="s">
        <v>74</v>
      </c>
      <c r="BA961" t="s">
        <v>74</v>
      </c>
      <c r="BB961" t="s">
        <v>74</v>
      </c>
      <c r="BC961" t="s">
        <v>74</v>
      </c>
      <c r="BD961" t="s">
        <v>18064</v>
      </c>
      <c r="BE961" t="s">
        <v>18065</v>
      </c>
      <c r="BF961" t="str">
        <f>HYPERLINK("http://dx.doi.org/10.1016/j.gecco.2023.e02615","http://dx.doi.org/10.1016/j.gecco.2023.e02615")</f>
        <v>http://dx.doi.org/10.1016/j.gecco.2023.e02615</v>
      </c>
      <c r="BG961" t="s">
        <v>74</v>
      </c>
      <c r="BH961" t="s">
        <v>15880</v>
      </c>
      <c r="BI961">
        <v>16</v>
      </c>
      <c r="BJ961" t="s">
        <v>1261</v>
      </c>
      <c r="BK961" t="s">
        <v>100</v>
      </c>
      <c r="BL961" t="s">
        <v>913</v>
      </c>
      <c r="BM961" t="s">
        <v>18066</v>
      </c>
      <c r="BN961" t="s">
        <v>74</v>
      </c>
      <c r="BO961" t="s">
        <v>2561</v>
      </c>
      <c r="BP961" t="s">
        <v>74</v>
      </c>
      <c r="BQ961" t="s">
        <v>74</v>
      </c>
      <c r="BR961" t="s">
        <v>104</v>
      </c>
      <c r="BS961" t="s">
        <v>18067</v>
      </c>
      <c r="BT961" t="str">
        <f>HYPERLINK("https%3A%2F%2Fwww.webofscience.com%2Fwos%2Fwoscc%2Ffull-record%2FWOS:001080558600001","View Full Record in Web of Science")</f>
        <v>View Full Record in Web of Science</v>
      </c>
    </row>
    <row r="962" spans="1:72" x14ac:dyDescent="0.15">
      <c r="A962" t="s">
        <v>72</v>
      </c>
      <c r="B962" t="s">
        <v>18068</v>
      </c>
      <c r="C962" t="s">
        <v>74</v>
      </c>
      <c r="D962" t="s">
        <v>74</v>
      </c>
      <c r="E962" t="s">
        <v>74</v>
      </c>
      <c r="F962" t="s">
        <v>18069</v>
      </c>
      <c r="G962" t="s">
        <v>74</v>
      </c>
      <c r="H962" t="s">
        <v>74</v>
      </c>
      <c r="I962" t="s">
        <v>18070</v>
      </c>
      <c r="J962" t="s">
        <v>18071</v>
      </c>
      <c r="K962" t="s">
        <v>74</v>
      </c>
      <c r="L962" t="s">
        <v>74</v>
      </c>
      <c r="M962" t="s">
        <v>78</v>
      </c>
      <c r="N962" t="s">
        <v>79</v>
      </c>
      <c r="O962" t="s">
        <v>74</v>
      </c>
      <c r="P962" t="s">
        <v>74</v>
      </c>
      <c r="Q962" t="s">
        <v>74</v>
      </c>
      <c r="R962" t="s">
        <v>74</v>
      </c>
      <c r="S962" t="s">
        <v>74</v>
      </c>
      <c r="T962" t="s">
        <v>74</v>
      </c>
      <c r="U962" t="s">
        <v>18072</v>
      </c>
      <c r="V962" t="s">
        <v>18073</v>
      </c>
      <c r="W962" t="s">
        <v>18074</v>
      </c>
      <c r="X962" t="s">
        <v>18075</v>
      </c>
      <c r="Y962" t="s">
        <v>18076</v>
      </c>
      <c r="Z962" t="s">
        <v>18077</v>
      </c>
      <c r="AA962" t="s">
        <v>74</v>
      </c>
      <c r="AB962" t="s">
        <v>18078</v>
      </c>
      <c r="AC962" t="s">
        <v>18079</v>
      </c>
      <c r="AD962" t="s">
        <v>18080</v>
      </c>
      <c r="AE962" t="s">
        <v>18081</v>
      </c>
      <c r="AF962" t="s">
        <v>74</v>
      </c>
      <c r="AG962">
        <v>47</v>
      </c>
      <c r="AH962">
        <v>0</v>
      </c>
      <c r="AI962">
        <v>0</v>
      </c>
      <c r="AJ962">
        <v>8</v>
      </c>
      <c r="AK962">
        <v>9</v>
      </c>
      <c r="AL962" t="s">
        <v>18082</v>
      </c>
      <c r="AM962" t="s">
        <v>1783</v>
      </c>
      <c r="AN962" t="s">
        <v>18083</v>
      </c>
      <c r="AO962" t="s">
        <v>18084</v>
      </c>
      <c r="AP962" t="s">
        <v>18085</v>
      </c>
      <c r="AQ962" t="s">
        <v>74</v>
      </c>
      <c r="AR962" t="s">
        <v>18086</v>
      </c>
      <c r="AS962" t="s">
        <v>18087</v>
      </c>
      <c r="AT962" t="s">
        <v>12198</v>
      </c>
      <c r="AU962">
        <v>2023</v>
      </c>
      <c r="AV962">
        <v>11</v>
      </c>
      <c r="AW962">
        <v>21</v>
      </c>
      <c r="AX962" t="s">
        <v>74</v>
      </c>
      <c r="AY962" t="s">
        <v>74</v>
      </c>
      <c r="AZ962" t="s">
        <v>74</v>
      </c>
      <c r="BA962" t="s">
        <v>74</v>
      </c>
      <c r="BB962">
        <v>7146</v>
      </c>
      <c r="BC962">
        <v>7157</v>
      </c>
      <c r="BD962" t="s">
        <v>74</v>
      </c>
      <c r="BE962" t="s">
        <v>18088</v>
      </c>
      <c r="BF962" t="str">
        <f>HYPERLINK("http://dx.doi.org/10.1039/d3bm00917c","http://dx.doi.org/10.1039/d3bm00917c")</f>
        <v>http://dx.doi.org/10.1039/d3bm00917c</v>
      </c>
      <c r="BG962" t="s">
        <v>74</v>
      </c>
      <c r="BH962" t="s">
        <v>15880</v>
      </c>
      <c r="BI962">
        <v>12</v>
      </c>
      <c r="BJ962" t="s">
        <v>18089</v>
      </c>
      <c r="BK962" t="s">
        <v>100</v>
      </c>
      <c r="BL962" t="s">
        <v>3859</v>
      </c>
      <c r="BM962" t="s">
        <v>18090</v>
      </c>
      <c r="BN962">
        <v>37718649</v>
      </c>
      <c r="BO962" t="s">
        <v>74</v>
      </c>
      <c r="BP962" t="s">
        <v>74</v>
      </c>
      <c r="BQ962" t="s">
        <v>74</v>
      </c>
      <c r="BR962" t="s">
        <v>104</v>
      </c>
      <c r="BS962" t="s">
        <v>18091</v>
      </c>
      <c r="BT962" t="str">
        <f>HYPERLINK("https%3A%2F%2Fwww.webofscience.com%2Fwos%2Fwoscc%2Ffull-record%2FWOS:001068540200001","View Full Record in Web of Science")</f>
        <v>View Full Record in Web of Science</v>
      </c>
    </row>
    <row r="963" spans="1:72" x14ac:dyDescent="0.15">
      <c r="A963" t="s">
        <v>72</v>
      </c>
      <c r="B963" t="s">
        <v>18092</v>
      </c>
      <c r="C963" t="s">
        <v>74</v>
      </c>
      <c r="D963" t="s">
        <v>74</v>
      </c>
      <c r="E963" t="s">
        <v>74</v>
      </c>
      <c r="F963" t="s">
        <v>18093</v>
      </c>
      <c r="G963" t="s">
        <v>74</v>
      </c>
      <c r="H963" t="s">
        <v>74</v>
      </c>
      <c r="I963" t="s">
        <v>18094</v>
      </c>
      <c r="J963" t="s">
        <v>18095</v>
      </c>
      <c r="K963" t="s">
        <v>74</v>
      </c>
      <c r="L963" t="s">
        <v>74</v>
      </c>
      <c r="M963" t="s">
        <v>78</v>
      </c>
      <c r="N963" t="s">
        <v>79</v>
      </c>
      <c r="O963" t="s">
        <v>74</v>
      </c>
      <c r="P963" t="s">
        <v>74</v>
      </c>
      <c r="Q963" t="s">
        <v>74</v>
      </c>
      <c r="R963" t="s">
        <v>74</v>
      </c>
      <c r="S963" t="s">
        <v>74</v>
      </c>
      <c r="T963" t="s">
        <v>18096</v>
      </c>
      <c r="U963" t="s">
        <v>18097</v>
      </c>
      <c r="V963" t="s">
        <v>18098</v>
      </c>
      <c r="W963" t="s">
        <v>18099</v>
      </c>
      <c r="X963" t="s">
        <v>18100</v>
      </c>
      <c r="Y963" t="s">
        <v>18101</v>
      </c>
      <c r="Z963" t="s">
        <v>18102</v>
      </c>
      <c r="AA963" t="s">
        <v>18103</v>
      </c>
      <c r="AB963" t="s">
        <v>18104</v>
      </c>
      <c r="AC963" t="s">
        <v>18105</v>
      </c>
      <c r="AD963" t="s">
        <v>18106</v>
      </c>
      <c r="AE963" t="s">
        <v>18107</v>
      </c>
      <c r="AF963" t="s">
        <v>74</v>
      </c>
      <c r="AG963">
        <v>60</v>
      </c>
      <c r="AH963">
        <v>2</v>
      </c>
      <c r="AI963">
        <v>2</v>
      </c>
      <c r="AJ963">
        <v>1</v>
      </c>
      <c r="AK963">
        <v>3</v>
      </c>
      <c r="AL963" t="s">
        <v>1560</v>
      </c>
      <c r="AM963" t="s">
        <v>976</v>
      </c>
      <c r="AN963" t="s">
        <v>1561</v>
      </c>
      <c r="AO963" t="s">
        <v>74</v>
      </c>
      <c r="AP963" t="s">
        <v>18108</v>
      </c>
      <c r="AQ963" t="s">
        <v>74</v>
      </c>
      <c r="AR963" t="s">
        <v>18109</v>
      </c>
      <c r="AS963" t="s">
        <v>18110</v>
      </c>
      <c r="AT963" t="s">
        <v>18111</v>
      </c>
      <c r="AU963">
        <v>2023</v>
      </c>
      <c r="AV963">
        <v>9</v>
      </c>
      <c r="AW963">
        <v>2</v>
      </c>
      <c r="AX963" t="s">
        <v>74</v>
      </c>
      <c r="AY963" t="s">
        <v>74</v>
      </c>
      <c r="AZ963" t="s">
        <v>74</v>
      </c>
      <c r="BA963" t="s">
        <v>74</v>
      </c>
      <c r="BB963" t="s">
        <v>74</v>
      </c>
      <c r="BC963" t="s">
        <v>74</v>
      </c>
      <c r="BD963" t="s">
        <v>18112</v>
      </c>
      <c r="BE963" t="s">
        <v>18113</v>
      </c>
      <c r="BF963" t="str">
        <f>HYPERLINK("http://dx.doi.org/10.1093/ve/vead057","http://dx.doi.org/10.1093/ve/vead057")</f>
        <v>http://dx.doi.org/10.1093/ve/vead057</v>
      </c>
      <c r="BG963" t="s">
        <v>74</v>
      </c>
      <c r="BH963" t="s">
        <v>74</v>
      </c>
      <c r="BI963">
        <v>14</v>
      </c>
      <c r="BJ963" t="s">
        <v>8475</v>
      </c>
      <c r="BK963" t="s">
        <v>100</v>
      </c>
      <c r="BL963" t="s">
        <v>8475</v>
      </c>
      <c r="BM963" t="s">
        <v>18114</v>
      </c>
      <c r="BN963">
        <v>37692898</v>
      </c>
      <c r="BO963" t="s">
        <v>131</v>
      </c>
      <c r="BP963" t="s">
        <v>74</v>
      </c>
      <c r="BQ963" t="s">
        <v>74</v>
      </c>
      <c r="BR963" t="s">
        <v>104</v>
      </c>
      <c r="BS963" t="s">
        <v>18115</v>
      </c>
      <c r="BT963" t="str">
        <f>HYPERLINK("https%3A%2F%2Fwww.webofscience.com%2Fwos%2Fwoscc%2Ffull-record%2FWOS:001061349700001","View Full Record in Web of Science")</f>
        <v>View Full Record in Web of Science</v>
      </c>
    </row>
    <row r="964" spans="1:72" x14ac:dyDescent="0.15">
      <c r="A964" t="s">
        <v>72</v>
      </c>
      <c r="B964" t="s">
        <v>18116</v>
      </c>
      <c r="C964" t="s">
        <v>74</v>
      </c>
      <c r="D964" t="s">
        <v>74</v>
      </c>
      <c r="E964" t="s">
        <v>74</v>
      </c>
      <c r="F964" t="s">
        <v>18117</v>
      </c>
      <c r="G964" t="s">
        <v>74</v>
      </c>
      <c r="H964" t="s">
        <v>74</v>
      </c>
      <c r="I964" t="s">
        <v>18118</v>
      </c>
      <c r="J964" t="s">
        <v>991</v>
      </c>
      <c r="K964" t="s">
        <v>74</v>
      </c>
      <c r="L964" t="s">
        <v>74</v>
      </c>
      <c r="M964" t="s">
        <v>78</v>
      </c>
      <c r="N964" t="s">
        <v>79</v>
      </c>
      <c r="O964" t="s">
        <v>74</v>
      </c>
      <c r="P964" t="s">
        <v>74</v>
      </c>
      <c r="Q964" t="s">
        <v>74</v>
      </c>
      <c r="R964" t="s">
        <v>74</v>
      </c>
      <c r="S964" t="s">
        <v>74</v>
      </c>
      <c r="T964" t="s">
        <v>18119</v>
      </c>
      <c r="U964" t="s">
        <v>18120</v>
      </c>
      <c r="V964" t="s">
        <v>18121</v>
      </c>
      <c r="W964" t="s">
        <v>18122</v>
      </c>
      <c r="X964" t="s">
        <v>18123</v>
      </c>
      <c r="Y964" t="s">
        <v>18124</v>
      </c>
      <c r="Z964" t="s">
        <v>18125</v>
      </c>
      <c r="AA964" t="s">
        <v>18126</v>
      </c>
      <c r="AB964" t="s">
        <v>18127</v>
      </c>
      <c r="AC964" t="s">
        <v>74</v>
      </c>
      <c r="AD964" t="s">
        <v>74</v>
      </c>
      <c r="AE964" t="s">
        <v>74</v>
      </c>
      <c r="AF964" t="s">
        <v>74</v>
      </c>
      <c r="AG964">
        <v>112</v>
      </c>
      <c r="AH964">
        <v>0</v>
      </c>
      <c r="AI964">
        <v>0</v>
      </c>
      <c r="AJ964">
        <v>3</v>
      </c>
      <c r="AK964">
        <v>4</v>
      </c>
      <c r="AL964" t="s">
        <v>947</v>
      </c>
      <c r="AM964" t="s">
        <v>948</v>
      </c>
      <c r="AN964" t="s">
        <v>949</v>
      </c>
      <c r="AO964" t="s">
        <v>1004</v>
      </c>
      <c r="AP964" t="s">
        <v>1005</v>
      </c>
      <c r="AQ964" t="s">
        <v>74</v>
      </c>
      <c r="AR964" t="s">
        <v>1006</v>
      </c>
      <c r="AS964" t="s">
        <v>1007</v>
      </c>
      <c r="AT964" t="s">
        <v>3263</v>
      </c>
      <c r="AU964">
        <v>2023</v>
      </c>
      <c r="AV964">
        <v>904</v>
      </c>
      <c r="AW964" t="s">
        <v>74</v>
      </c>
      <c r="AX964" t="s">
        <v>74</v>
      </c>
      <c r="AY964" t="s">
        <v>74</v>
      </c>
      <c r="AZ964" t="s">
        <v>74</v>
      </c>
      <c r="BA964" t="s">
        <v>74</v>
      </c>
      <c r="BB964" t="s">
        <v>74</v>
      </c>
      <c r="BC964" t="s">
        <v>74</v>
      </c>
      <c r="BD964">
        <v>166658</v>
      </c>
      <c r="BE964" t="s">
        <v>18128</v>
      </c>
      <c r="BF964" t="str">
        <f>HYPERLINK("http://dx.doi.org/10.1016/j.scitotenv.2023.166658","http://dx.doi.org/10.1016/j.scitotenv.2023.166658")</f>
        <v>http://dx.doi.org/10.1016/j.scitotenv.2023.166658</v>
      </c>
      <c r="BG964" t="s">
        <v>74</v>
      </c>
      <c r="BH964" t="s">
        <v>15880</v>
      </c>
      <c r="BI964">
        <v>17</v>
      </c>
      <c r="BJ964" t="s">
        <v>1010</v>
      </c>
      <c r="BK964" t="s">
        <v>100</v>
      </c>
      <c r="BL964" t="s">
        <v>1011</v>
      </c>
      <c r="BM964" t="s">
        <v>18129</v>
      </c>
      <c r="BN964">
        <v>37659522</v>
      </c>
      <c r="BO964" t="s">
        <v>103</v>
      </c>
      <c r="BP964" t="s">
        <v>74</v>
      </c>
      <c r="BQ964" t="s">
        <v>74</v>
      </c>
      <c r="BR964" t="s">
        <v>104</v>
      </c>
      <c r="BS964" t="s">
        <v>18130</v>
      </c>
      <c r="BT964" t="str">
        <f>HYPERLINK("https%3A%2F%2Fwww.webofscience.com%2Fwos%2Fwoscc%2Ffull-record%2FWOS:001158936600001","View Full Record in Web of Science")</f>
        <v>View Full Record in Web of Science</v>
      </c>
    </row>
    <row r="965" spans="1:72" x14ac:dyDescent="0.15">
      <c r="A965" t="s">
        <v>72</v>
      </c>
      <c r="B965" t="s">
        <v>18131</v>
      </c>
      <c r="C965" t="s">
        <v>74</v>
      </c>
      <c r="D965" t="s">
        <v>74</v>
      </c>
      <c r="E965" t="s">
        <v>74</v>
      </c>
      <c r="F965" t="s">
        <v>18132</v>
      </c>
      <c r="G965" t="s">
        <v>74</v>
      </c>
      <c r="H965" t="s">
        <v>74</v>
      </c>
      <c r="I965" t="s">
        <v>18133</v>
      </c>
      <c r="J965" t="s">
        <v>1116</v>
      </c>
      <c r="K965" t="s">
        <v>74</v>
      </c>
      <c r="L965" t="s">
        <v>74</v>
      </c>
      <c r="M965" t="s">
        <v>78</v>
      </c>
      <c r="N965" t="s">
        <v>79</v>
      </c>
      <c r="O965" t="s">
        <v>74</v>
      </c>
      <c r="P965" t="s">
        <v>74</v>
      </c>
      <c r="Q965" t="s">
        <v>74</v>
      </c>
      <c r="R965" t="s">
        <v>74</v>
      </c>
      <c r="S965" t="s">
        <v>74</v>
      </c>
      <c r="T965" t="s">
        <v>18134</v>
      </c>
      <c r="U965" t="s">
        <v>18135</v>
      </c>
      <c r="V965" t="s">
        <v>18136</v>
      </c>
      <c r="W965" t="s">
        <v>18137</v>
      </c>
      <c r="X965" t="s">
        <v>18138</v>
      </c>
      <c r="Y965" t="s">
        <v>18139</v>
      </c>
      <c r="Z965" t="s">
        <v>18140</v>
      </c>
      <c r="AA965" t="s">
        <v>74</v>
      </c>
      <c r="AB965" t="s">
        <v>74</v>
      </c>
      <c r="AC965" t="s">
        <v>18141</v>
      </c>
      <c r="AD965" t="s">
        <v>18142</v>
      </c>
      <c r="AE965" t="s">
        <v>18143</v>
      </c>
      <c r="AF965" t="s">
        <v>74</v>
      </c>
      <c r="AG965">
        <v>47</v>
      </c>
      <c r="AH965">
        <v>0</v>
      </c>
      <c r="AI965">
        <v>0</v>
      </c>
      <c r="AJ965">
        <v>3</v>
      </c>
      <c r="AK965">
        <v>3</v>
      </c>
      <c r="AL965" t="s">
        <v>975</v>
      </c>
      <c r="AM965" t="s">
        <v>976</v>
      </c>
      <c r="AN965" t="s">
        <v>977</v>
      </c>
      <c r="AO965" t="s">
        <v>1129</v>
      </c>
      <c r="AP965" t="s">
        <v>1130</v>
      </c>
      <c r="AQ965" t="s">
        <v>74</v>
      </c>
      <c r="AR965" t="s">
        <v>1131</v>
      </c>
      <c r="AS965" t="s">
        <v>1132</v>
      </c>
      <c r="AT965" t="s">
        <v>10415</v>
      </c>
      <c r="AU965">
        <v>2023</v>
      </c>
      <c r="AV965">
        <v>195</v>
      </c>
      <c r="AW965" t="s">
        <v>74</v>
      </c>
      <c r="AX965" t="s">
        <v>74</v>
      </c>
      <c r="AY965" t="s">
        <v>74</v>
      </c>
      <c r="AZ965" t="s">
        <v>74</v>
      </c>
      <c r="BA965" t="s">
        <v>74</v>
      </c>
      <c r="BB965" t="s">
        <v>74</v>
      </c>
      <c r="BC965" t="s">
        <v>74</v>
      </c>
      <c r="BD965">
        <v>115516</v>
      </c>
      <c r="BE965" t="s">
        <v>18144</v>
      </c>
      <c r="BF965" t="str">
        <f>HYPERLINK("http://dx.doi.org/10.1016/j.marpolbul.2023.115516","http://dx.doi.org/10.1016/j.marpolbul.2023.115516")</f>
        <v>http://dx.doi.org/10.1016/j.marpolbul.2023.115516</v>
      </c>
      <c r="BG965" t="s">
        <v>74</v>
      </c>
      <c r="BH965" t="s">
        <v>15880</v>
      </c>
      <c r="BI965">
        <v>8</v>
      </c>
      <c r="BJ965" t="s">
        <v>1135</v>
      </c>
      <c r="BK965" t="s">
        <v>100</v>
      </c>
      <c r="BL965" t="s">
        <v>1136</v>
      </c>
      <c r="BM965" t="s">
        <v>18145</v>
      </c>
      <c r="BN965">
        <v>37690406</v>
      </c>
      <c r="BO965" t="s">
        <v>103</v>
      </c>
      <c r="BP965" t="s">
        <v>74</v>
      </c>
      <c r="BQ965" t="s">
        <v>74</v>
      </c>
      <c r="BR965" t="s">
        <v>104</v>
      </c>
      <c r="BS965" t="s">
        <v>18146</v>
      </c>
      <c r="BT965" t="str">
        <f>HYPERLINK("https%3A%2F%2Fwww.webofscience.com%2Fwos%2Fwoscc%2Ffull-record%2FWOS:001081557800001","View Full Record in Web of Science")</f>
        <v>View Full Record in Web of Science</v>
      </c>
    </row>
    <row r="966" spans="1:72" x14ac:dyDescent="0.15">
      <c r="A966" t="s">
        <v>72</v>
      </c>
      <c r="B966" t="s">
        <v>18147</v>
      </c>
      <c r="C966" t="s">
        <v>74</v>
      </c>
      <c r="D966" t="s">
        <v>74</v>
      </c>
      <c r="E966" t="s">
        <v>74</v>
      </c>
      <c r="F966" t="s">
        <v>18148</v>
      </c>
      <c r="G966" t="s">
        <v>74</v>
      </c>
      <c r="H966" t="s">
        <v>74</v>
      </c>
      <c r="I966" t="s">
        <v>18149</v>
      </c>
      <c r="J966" t="s">
        <v>18150</v>
      </c>
      <c r="K966" t="s">
        <v>74</v>
      </c>
      <c r="L966" t="s">
        <v>74</v>
      </c>
      <c r="M966" t="s">
        <v>78</v>
      </c>
      <c r="N966" t="s">
        <v>79</v>
      </c>
      <c r="O966" t="s">
        <v>74</v>
      </c>
      <c r="P966" t="s">
        <v>74</v>
      </c>
      <c r="Q966" t="s">
        <v>74</v>
      </c>
      <c r="R966" t="s">
        <v>74</v>
      </c>
      <c r="S966" t="s">
        <v>74</v>
      </c>
      <c r="T966" t="s">
        <v>18151</v>
      </c>
      <c r="U966" t="s">
        <v>18152</v>
      </c>
      <c r="V966" t="s">
        <v>18153</v>
      </c>
      <c r="W966" t="s">
        <v>18154</v>
      </c>
      <c r="X966" t="s">
        <v>18155</v>
      </c>
      <c r="Y966" t="s">
        <v>18156</v>
      </c>
      <c r="Z966" t="s">
        <v>18157</v>
      </c>
      <c r="AA966" t="s">
        <v>18158</v>
      </c>
      <c r="AB966" t="s">
        <v>18159</v>
      </c>
      <c r="AC966" t="s">
        <v>18160</v>
      </c>
      <c r="AD966" t="s">
        <v>18161</v>
      </c>
      <c r="AE966" t="s">
        <v>18162</v>
      </c>
      <c r="AF966" t="s">
        <v>74</v>
      </c>
      <c r="AG966">
        <v>65</v>
      </c>
      <c r="AH966">
        <v>0</v>
      </c>
      <c r="AI966">
        <v>0</v>
      </c>
      <c r="AJ966">
        <v>12</v>
      </c>
      <c r="AK966">
        <v>16</v>
      </c>
      <c r="AL966" t="s">
        <v>3013</v>
      </c>
      <c r="AM966" t="s">
        <v>3014</v>
      </c>
      <c r="AN966" t="s">
        <v>3015</v>
      </c>
      <c r="AO966" t="s">
        <v>18163</v>
      </c>
      <c r="AP966" t="s">
        <v>18164</v>
      </c>
      <c r="AQ966" t="s">
        <v>74</v>
      </c>
      <c r="AR966" t="s">
        <v>18165</v>
      </c>
      <c r="AS966" t="s">
        <v>18166</v>
      </c>
      <c r="AT966" t="s">
        <v>16599</v>
      </c>
      <c r="AU966">
        <v>2023</v>
      </c>
      <c r="AV966">
        <v>264</v>
      </c>
      <c r="AW966" t="s">
        <v>74</v>
      </c>
      <c r="AX966" t="s">
        <v>74</v>
      </c>
      <c r="AY966" t="s">
        <v>74</v>
      </c>
      <c r="AZ966" t="s">
        <v>74</v>
      </c>
      <c r="BA966" t="s">
        <v>74</v>
      </c>
      <c r="BB966" t="s">
        <v>74</v>
      </c>
      <c r="BC966" t="s">
        <v>74</v>
      </c>
      <c r="BD966">
        <v>115434</v>
      </c>
      <c r="BE966" t="s">
        <v>18167</v>
      </c>
      <c r="BF966" t="str">
        <f>HYPERLINK("http://dx.doi.org/10.1016/j.ecoenv.2023.115434","http://dx.doi.org/10.1016/j.ecoenv.2023.115434")</f>
        <v>http://dx.doi.org/10.1016/j.ecoenv.2023.115434</v>
      </c>
      <c r="BG966" t="s">
        <v>74</v>
      </c>
      <c r="BH966" t="s">
        <v>15880</v>
      </c>
      <c r="BI966">
        <v>12</v>
      </c>
      <c r="BJ966" t="s">
        <v>18168</v>
      </c>
      <c r="BK966" t="s">
        <v>100</v>
      </c>
      <c r="BL966" t="s">
        <v>12181</v>
      </c>
      <c r="BM966" t="s">
        <v>18169</v>
      </c>
      <c r="BN966">
        <v>37690174</v>
      </c>
      <c r="BO966" t="s">
        <v>131</v>
      </c>
      <c r="BP966" t="s">
        <v>74</v>
      </c>
      <c r="BQ966" t="s">
        <v>74</v>
      </c>
      <c r="BR966" t="s">
        <v>104</v>
      </c>
      <c r="BS966" t="s">
        <v>18170</v>
      </c>
      <c r="BT966" t="str">
        <f>HYPERLINK("https%3A%2F%2Fwww.webofscience.com%2Fwos%2Fwoscc%2Ffull-record%2FWOS:001074182100001","View Full Record in Web of Science")</f>
        <v>View Full Record in Web of Science</v>
      </c>
    </row>
    <row r="967" spans="1:72" x14ac:dyDescent="0.15">
      <c r="A967" t="s">
        <v>72</v>
      </c>
      <c r="B967" t="s">
        <v>18171</v>
      </c>
      <c r="C967" t="s">
        <v>74</v>
      </c>
      <c r="D967" t="s">
        <v>74</v>
      </c>
      <c r="E967" t="s">
        <v>74</v>
      </c>
      <c r="F967" t="s">
        <v>18172</v>
      </c>
      <c r="G967" t="s">
        <v>74</v>
      </c>
      <c r="H967" t="s">
        <v>74</v>
      </c>
      <c r="I967" t="s">
        <v>18173</v>
      </c>
      <c r="J967" t="s">
        <v>2977</v>
      </c>
      <c r="K967" t="s">
        <v>74</v>
      </c>
      <c r="L967" t="s">
        <v>74</v>
      </c>
      <c r="M967" t="s">
        <v>78</v>
      </c>
      <c r="N967" t="s">
        <v>79</v>
      </c>
      <c r="O967" t="s">
        <v>74</v>
      </c>
      <c r="P967" t="s">
        <v>74</v>
      </c>
      <c r="Q967" t="s">
        <v>74</v>
      </c>
      <c r="R967" t="s">
        <v>74</v>
      </c>
      <c r="S967" t="s">
        <v>74</v>
      </c>
      <c r="T967" t="s">
        <v>18174</v>
      </c>
      <c r="U967" t="s">
        <v>18175</v>
      </c>
      <c r="V967" t="s">
        <v>18176</v>
      </c>
      <c r="W967" t="s">
        <v>18177</v>
      </c>
      <c r="X967" t="s">
        <v>18178</v>
      </c>
      <c r="Y967" t="s">
        <v>18179</v>
      </c>
      <c r="Z967" t="s">
        <v>18180</v>
      </c>
      <c r="AA967" t="s">
        <v>18181</v>
      </c>
      <c r="AB967" t="s">
        <v>18182</v>
      </c>
      <c r="AC967" t="s">
        <v>18183</v>
      </c>
      <c r="AD967" t="s">
        <v>18184</v>
      </c>
      <c r="AE967" t="s">
        <v>18185</v>
      </c>
      <c r="AF967" t="s">
        <v>74</v>
      </c>
      <c r="AG967">
        <v>80</v>
      </c>
      <c r="AH967">
        <v>1</v>
      </c>
      <c r="AI967">
        <v>1</v>
      </c>
      <c r="AJ967">
        <v>4</v>
      </c>
      <c r="AK967">
        <v>4</v>
      </c>
      <c r="AL967" t="s">
        <v>1101</v>
      </c>
      <c r="AM967" t="s">
        <v>1102</v>
      </c>
      <c r="AN967" t="s">
        <v>1103</v>
      </c>
      <c r="AO967" t="s">
        <v>2990</v>
      </c>
      <c r="AP967" t="s">
        <v>2991</v>
      </c>
      <c r="AQ967" t="s">
        <v>74</v>
      </c>
      <c r="AR967" t="s">
        <v>2992</v>
      </c>
      <c r="AS967" t="s">
        <v>2993</v>
      </c>
      <c r="AT967" t="s">
        <v>1947</v>
      </c>
      <c r="AU967">
        <v>2023</v>
      </c>
      <c r="AV967">
        <v>103</v>
      </c>
      <c r="AW967">
        <v>6</v>
      </c>
      <c r="AX967" t="s">
        <v>74</v>
      </c>
      <c r="AY967" t="s">
        <v>74</v>
      </c>
      <c r="AZ967" t="s">
        <v>74</v>
      </c>
      <c r="BA967" t="s">
        <v>74</v>
      </c>
      <c r="BB967">
        <v>1357</v>
      </c>
      <c r="BC967">
        <v>1373</v>
      </c>
      <c r="BD967" t="s">
        <v>74</v>
      </c>
      <c r="BE967" t="s">
        <v>18186</v>
      </c>
      <c r="BF967" t="str">
        <f>HYPERLINK("http://dx.doi.org/10.1111/jfb.15537","http://dx.doi.org/10.1111/jfb.15537")</f>
        <v>http://dx.doi.org/10.1111/jfb.15537</v>
      </c>
      <c r="BG967" t="s">
        <v>74</v>
      </c>
      <c r="BH967" t="s">
        <v>15880</v>
      </c>
      <c r="BI967">
        <v>17</v>
      </c>
      <c r="BJ967" t="s">
        <v>2141</v>
      </c>
      <c r="BK967" t="s">
        <v>100</v>
      </c>
      <c r="BL967" t="s">
        <v>2141</v>
      </c>
      <c r="BM967" t="s">
        <v>18187</v>
      </c>
      <c r="BN967">
        <v>37632330</v>
      </c>
      <c r="BO967" t="s">
        <v>103</v>
      </c>
      <c r="BP967" t="s">
        <v>74</v>
      </c>
      <c r="BQ967" t="s">
        <v>74</v>
      </c>
      <c r="BR967" t="s">
        <v>104</v>
      </c>
      <c r="BS967" t="s">
        <v>18188</v>
      </c>
      <c r="BT967" t="str">
        <f>HYPERLINK("https%3A%2F%2Fwww.webofscience.com%2Fwos%2Fwoscc%2Ffull-record%2FWOS:001064013600001","View Full Record in Web of Science")</f>
        <v>View Full Record in Web of Science</v>
      </c>
    </row>
    <row r="968" spans="1:72" x14ac:dyDescent="0.15">
      <c r="A968" t="s">
        <v>72</v>
      </c>
      <c r="B968" t="s">
        <v>18189</v>
      </c>
      <c r="C968" t="s">
        <v>74</v>
      </c>
      <c r="D968" t="s">
        <v>74</v>
      </c>
      <c r="E968" t="s">
        <v>74</v>
      </c>
      <c r="F968" t="s">
        <v>18190</v>
      </c>
      <c r="G968" t="s">
        <v>74</v>
      </c>
      <c r="H968" t="s">
        <v>74</v>
      </c>
      <c r="I968" t="s">
        <v>18191</v>
      </c>
      <c r="J968" t="s">
        <v>12725</v>
      </c>
      <c r="K968" t="s">
        <v>74</v>
      </c>
      <c r="L968" t="s">
        <v>74</v>
      </c>
      <c r="M968" t="s">
        <v>78</v>
      </c>
      <c r="N968" t="s">
        <v>920</v>
      </c>
      <c r="O968" t="s">
        <v>74</v>
      </c>
      <c r="P968" t="s">
        <v>74</v>
      </c>
      <c r="Q968" t="s">
        <v>74</v>
      </c>
      <c r="R968" t="s">
        <v>74</v>
      </c>
      <c r="S968" t="s">
        <v>74</v>
      </c>
      <c r="T968" t="s">
        <v>18192</v>
      </c>
      <c r="U968" t="s">
        <v>74</v>
      </c>
      <c r="V968" t="s">
        <v>18193</v>
      </c>
      <c r="W968" t="s">
        <v>18194</v>
      </c>
      <c r="X968" t="s">
        <v>18195</v>
      </c>
      <c r="Y968" t="s">
        <v>18196</v>
      </c>
      <c r="Z968" t="s">
        <v>18197</v>
      </c>
      <c r="AA968" t="s">
        <v>18198</v>
      </c>
      <c r="AB968" t="s">
        <v>18199</v>
      </c>
      <c r="AC968" t="s">
        <v>74</v>
      </c>
      <c r="AD968" t="s">
        <v>74</v>
      </c>
      <c r="AE968" t="s">
        <v>74</v>
      </c>
      <c r="AF968" t="s">
        <v>74</v>
      </c>
      <c r="AG968">
        <v>14</v>
      </c>
      <c r="AH968">
        <v>3</v>
      </c>
      <c r="AI968">
        <v>3</v>
      </c>
      <c r="AJ968">
        <v>8</v>
      </c>
      <c r="AK968">
        <v>11</v>
      </c>
      <c r="AL968" t="s">
        <v>3057</v>
      </c>
      <c r="AM968" t="s">
        <v>3058</v>
      </c>
      <c r="AN968" t="s">
        <v>3059</v>
      </c>
      <c r="AO968" t="s">
        <v>12728</v>
      </c>
      <c r="AP968" t="s">
        <v>12729</v>
      </c>
      <c r="AQ968" t="s">
        <v>74</v>
      </c>
      <c r="AR968" t="s">
        <v>12725</v>
      </c>
      <c r="AS968" t="s">
        <v>12730</v>
      </c>
      <c r="AT968" t="s">
        <v>18200</v>
      </c>
      <c r="AU968">
        <v>2023</v>
      </c>
      <c r="AV968">
        <v>621</v>
      </c>
      <c r="AW968">
        <v>7977</v>
      </c>
      <c r="AX968" t="s">
        <v>74</v>
      </c>
      <c r="AY968" t="s">
        <v>74</v>
      </c>
      <c r="AZ968" t="s">
        <v>74</v>
      </c>
      <c r="BA968" t="s">
        <v>74</v>
      </c>
      <c r="BB968">
        <v>38</v>
      </c>
      <c r="BC968">
        <v>41</v>
      </c>
      <c r="BD968" t="s">
        <v>74</v>
      </c>
      <c r="BE968" t="s">
        <v>18201</v>
      </c>
      <c r="BF968" t="str">
        <f>HYPERLINK("http://dx.doi.org/10.1038/d41586-023-02730-2","http://dx.doi.org/10.1038/d41586-023-02730-2")</f>
        <v>http://dx.doi.org/10.1038/d41586-023-02730-2</v>
      </c>
      <c r="BG968" t="s">
        <v>74</v>
      </c>
      <c r="BH968" t="s">
        <v>74</v>
      </c>
      <c r="BI968">
        <v>4</v>
      </c>
      <c r="BJ968" t="s">
        <v>1035</v>
      </c>
      <c r="BK968" t="s">
        <v>100</v>
      </c>
      <c r="BL968" t="s">
        <v>1036</v>
      </c>
      <c r="BM968" t="s">
        <v>18202</v>
      </c>
      <c r="BN968">
        <v>37673984</v>
      </c>
      <c r="BO968" t="s">
        <v>74</v>
      </c>
      <c r="BP968" t="s">
        <v>74</v>
      </c>
      <c r="BQ968" t="s">
        <v>74</v>
      </c>
      <c r="BR968" t="s">
        <v>104</v>
      </c>
      <c r="BS968" t="s">
        <v>18203</v>
      </c>
      <c r="BT968" t="str">
        <f>HYPERLINK("https%3A%2F%2Fwww.webofscience.com%2Fwos%2Fwoscc%2Ffull-record%2FWOS:001103320300025","View Full Record in Web of Science")</f>
        <v>View Full Record in Web of Science</v>
      </c>
    </row>
    <row r="969" spans="1:72" x14ac:dyDescent="0.15">
      <c r="A969" t="s">
        <v>72</v>
      </c>
      <c r="B969" t="s">
        <v>18204</v>
      </c>
      <c r="C969" t="s">
        <v>74</v>
      </c>
      <c r="D969" t="s">
        <v>74</v>
      </c>
      <c r="E969" t="s">
        <v>74</v>
      </c>
      <c r="F969" t="s">
        <v>18205</v>
      </c>
      <c r="G969" t="s">
        <v>74</v>
      </c>
      <c r="H969" t="s">
        <v>74</v>
      </c>
      <c r="I969" t="s">
        <v>18206</v>
      </c>
      <c r="J969" t="s">
        <v>2809</v>
      </c>
      <c r="K969" t="s">
        <v>74</v>
      </c>
      <c r="L969" t="s">
        <v>74</v>
      </c>
      <c r="M969" t="s">
        <v>78</v>
      </c>
      <c r="N969" t="s">
        <v>79</v>
      </c>
      <c r="O969" t="s">
        <v>74</v>
      </c>
      <c r="P969" t="s">
        <v>74</v>
      </c>
      <c r="Q969" t="s">
        <v>74</v>
      </c>
      <c r="R969" t="s">
        <v>74</v>
      </c>
      <c r="S969" t="s">
        <v>74</v>
      </c>
      <c r="T969" t="s">
        <v>74</v>
      </c>
      <c r="U969" t="s">
        <v>18207</v>
      </c>
      <c r="V969" t="s">
        <v>18208</v>
      </c>
      <c r="W969" t="s">
        <v>18209</v>
      </c>
      <c r="X969" t="s">
        <v>18210</v>
      </c>
      <c r="Y969" t="s">
        <v>18211</v>
      </c>
      <c r="Z969" t="s">
        <v>18212</v>
      </c>
      <c r="AA969" t="s">
        <v>18213</v>
      </c>
      <c r="AB969" t="s">
        <v>18214</v>
      </c>
      <c r="AC969" t="s">
        <v>18215</v>
      </c>
      <c r="AD969" t="s">
        <v>18216</v>
      </c>
      <c r="AE969" t="s">
        <v>18217</v>
      </c>
      <c r="AF969" t="s">
        <v>74</v>
      </c>
      <c r="AG969">
        <v>72</v>
      </c>
      <c r="AH969">
        <v>2</v>
      </c>
      <c r="AI969">
        <v>2</v>
      </c>
      <c r="AJ969">
        <v>2</v>
      </c>
      <c r="AK969">
        <v>2</v>
      </c>
      <c r="AL969" t="s">
        <v>1838</v>
      </c>
      <c r="AM969" t="s">
        <v>1839</v>
      </c>
      <c r="AN969" t="s">
        <v>1840</v>
      </c>
      <c r="AO969" t="s">
        <v>2818</v>
      </c>
      <c r="AP969" t="s">
        <v>2819</v>
      </c>
      <c r="AQ969" t="s">
        <v>74</v>
      </c>
      <c r="AR969" t="s">
        <v>2809</v>
      </c>
      <c r="AS969" t="s">
        <v>2820</v>
      </c>
      <c r="AT969" t="s">
        <v>18200</v>
      </c>
      <c r="AU969">
        <v>2023</v>
      </c>
      <c r="AV969">
        <v>17</v>
      </c>
      <c r="AW969">
        <v>9</v>
      </c>
      <c r="AX969" t="s">
        <v>74</v>
      </c>
      <c r="AY969" t="s">
        <v>74</v>
      </c>
      <c r="AZ969" t="s">
        <v>74</v>
      </c>
      <c r="BA969" t="s">
        <v>74</v>
      </c>
      <c r="BB969">
        <v>3739</v>
      </c>
      <c r="BC969">
        <v>3759</v>
      </c>
      <c r="BD969" t="s">
        <v>74</v>
      </c>
      <c r="BE969" t="s">
        <v>18218</v>
      </c>
      <c r="BF969" t="str">
        <f>HYPERLINK("http://dx.doi.org/10.5194/tc-17-3739-2023","http://dx.doi.org/10.5194/tc-17-3739-2023")</f>
        <v>http://dx.doi.org/10.5194/tc-17-3739-2023</v>
      </c>
      <c r="BG969" t="s">
        <v>74</v>
      </c>
      <c r="BH969" t="s">
        <v>74</v>
      </c>
      <c r="BI969">
        <v>21</v>
      </c>
      <c r="BJ969" t="s">
        <v>984</v>
      </c>
      <c r="BK969" t="s">
        <v>100</v>
      </c>
      <c r="BL969" t="s">
        <v>985</v>
      </c>
      <c r="BM969" t="s">
        <v>18219</v>
      </c>
      <c r="BN969" t="s">
        <v>74</v>
      </c>
      <c r="BO969" t="s">
        <v>349</v>
      </c>
      <c r="BP969" t="s">
        <v>74</v>
      </c>
      <c r="BQ969" t="s">
        <v>74</v>
      </c>
      <c r="BR969" t="s">
        <v>104</v>
      </c>
      <c r="BS969" t="s">
        <v>18220</v>
      </c>
      <c r="BT969" t="str">
        <f>HYPERLINK("https%3A%2F%2Fwww.webofscience.com%2Fwos%2Fwoscc%2Ffull-record%2FWOS:001161775300001","View Full Record in Web of Science")</f>
        <v>View Full Record in Web of Science</v>
      </c>
    </row>
    <row r="970" spans="1:72" x14ac:dyDescent="0.15">
      <c r="A970" t="s">
        <v>72</v>
      </c>
      <c r="B970" t="s">
        <v>18221</v>
      </c>
      <c r="C970" t="s">
        <v>74</v>
      </c>
      <c r="D970" t="s">
        <v>74</v>
      </c>
      <c r="E970" t="s">
        <v>74</v>
      </c>
      <c r="F970" t="s">
        <v>18222</v>
      </c>
      <c r="G970" t="s">
        <v>74</v>
      </c>
      <c r="H970" t="s">
        <v>74</v>
      </c>
      <c r="I970" t="s">
        <v>18223</v>
      </c>
      <c r="J970" t="s">
        <v>2809</v>
      </c>
      <c r="K970" t="s">
        <v>74</v>
      </c>
      <c r="L970" t="s">
        <v>74</v>
      </c>
      <c r="M970" t="s">
        <v>78</v>
      </c>
      <c r="N970" t="s">
        <v>79</v>
      </c>
      <c r="O970" t="s">
        <v>74</v>
      </c>
      <c r="P970" t="s">
        <v>74</v>
      </c>
      <c r="Q970" t="s">
        <v>74</v>
      </c>
      <c r="R970" t="s">
        <v>74</v>
      </c>
      <c r="S970" t="s">
        <v>74</v>
      </c>
      <c r="T970" t="s">
        <v>74</v>
      </c>
      <c r="U970" t="s">
        <v>18224</v>
      </c>
      <c r="V970" t="s">
        <v>18225</v>
      </c>
      <c r="W970" t="s">
        <v>18226</v>
      </c>
      <c r="X970" t="s">
        <v>18227</v>
      </c>
      <c r="Y970" t="s">
        <v>18228</v>
      </c>
      <c r="Z970" t="s">
        <v>18229</v>
      </c>
      <c r="AA970" t="s">
        <v>18230</v>
      </c>
      <c r="AB970" t="s">
        <v>18231</v>
      </c>
      <c r="AC970" t="s">
        <v>18232</v>
      </c>
      <c r="AD970" t="s">
        <v>18233</v>
      </c>
      <c r="AE970" t="s">
        <v>18234</v>
      </c>
      <c r="AF970" t="s">
        <v>74</v>
      </c>
      <c r="AG970">
        <v>87</v>
      </c>
      <c r="AH970">
        <v>3</v>
      </c>
      <c r="AI970">
        <v>3</v>
      </c>
      <c r="AJ970">
        <v>1</v>
      </c>
      <c r="AK970">
        <v>1</v>
      </c>
      <c r="AL970" t="s">
        <v>1838</v>
      </c>
      <c r="AM970" t="s">
        <v>1839</v>
      </c>
      <c r="AN970" t="s">
        <v>1840</v>
      </c>
      <c r="AO970" t="s">
        <v>2818</v>
      </c>
      <c r="AP970" t="s">
        <v>2819</v>
      </c>
      <c r="AQ970" t="s">
        <v>74</v>
      </c>
      <c r="AR970" t="s">
        <v>2809</v>
      </c>
      <c r="AS970" t="s">
        <v>2820</v>
      </c>
      <c r="AT970" t="s">
        <v>18200</v>
      </c>
      <c r="AU970">
        <v>2023</v>
      </c>
      <c r="AV970">
        <v>17</v>
      </c>
      <c r="AW970">
        <v>9</v>
      </c>
      <c r="AX970" t="s">
        <v>74</v>
      </c>
      <c r="AY970" t="s">
        <v>74</v>
      </c>
      <c r="AZ970" t="s">
        <v>74</v>
      </c>
      <c r="BA970" t="s">
        <v>74</v>
      </c>
      <c r="BB970">
        <v>3761</v>
      </c>
      <c r="BC970">
        <v>3783</v>
      </c>
      <c r="BD970" t="s">
        <v>74</v>
      </c>
      <c r="BE970" t="s">
        <v>18235</v>
      </c>
      <c r="BF970" t="str">
        <f>HYPERLINK("http://dx.doi.org/10.5194/tc-17-3761-2023","http://dx.doi.org/10.5194/tc-17-3761-2023")</f>
        <v>http://dx.doi.org/10.5194/tc-17-3761-2023</v>
      </c>
      <c r="BG970" t="s">
        <v>74</v>
      </c>
      <c r="BH970" t="s">
        <v>74</v>
      </c>
      <c r="BI970">
        <v>23</v>
      </c>
      <c r="BJ970" t="s">
        <v>984</v>
      </c>
      <c r="BK970" t="s">
        <v>100</v>
      </c>
      <c r="BL970" t="s">
        <v>985</v>
      </c>
      <c r="BM970" t="s">
        <v>18236</v>
      </c>
      <c r="BN970" t="s">
        <v>74</v>
      </c>
      <c r="BO970" t="s">
        <v>5400</v>
      </c>
      <c r="BP970" t="s">
        <v>74</v>
      </c>
      <c r="BQ970" t="s">
        <v>74</v>
      </c>
      <c r="BR970" t="s">
        <v>104</v>
      </c>
      <c r="BS970" t="s">
        <v>18237</v>
      </c>
      <c r="BT970" t="str">
        <f>HYPERLINK("https%3A%2F%2Fwww.webofscience.com%2Fwos%2Fwoscc%2Ffull-record%2FWOS:001161828900001","View Full Record in Web of Science")</f>
        <v>View Full Record in Web of Science</v>
      </c>
    </row>
    <row r="971" spans="1:72" x14ac:dyDescent="0.15">
      <c r="A971" t="s">
        <v>72</v>
      </c>
      <c r="B971" t="s">
        <v>18238</v>
      </c>
      <c r="C971" t="s">
        <v>74</v>
      </c>
      <c r="D971" t="s">
        <v>74</v>
      </c>
      <c r="E971" t="s">
        <v>74</v>
      </c>
      <c r="F971" t="s">
        <v>18239</v>
      </c>
      <c r="G971" t="s">
        <v>74</v>
      </c>
      <c r="H971" t="s">
        <v>74</v>
      </c>
      <c r="I971" t="s">
        <v>18240</v>
      </c>
      <c r="J971" t="s">
        <v>4258</v>
      </c>
      <c r="K971" t="s">
        <v>74</v>
      </c>
      <c r="L971" t="s">
        <v>74</v>
      </c>
      <c r="M971" t="s">
        <v>78</v>
      </c>
      <c r="N971" t="s">
        <v>79</v>
      </c>
      <c r="O971" t="s">
        <v>74</v>
      </c>
      <c r="P971" t="s">
        <v>74</v>
      </c>
      <c r="Q971" t="s">
        <v>74</v>
      </c>
      <c r="R971" t="s">
        <v>74</v>
      </c>
      <c r="S971" t="s">
        <v>74</v>
      </c>
      <c r="T971" t="s">
        <v>18241</v>
      </c>
      <c r="U971" t="s">
        <v>18242</v>
      </c>
      <c r="V971" t="s">
        <v>18243</v>
      </c>
      <c r="W971" t="s">
        <v>18244</v>
      </c>
      <c r="X971" t="s">
        <v>18245</v>
      </c>
      <c r="Y971" t="s">
        <v>18246</v>
      </c>
      <c r="Z971" t="s">
        <v>18247</v>
      </c>
      <c r="AA971" t="s">
        <v>378</v>
      </c>
      <c r="AB971" t="s">
        <v>74</v>
      </c>
      <c r="AC971" t="s">
        <v>18248</v>
      </c>
      <c r="AD971" t="s">
        <v>18249</v>
      </c>
      <c r="AE971" t="s">
        <v>18250</v>
      </c>
      <c r="AF971" t="s">
        <v>74</v>
      </c>
      <c r="AG971">
        <v>52</v>
      </c>
      <c r="AH971">
        <v>0</v>
      </c>
      <c r="AI971">
        <v>0</v>
      </c>
      <c r="AJ971">
        <v>12</v>
      </c>
      <c r="AK971">
        <v>12</v>
      </c>
      <c r="AL971" t="s">
        <v>4271</v>
      </c>
      <c r="AM971" t="s">
        <v>1076</v>
      </c>
      <c r="AN971" t="s">
        <v>4272</v>
      </c>
      <c r="AO971" t="s">
        <v>4273</v>
      </c>
      <c r="AP971" t="s">
        <v>4274</v>
      </c>
      <c r="AQ971" t="s">
        <v>74</v>
      </c>
      <c r="AR971" t="s">
        <v>4275</v>
      </c>
      <c r="AS971" t="s">
        <v>4276</v>
      </c>
      <c r="AT971" t="s">
        <v>5341</v>
      </c>
      <c r="AU971">
        <v>2023</v>
      </c>
      <c r="AV971">
        <v>298</v>
      </c>
      <c r="AW971" t="s">
        <v>74</v>
      </c>
      <c r="AX971" t="s">
        <v>74</v>
      </c>
      <c r="AY971" t="s">
        <v>74</v>
      </c>
      <c r="AZ971" t="s">
        <v>74</v>
      </c>
      <c r="BA971" t="s">
        <v>74</v>
      </c>
      <c r="BB971" t="s">
        <v>74</v>
      </c>
      <c r="BC971" t="s">
        <v>74</v>
      </c>
      <c r="BD971">
        <v>113730</v>
      </c>
      <c r="BE971" t="s">
        <v>18251</v>
      </c>
      <c r="BF971" t="str">
        <f>HYPERLINK("http://dx.doi.org/10.1016/j.rse.2023.113730","http://dx.doi.org/10.1016/j.rse.2023.113730")</f>
        <v>http://dx.doi.org/10.1016/j.rse.2023.113730</v>
      </c>
      <c r="BG971" t="s">
        <v>74</v>
      </c>
      <c r="BH971" t="s">
        <v>15880</v>
      </c>
      <c r="BI971">
        <v>13</v>
      </c>
      <c r="BJ971" t="s">
        <v>4278</v>
      </c>
      <c r="BK971" t="s">
        <v>100</v>
      </c>
      <c r="BL971" t="s">
        <v>4279</v>
      </c>
      <c r="BM971" t="s">
        <v>18252</v>
      </c>
      <c r="BN971" t="s">
        <v>74</v>
      </c>
      <c r="BO971" t="s">
        <v>74</v>
      </c>
      <c r="BP971" t="s">
        <v>74</v>
      </c>
      <c r="BQ971" t="s">
        <v>74</v>
      </c>
      <c r="BR971" t="s">
        <v>104</v>
      </c>
      <c r="BS971" t="s">
        <v>18253</v>
      </c>
      <c r="BT971" t="str">
        <f>HYPERLINK("https%3A%2F%2Fwww.webofscience.com%2Fwos%2Fwoscc%2Ffull-record%2FWOS:001106693400001","View Full Record in Web of Science")</f>
        <v>View Full Record in Web of Science</v>
      </c>
    </row>
    <row r="972" spans="1:72" x14ac:dyDescent="0.15">
      <c r="A972" t="s">
        <v>72</v>
      </c>
      <c r="B972" t="s">
        <v>18254</v>
      </c>
      <c r="C972" t="s">
        <v>74</v>
      </c>
      <c r="D972" t="s">
        <v>74</v>
      </c>
      <c r="E972" t="s">
        <v>74</v>
      </c>
      <c r="F972" t="s">
        <v>18255</v>
      </c>
      <c r="G972" t="s">
        <v>74</v>
      </c>
      <c r="H972" t="s">
        <v>74</v>
      </c>
      <c r="I972" t="s">
        <v>18256</v>
      </c>
      <c r="J972" t="s">
        <v>1799</v>
      </c>
      <c r="K972" t="s">
        <v>74</v>
      </c>
      <c r="L972" t="s">
        <v>74</v>
      </c>
      <c r="M972" t="s">
        <v>78</v>
      </c>
      <c r="N972" t="s">
        <v>79</v>
      </c>
      <c r="O972" t="s">
        <v>74</v>
      </c>
      <c r="P972" t="s">
        <v>74</v>
      </c>
      <c r="Q972" t="s">
        <v>74</v>
      </c>
      <c r="R972" t="s">
        <v>74</v>
      </c>
      <c r="S972" t="s">
        <v>74</v>
      </c>
      <c r="T972" t="s">
        <v>18257</v>
      </c>
      <c r="U972" t="s">
        <v>18258</v>
      </c>
      <c r="V972" t="s">
        <v>18259</v>
      </c>
      <c r="W972" t="s">
        <v>18260</v>
      </c>
      <c r="X972" t="s">
        <v>18261</v>
      </c>
      <c r="Y972" t="s">
        <v>18262</v>
      </c>
      <c r="Z972" t="s">
        <v>18263</v>
      </c>
      <c r="AA972" t="s">
        <v>18264</v>
      </c>
      <c r="AB972" t="s">
        <v>18265</v>
      </c>
      <c r="AC972" t="s">
        <v>18266</v>
      </c>
      <c r="AD972" t="s">
        <v>18267</v>
      </c>
      <c r="AE972" t="s">
        <v>18268</v>
      </c>
      <c r="AF972" t="s">
        <v>74</v>
      </c>
      <c r="AG972">
        <v>120</v>
      </c>
      <c r="AH972">
        <v>2</v>
      </c>
      <c r="AI972">
        <v>2</v>
      </c>
      <c r="AJ972">
        <v>4</v>
      </c>
      <c r="AK972">
        <v>4</v>
      </c>
      <c r="AL972" t="s">
        <v>1810</v>
      </c>
      <c r="AM972" t="s">
        <v>1811</v>
      </c>
      <c r="AN972" t="s">
        <v>1812</v>
      </c>
      <c r="AO972" t="s">
        <v>1813</v>
      </c>
      <c r="AP972" t="s">
        <v>1814</v>
      </c>
      <c r="AQ972" t="s">
        <v>74</v>
      </c>
      <c r="AR972" t="s">
        <v>1815</v>
      </c>
      <c r="AS972" t="s">
        <v>1816</v>
      </c>
      <c r="AT972" t="s">
        <v>18200</v>
      </c>
      <c r="AU972">
        <v>2023</v>
      </c>
      <c r="AV972">
        <v>718</v>
      </c>
      <c r="AW972" t="s">
        <v>74</v>
      </c>
      <c r="AX972" t="s">
        <v>74</v>
      </c>
      <c r="AY972" t="s">
        <v>74</v>
      </c>
      <c r="AZ972" t="s">
        <v>74</v>
      </c>
      <c r="BA972" t="s">
        <v>74</v>
      </c>
      <c r="BB972">
        <v>1</v>
      </c>
      <c r="BC972">
        <v>22</v>
      </c>
      <c r="BD972" t="s">
        <v>74</v>
      </c>
      <c r="BE972" t="s">
        <v>18269</v>
      </c>
      <c r="BF972" t="str">
        <f>HYPERLINK("http://dx.doi.org/10.3354/meps14388","http://dx.doi.org/10.3354/meps14388")</f>
        <v>http://dx.doi.org/10.3354/meps14388</v>
      </c>
      <c r="BG972" t="s">
        <v>74</v>
      </c>
      <c r="BH972" t="s">
        <v>74</v>
      </c>
      <c r="BI972">
        <v>22</v>
      </c>
      <c r="BJ972" t="s">
        <v>1819</v>
      </c>
      <c r="BK972" t="s">
        <v>100</v>
      </c>
      <c r="BL972" t="s">
        <v>1820</v>
      </c>
      <c r="BM972" t="s">
        <v>18270</v>
      </c>
      <c r="BN972" t="s">
        <v>74</v>
      </c>
      <c r="BO972" t="s">
        <v>103</v>
      </c>
      <c r="BP972" t="s">
        <v>74</v>
      </c>
      <c r="BQ972" t="s">
        <v>74</v>
      </c>
      <c r="BR972" t="s">
        <v>104</v>
      </c>
      <c r="BS972" t="s">
        <v>18271</v>
      </c>
      <c r="BT972" t="str">
        <f>HYPERLINK("https%3A%2F%2Fwww.webofscience.com%2Fwos%2Fwoscc%2Ffull-record%2FWOS:001079828500001","View Full Record in Web of Science")</f>
        <v>View Full Record in Web of Science</v>
      </c>
    </row>
    <row r="973" spans="1:72" x14ac:dyDescent="0.15">
      <c r="A973" t="s">
        <v>72</v>
      </c>
      <c r="B973" t="s">
        <v>18272</v>
      </c>
      <c r="C973" t="s">
        <v>74</v>
      </c>
      <c r="D973" t="s">
        <v>74</v>
      </c>
      <c r="E973" t="s">
        <v>74</v>
      </c>
      <c r="F973" t="s">
        <v>18273</v>
      </c>
      <c r="G973" t="s">
        <v>74</v>
      </c>
      <c r="H973" t="s">
        <v>74</v>
      </c>
      <c r="I973" t="s">
        <v>18274</v>
      </c>
      <c r="J973" t="s">
        <v>7601</v>
      </c>
      <c r="K973" t="s">
        <v>74</v>
      </c>
      <c r="L973" t="s">
        <v>74</v>
      </c>
      <c r="M973" t="s">
        <v>78</v>
      </c>
      <c r="N973" t="s">
        <v>79</v>
      </c>
      <c r="O973" t="s">
        <v>74</v>
      </c>
      <c r="P973" t="s">
        <v>74</v>
      </c>
      <c r="Q973" t="s">
        <v>74</v>
      </c>
      <c r="R973" t="s">
        <v>74</v>
      </c>
      <c r="S973" t="s">
        <v>74</v>
      </c>
      <c r="T973" t="s">
        <v>18275</v>
      </c>
      <c r="U973" t="s">
        <v>18276</v>
      </c>
      <c r="V973" t="s">
        <v>18277</v>
      </c>
      <c r="W973" t="s">
        <v>18278</v>
      </c>
      <c r="X973" t="s">
        <v>18279</v>
      </c>
      <c r="Y973" t="s">
        <v>18280</v>
      </c>
      <c r="Z973" t="s">
        <v>18281</v>
      </c>
      <c r="AA973" t="s">
        <v>74</v>
      </c>
      <c r="AB973" t="s">
        <v>74</v>
      </c>
      <c r="AC973" t="s">
        <v>18282</v>
      </c>
      <c r="AD973" t="s">
        <v>18283</v>
      </c>
      <c r="AE973" t="s">
        <v>18284</v>
      </c>
      <c r="AF973" t="s">
        <v>74</v>
      </c>
      <c r="AG973">
        <v>69</v>
      </c>
      <c r="AH973">
        <v>0</v>
      </c>
      <c r="AI973">
        <v>0</v>
      </c>
      <c r="AJ973">
        <v>11</v>
      </c>
      <c r="AK973">
        <v>11</v>
      </c>
      <c r="AL973" t="s">
        <v>947</v>
      </c>
      <c r="AM973" t="s">
        <v>948</v>
      </c>
      <c r="AN973" t="s">
        <v>949</v>
      </c>
      <c r="AO973" t="s">
        <v>7613</v>
      </c>
      <c r="AP973" t="s">
        <v>74</v>
      </c>
      <c r="AQ973" t="s">
        <v>74</v>
      </c>
      <c r="AR973" t="s">
        <v>7614</v>
      </c>
      <c r="AS973" t="s">
        <v>7615</v>
      </c>
      <c r="AT973" t="s">
        <v>1947</v>
      </c>
      <c r="AU973">
        <v>2023</v>
      </c>
      <c r="AV973">
        <v>42</v>
      </c>
      <c r="AW973" t="s">
        <v>74</v>
      </c>
      <c r="AX973" t="s">
        <v>74</v>
      </c>
      <c r="AY973" t="s">
        <v>74</v>
      </c>
      <c r="AZ973" t="s">
        <v>74</v>
      </c>
      <c r="BA973" t="s">
        <v>74</v>
      </c>
      <c r="BB973" t="s">
        <v>74</v>
      </c>
      <c r="BC973" t="s">
        <v>74</v>
      </c>
      <c r="BD973">
        <v>100607</v>
      </c>
      <c r="BE973" t="s">
        <v>18285</v>
      </c>
      <c r="BF973" t="str">
        <f>HYPERLINK("http://dx.doi.org/10.1016/j.wace.2023.100607","http://dx.doi.org/10.1016/j.wace.2023.100607")</f>
        <v>http://dx.doi.org/10.1016/j.wace.2023.100607</v>
      </c>
      <c r="BG973" t="s">
        <v>74</v>
      </c>
      <c r="BH973" t="s">
        <v>15880</v>
      </c>
      <c r="BI973">
        <v>9</v>
      </c>
      <c r="BJ973" t="s">
        <v>1522</v>
      </c>
      <c r="BK973" t="s">
        <v>100</v>
      </c>
      <c r="BL973" t="s">
        <v>1522</v>
      </c>
      <c r="BM973" t="s">
        <v>18286</v>
      </c>
      <c r="BN973" t="s">
        <v>74</v>
      </c>
      <c r="BO973" t="s">
        <v>131</v>
      </c>
      <c r="BP973" t="s">
        <v>74</v>
      </c>
      <c r="BQ973" t="s">
        <v>74</v>
      </c>
      <c r="BR973" t="s">
        <v>104</v>
      </c>
      <c r="BS973" t="s">
        <v>18287</v>
      </c>
      <c r="BT973" t="str">
        <f>HYPERLINK("https%3A%2F%2Fwww.webofscience.com%2Fwos%2Fwoscc%2Ffull-record%2FWOS:001075018200001","View Full Record in Web of Science")</f>
        <v>View Full Record in Web of Science</v>
      </c>
    </row>
    <row r="974" spans="1:72" x14ac:dyDescent="0.15">
      <c r="A974" t="s">
        <v>72</v>
      </c>
      <c r="B974" t="s">
        <v>18288</v>
      </c>
      <c r="C974" t="s">
        <v>74</v>
      </c>
      <c r="D974" t="s">
        <v>74</v>
      </c>
      <c r="E974" t="s">
        <v>74</v>
      </c>
      <c r="F974" t="s">
        <v>18289</v>
      </c>
      <c r="G974" t="s">
        <v>74</v>
      </c>
      <c r="H974" t="s">
        <v>74</v>
      </c>
      <c r="I974" t="s">
        <v>18290</v>
      </c>
      <c r="J974" t="s">
        <v>18291</v>
      </c>
      <c r="K974" t="s">
        <v>74</v>
      </c>
      <c r="L974" t="s">
        <v>74</v>
      </c>
      <c r="M974" t="s">
        <v>78</v>
      </c>
      <c r="N974" t="s">
        <v>79</v>
      </c>
      <c r="O974" t="s">
        <v>74</v>
      </c>
      <c r="P974" t="s">
        <v>74</v>
      </c>
      <c r="Q974" t="s">
        <v>74</v>
      </c>
      <c r="R974" t="s">
        <v>74</v>
      </c>
      <c r="S974" t="s">
        <v>74</v>
      </c>
      <c r="T974" t="s">
        <v>18292</v>
      </c>
      <c r="U974" t="s">
        <v>18293</v>
      </c>
      <c r="V974" t="s">
        <v>18294</v>
      </c>
      <c r="W974" t="s">
        <v>18295</v>
      </c>
      <c r="X974" t="s">
        <v>18296</v>
      </c>
      <c r="Y974" t="s">
        <v>18297</v>
      </c>
      <c r="Z974" t="s">
        <v>18298</v>
      </c>
      <c r="AA974" t="s">
        <v>18299</v>
      </c>
      <c r="AB974" t="s">
        <v>18300</v>
      </c>
      <c r="AC974" t="s">
        <v>18301</v>
      </c>
      <c r="AD974" t="s">
        <v>18302</v>
      </c>
      <c r="AE974" t="s">
        <v>18303</v>
      </c>
      <c r="AF974" t="s">
        <v>74</v>
      </c>
      <c r="AG974">
        <v>45</v>
      </c>
      <c r="AH974">
        <v>0</v>
      </c>
      <c r="AI974">
        <v>0</v>
      </c>
      <c r="AJ974">
        <v>2</v>
      </c>
      <c r="AK974">
        <v>2</v>
      </c>
      <c r="AL974" t="s">
        <v>2884</v>
      </c>
      <c r="AM974" t="s">
        <v>2294</v>
      </c>
      <c r="AN974" t="s">
        <v>2885</v>
      </c>
      <c r="AO974" t="s">
        <v>18304</v>
      </c>
      <c r="AP974" t="s">
        <v>18305</v>
      </c>
      <c r="AQ974" t="s">
        <v>74</v>
      </c>
      <c r="AR974" t="s">
        <v>18306</v>
      </c>
      <c r="AS974" t="s">
        <v>18307</v>
      </c>
      <c r="AT974" t="s">
        <v>4525</v>
      </c>
      <c r="AU974">
        <v>2023</v>
      </c>
      <c r="AV974">
        <v>91</v>
      </c>
      <c r="AW974" t="s">
        <v>74</v>
      </c>
      <c r="AX974" t="s">
        <v>74</v>
      </c>
      <c r="AY974" t="s">
        <v>74</v>
      </c>
      <c r="AZ974" t="s">
        <v>74</v>
      </c>
      <c r="BA974" t="s">
        <v>74</v>
      </c>
      <c r="BB974" t="s">
        <v>74</v>
      </c>
      <c r="BC974" t="s">
        <v>74</v>
      </c>
      <c r="BD974">
        <v>102099</v>
      </c>
      <c r="BE974" t="s">
        <v>18308</v>
      </c>
      <c r="BF974" t="str">
        <f>HYPERLINK("http://dx.doi.org/10.1016/j.jenvp.2023.102099","http://dx.doi.org/10.1016/j.jenvp.2023.102099")</f>
        <v>http://dx.doi.org/10.1016/j.jenvp.2023.102099</v>
      </c>
      <c r="BG974" t="s">
        <v>74</v>
      </c>
      <c r="BH974" t="s">
        <v>15880</v>
      </c>
      <c r="BI974">
        <v>9</v>
      </c>
      <c r="BJ974" t="s">
        <v>18309</v>
      </c>
      <c r="BK974" t="s">
        <v>1740</v>
      </c>
      <c r="BL974" t="s">
        <v>18310</v>
      </c>
      <c r="BM974" t="s">
        <v>18311</v>
      </c>
      <c r="BN974" t="s">
        <v>74</v>
      </c>
      <c r="BO974" t="s">
        <v>74</v>
      </c>
      <c r="BP974" t="s">
        <v>74</v>
      </c>
      <c r="BQ974" t="s">
        <v>74</v>
      </c>
      <c r="BR974" t="s">
        <v>104</v>
      </c>
      <c r="BS974" t="s">
        <v>18312</v>
      </c>
      <c r="BT974" t="str">
        <f>HYPERLINK("https%3A%2F%2Fwww.webofscience.com%2Fwos%2Fwoscc%2Ffull-record%2FWOS:001075541300001","View Full Record in Web of Science")</f>
        <v>View Full Record in Web of Science</v>
      </c>
    </row>
    <row r="975" spans="1:72" x14ac:dyDescent="0.15">
      <c r="A975" t="s">
        <v>72</v>
      </c>
      <c r="B975" t="s">
        <v>18313</v>
      </c>
      <c r="C975" t="s">
        <v>74</v>
      </c>
      <c r="D975" t="s">
        <v>74</v>
      </c>
      <c r="E975" t="s">
        <v>74</v>
      </c>
      <c r="F975" t="s">
        <v>18314</v>
      </c>
      <c r="G975" t="s">
        <v>74</v>
      </c>
      <c r="H975" t="s">
        <v>74</v>
      </c>
      <c r="I975" t="s">
        <v>18315</v>
      </c>
      <c r="J975" t="s">
        <v>9674</v>
      </c>
      <c r="K975" t="s">
        <v>74</v>
      </c>
      <c r="L975" t="s">
        <v>74</v>
      </c>
      <c r="M975" t="s">
        <v>78</v>
      </c>
      <c r="N975" t="s">
        <v>79</v>
      </c>
      <c r="O975" t="s">
        <v>74</v>
      </c>
      <c r="P975" t="s">
        <v>74</v>
      </c>
      <c r="Q975" t="s">
        <v>74</v>
      </c>
      <c r="R975" t="s">
        <v>74</v>
      </c>
      <c r="S975" t="s">
        <v>74</v>
      </c>
      <c r="T975" t="s">
        <v>18316</v>
      </c>
      <c r="U975" t="s">
        <v>18317</v>
      </c>
      <c r="V975" t="s">
        <v>18318</v>
      </c>
      <c r="W975" t="s">
        <v>18319</v>
      </c>
      <c r="X975" t="s">
        <v>18320</v>
      </c>
      <c r="Y975" t="s">
        <v>18321</v>
      </c>
      <c r="Z975" t="s">
        <v>18322</v>
      </c>
      <c r="AA975" t="s">
        <v>74</v>
      </c>
      <c r="AB975" t="s">
        <v>18323</v>
      </c>
      <c r="AC975" t="s">
        <v>18324</v>
      </c>
      <c r="AD975" t="s">
        <v>18325</v>
      </c>
      <c r="AE975" t="s">
        <v>18326</v>
      </c>
      <c r="AF975" t="s">
        <v>74</v>
      </c>
      <c r="AG975">
        <v>31</v>
      </c>
      <c r="AH975">
        <v>0</v>
      </c>
      <c r="AI975">
        <v>0</v>
      </c>
      <c r="AJ975">
        <v>6</v>
      </c>
      <c r="AK975">
        <v>6</v>
      </c>
      <c r="AL975" t="s">
        <v>1101</v>
      </c>
      <c r="AM975" t="s">
        <v>1102</v>
      </c>
      <c r="AN975" t="s">
        <v>1103</v>
      </c>
      <c r="AO975" t="s">
        <v>9687</v>
      </c>
      <c r="AP975" t="s">
        <v>9688</v>
      </c>
      <c r="AQ975" t="s">
        <v>74</v>
      </c>
      <c r="AR975" t="s">
        <v>9689</v>
      </c>
      <c r="AS975" t="s">
        <v>9690</v>
      </c>
      <c r="AT975" t="s">
        <v>3263</v>
      </c>
      <c r="AU975">
        <v>2023</v>
      </c>
      <c r="AV975">
        <v>43</v>
      </c>
      <c r="AW975">
        <v>15</v>
      </c>
      <c r="AX975" t="s">
        <v>74</v>
      </c>
      <c r="AY975" t="s">
        <v>74</v>
      </c>
      <c r="AZ975" t="s">
        <v>74</v>
      </c>
      <c r="BA975" t="s">
        <v>74</v>
      </c>
      <c r="BB975">
        <v>6939</v>
      </c>
      <c r="BC975">
        <v>6945</v>
      </c>
      <c r="BD975" t="s">
        <v>74</v>
      </c>
      <c r="BE975" t="s">
        <v>18327</v>
      </c>
      <c r="BF975" t="str">
        <f>HYPERLINK("http://dx.doi.org/10.1002/joc.8243","http://dx.doi.org/10.1002/joc.8243")</f>
        <v>http://dx.doi.org/10.1002/joc.8243</v>
      </c>
      <c r="BG975" t="s">
        <v>74</v>
      </c>
      <c r="BH975" t="s">
        <v>15880</v>
      </c>
      <c r="BI975">
        <v>7</v>
      </c>
      <c r="BJ975" t="s">
        <v>1522</v>
      </c>
      <c r="BK975" t="s">
        <v>100</v>
      </c>
      <c r="BL975" t="s">
        <v>1522</v>
      </c>
      <c r="BM975" t="s">
        <v>18328</v>
      </c>
      <c r="BN975" t="s">
        <v>74</v>
      </c>
      <c r="BO975" t="s">
        <v>74</v>
      </c>
      <c r="BP975" t="s">
        <v>74</v>
      </c>
      <c r="BQ975" t="s">
        <v>74</v>
      </c>
      <c r="BR975" t="s">
        <v>104</v>
      </c>
      <c r="BS975" t="s">
        <v>18329</v>
      </c>
      <c r="BT975" t="str">
        <f>HYPERLINK("https%3A%2F%2Fwww.webofscience.com%2Fwos%2Fwoscc%2Ffull-record%2FWOS:001063570700001","View Full Record in Web of Science")</f>
        <v>View Full Record in Web of Science</v>
      </c>
    </row>
    <row r="976" spans="1:72" x14ac:dyDescent="0.15">
      <c r="A976" t="s">
        <v>72</v>
      </c>
      <c r="B976" t="s">
        <v>18330</v>
      </c>
      <c r="C976" t="s">
        <v>74</v>
      </c>
      <c r="D976" t="s">
        <v>74</v>
      </c>
      <c r="E976" t="s">
        <v>74</v>
      </c>
      <c r="F976" t="s">
        <v>18331</v>
      </c>
      <c r="G976" t="s">
        <v>74</v>
      </c>
      <c r="H976" t="s">
        <v>74</v>
      </c>
      <c r="I976" t="s">
        <v>18332</v>
      </c>
      <c r="J976" t="s">
        <v>4933</v>
      </c>
      <c r="K976" t="s">
        <v>74</v>
      </c>
      <c r="L976" t="s">
        <v>74</v>
      </c>
      <c r="M976" t="s">
        <v>78</v>
      </c>
      <c r="N976" t="s">
        <v>1547</v>
      </c>
      <c r="O976" t="s">
        <v>74</v>
      </c>
      <c r="P976" t="s">
        <v>74</v>
      </c>
      <c r="Q976" t="s">
        <v>74</v>
      </c>
      <c r="R976" t="s">
        <v>74</v>
      </c>
      <c r="S976" t="s">
        <v>74</v>
      </c>
      <c r="T976" t="s">
        <v>74</v>
      </c>
      <c r="U976" t="s">
        <v>18333</v>
      </c>
      <c r="V976" t="s">
        <v>18334</v>
      </c>
      <c r="W976" t="s">
        <v>18335</v>
      </c>
      <c r="X976" t="s">
        <v>18336</v>
      </c>
      <c r="Y976" t="s">
        <v>18337</v>
      </c>
      <c r="Z976" t="s">
        <v>18338</v>
      </c>
      <c r="AA976" t="s">
        <v>18339</v>
      </c>
      <c r="AB976" t="s">
        <v>18340</v>
      </c>
      <c r="AC976" t="s">
        <v>18341</v>
      </c>
      <c r="AD976" t="s">
        <v>18342</v>
      </c>
      <c r="AE976" t="s">
        <v>18343</v>
      </c>
      <c r="AF976" t="s">
        <v>74</v>
      </c>
      <c r="AG976">
        <v>77</v>
      </c>
      <c r="AH976">
        <v>1</v>
      </c>
      <c r="AI976">
        <v>1</v>
      </c>
      <c r="AJ976">
        <v>19</v>
      </c>
      <c r="AK976">
        <v>31</v>
      </c>
      <c r="AL976" t="s">
        <v>3057</v>
      </c>
      <c r="AM976" t="s">
        <v>3058</v>
      </c>
      <c r="AN976" t="s">
        <v>3059</v>
      </c>
      <c r="AO976" t="s">
        <v>4945</v>
      </c>
      <c r="AP976" t="s">
        <v>4946</v>
      </c>
      <c r="AQ976" t="s">
        <v>74</v>
      </c>
      <c r="AR976" t="s">
        <v>4947</v>
      </c>
      <c r="AS976" t="s">
        <v>4948</v>
      </c>
      <c r="AT976" t="s">
        <v>18344</v>
      </c>
      <c r="AU976">
        <v>2023</v>
      </c>
      <c r="AV976" t="s">
        <v>74</v>
      </c>
      <c r="AW976" t="s">
        <v>74</v>
      </c>
      <c r="AX976" t="s">
        <v>74</v>
      </c>
      <c r="AY976" t="s">
        <v>74</v>
      </c>
      <c r="AZ976" t="s">
        <v>74</v>
      </c>
      <c r="BA976" t="s">
        <v>74</v>
      </c>
      <c r="BB976" t="s">
        <v>74</v>
      </c>
      <c r="BC976" t="s">
        <v>74</v>
      </c>
      <c r="BD976" t="s">
        <v>74</v>
      </c>
      <c r="BE976" t="s">
        <v>18345</v>
      </c>
      <c r="BF976" t="str">
        <f>HYPERLINK("http://dx.doi.org/10.1038/s41558-023-01791-5","http://dx.doi.org/10.1038/s41558-023-01791-5")</f>
        <v>http://dx.doi.org/10.1038/s41558-023-01791-5</v>
      </c>
      <c r="BG976" t="s">
        <v>74</v>
      </c>
      <c r="BH976" t="s">
        <v>15880</v>
      </c>
      <c r="BI976">
        <v>18</v>
      </c>
      <c r="BJ976" t="s">
        <v>4951</v>
      </c>
      <c r="BK976" t="s">
        <v>456</v>
      </c>
      <c r="BL976" t="s">
        <v>2383</v>
      </c>
      <c r="BM976" t="s">
        <v>18346</v>
      </c>
      <c r="BN976" t="s">
        <v>74</v>
      </c>
      <c r="BO976" t="s">
        <v>322</v>
      </c>
      <c r="BP976" t="s">
        <v>74</v>
      </c>
      <c r="BQ976" t="s">
        <v>74</v>
      </c>
      <c r="BR976" t="s">
        <v>104</v>
      </c>
      <c r="BS976" t="s">
        <v>18347</v>
      </c>
      <c r="BT976" t="str">
        <f>HYPERLINK("https%3A%2F%2Fwww.webofscience.com%2Fwos%2Fwoscc%2Ffull-record%2FWOS:001060716200002","View Full Record in Web of Science")</f>
        <v>View Full Record in Web of Science</v>
      </c>
    </row>
    <row r="977" spans="1:72" x14ac:dyDescent="0.15">
      <c r="A977" t="s">
        <v>72</v>
      </c>
      <c r="B977" t="s">
        <v>18348</v>
      </c>
      <c r="C977" t="s">
        <v>74</v>
      </c>
      <c r="D977" t="s">
        <v>74</v>
      </c>
      <c r="E977" t="s">
        <v>74</v>
      </c>
      <c r="F977" t="s">
        <v>18349</v>
      </c>
      <c r="G977" t="s">
        <v>74</v>
      </c>
      <c r="H977" t="s">
        <v>74</v>
      </c>
      <c r="I977" t="s">
        <v>18350</v>
      </c>
      <c r="J977" t="s">
        <v>2412</v>
      </c>
      <c r="K977" t="s">
        <v>74</v>
      </c>
      <c r="L977" t="s">
        <v>74</v>
      </c>
      <c r="M977" t="s">
        <v>78</v>
      </c>
      <c r="N977" t="s">
        <v>79</v>
      </c>
      <c r="O977" t="s">
        <v>74</v>
      </c>
      <c r="P977" t="s">
        <v>74</v>
      </c>
      <c r="Q977" t="s">
        <v>74</v>
      </c>
      <c r="R977" t="s">
        <v>74</v>
      </c>
      <c r="S977" t="s">
        <v>74</v>
      </c>
      <c r="T977" t="s">
        <v>18351</v>
      </c>
      <c r="U977" t="s">
        <v>18352</v>
      </c>
      <c r="V977" t="s">
        <v>18353</v>
      </c>
      <c r="W977" t="s">
        <v>18354</v>
      </c>
      <c r="X977" t="s">
        <v>18355</v>
      </c>
      <c r="Y977" t="s">
        <v>18356</v>
      </c>
      <c r="Z977" t="s">
        <v>18357</v>
      </c>
      <c r="AA977" t="s">
        <v>18358</v>
      </c>
      <c r="AB977" t="s">
        <v>18359</v>
      </c>
      <c r="AC977" t="s">
        <v>18360</v>
      </c>
      <c r="AD977" t="s">
        <v>18361</v>
      </c>
      <c r="AE977" t="s">
        <v>18362</v>
      </c>
      <c r="AF977" t="s">
        <v>74</v>
      </c>
      <c r="AG977">
        <v>118</v>
      </c>
      <c r="AH977">
        <v>0</v>
      </c>
      <c r="AI977">
        <v>0</v>
      </c>
      <c r="AJ977">
        <v>2</v>
      </c>
      <c r="AK977">
        <v>2</v>
      </c>
      <c r="AL977" t="s">
        <v>947</v>
      </c>
      <c r="AM977" t="s">
        <v>948</v>
      </c>
      <c r="AN977" t="s">
        <v>949</v>
      </c>
      <c r="AO977" t="s">
        <v>2424</v>
      </c>
      <c r="AP977" t="s">
        <v>2425</v>
      </c>
      <c r="AQ977" t="s">
        <v>74</v>
      </c>
      <c r="AR977" t="s">
        <v>2426</v>
      </c>
      <c r="AS977" t="s">
        <v>2427</v>
      </c>
      <c r="AT977" t="s">
        <v>10415</v>
      </c>
      <c r="AU977">
        <v>2023</v>
      </c>
      <c r="AV977">
        <v>229</v>
      </c>
      <c r="AW977" t="s">
        <v>74</v>
      </c>
      <c r="AX977" t="s">
        <v>74</v>
      </c>
      <c r="AY977" t="s">
        <v>74</v>
      </c>
      <c r="AZ977" t="s">
        <v>74</v>
      </c>
      <c r="BA977" t="s">
        <v>74</v>
      </c>
      <c r="BB977" t="s">
        <v>74</v>
      </c>
      <c r="BC977" t="s">
        <v>74</v>
      </c>
      <c r="BD977">
        <v>104223</v>
      </c>
      <c r="BE977" t="s">
        <v>18363</v>
      </c>
      <c r="BF977" t="str">
        <f>HYPERLINK("http://dx.doi.org/10.1016/j.gloplacha.2023.104223","http://dx.doi.org/10.1016/j.gloplacha.2023.104223")</f>
        <v>http://dx.doi.org/10.1016/j.gloplacha.2023.104223</v>
      </c>
      <c r="BG977" t="s">
        <v>74</v>
      </c>
      <c r="BH977" t="s">
        <v>15880</v>
      </c>
      <c r="BI977">
        <v>12</v>
      </c>
      <c r="BJ977" t="s">
        <v>984</v>
      </c>
      <c r="BK977" t="s">
        <v>100</v>
      </c>
      <c r="BL977" t="s">
        <v>985</v>
      </c>
      <c r="BM977" t="s">
        <v>18364</v>
      </c>
      <c r="BN977" t="s">
        <v>74</v>
      </c>
      <c r="BO977" t="s">
        <v>74</v>
      </c>
      <c r="BP977" t="s">
        <v>74</v>
      </c>
      <c r="BQ977" t="s">
        <v>74</v>
      </c>
      <c r="BR977" t="s">
        <v>104</v>
      </c>
      <c r="BS977" t="s">
        <v>18365</v>
      </c>
      <c r="BT977" t="str">
        <f>HYPERLINK("https%3A%2F%2Fwww.webofscience.com%2Fwos%2Fwoscc%2Ffull-record%2FWOS:001170560000001","View Full Record in Web of Science")</f>
        <v>View Full Record in Web of Science</v>
      </c>
    </row>
    <row r="978" spans="1:72" x14ac:dyDescent="0.15">
      <c r="A978" t="s">
        <v>72</v>
      </c>
      <c r="B978" t="s">
        <v>18366</v>
      </c>
      <c r="C978" t="s">
        <v>74</v>
      </c>
      <c r="D978" t="s">
        <v>74</v>
      </c>
      <c r="E978" t="s">
        <v>74</v>
      </c>
      <c r="F978" t="s">
        <v>18367</v>
      </c>
      <c r="G978" t="s">
        <v>74</v>
      </c>
      <c r="H978" t="s">
        <v>74</v>
      </c>
      <c r="I978" t="s">
        <v>18368</v>
      </c>
      <c r="J978" t="s">
        <v>2809</v>
      </c>
      <c r="K978" t="s">
        <v>74</v>
      </c>
      <c r="L978" t="s">
        <v>74</v>
      </c>
      <c r="M978" t="s">
        <v>78</v>
      </c>
      <c r="N978" t="s">
        <v>79</v>
      </c>
      <c r="O978" t="s">
        <v>74</v>
      </c>
      <c r="P978" t="s">
        <v>74</v>
      </c>
      <c r="Q978" t="s">
        <v>74</v>
      </c>
      <c r="R978" t="s">
        <v>74</v>
      </c>
      <c r="S978" t="s">
        <v>74</v>
      </c>
      <c r="T978" t="s">
        <v>74</v>
      </c>
      <c r="U978" t="s">
        <v>18369</v>
      </c>
      <c r="V978" t="s">
        <v>18370</v>
      </c>
      <c r="W978" t="s">
        <v>18371</v>
      </c>
      <c r="X978" t="s">
        <v>18372</v>
      </c>
      <c r="Y978" t="s">
        <v>18373</v>
      </c>
      <c r="Z978" t="s">
        <v>18374</v>
      </c>
      <c r="AA978" t="s">
        <v>18375</v>
      </c>
      <c r="AB978" t="s">
        <v>18376</v>
      </c>
      <c r="AC978" t="s">
        <v>18377</v>
      </c>
      <c r="AD978" t="s">
        <v>18378</v>
      </c>
      <c r="AE978" t="s">
        <v>18379</v>
      </c>
      <c r="AF978" t="s">
        <v>74</v>
      </c>
      <c r="AG978">
        <v>62</v>
      </c>
      <c r="AH978">
        <v>0</v>
      </c>
      <c r="AI978">
        <v>0</v>
      </c>
      <c r="AJ978">
        <v>1</v>
      </c>
      <c r="AK978">
        <v>1</v>
      </c>
      <c r="AL978" t="s">
        <v>1838</v>
      </c>
      <c r="AM978" t="s">
        <v>1839</v>
      </c>
      <c r="AN978" t="s">
        <v>1840</v>
      </c>
      <c r="AO978" t="s">
        <v>2818</v>
      </c>
      <c r="AP978" t="s">
        <v>2819</v>
      </c>
      <c r="AQ978" t="s">
        <v>74</v>
      </c>
      <c r="AR978" t="s">
        <v>2809</v>
      </c>
      <c r="AS978" t="s">
        <v>2820</v>
      </c>
      <c r="AT978" t="s">
        <v>18380</v>
      </c>
      <c r="AU978">
        <v>2023</v>
      </c>
      <c r="AV978">
        <v>17</v>
      </c>
      <c r="AW978">
        <v>9</v>
      </c>
      <c r="AX978" t="s">
        <v>74</v>
      </c>
      <c r="AY978" t="s">
        <v>74</v>
      </c>
      <c r="AZ978" t="s">
        <v>74</v>
      </c>
      <c r="BA978" t="s">
        <v>74</v>
      </c>
      <c r="BB978">
        <v>3847</v>
      </c>
      <c r="BC978">
        <v>3866</v>
      </c>
      <c r="BD978" t="s">
        <v>74</v>
      </c>
      <c r="BE978" t="s">
        <v>18381</v>
      </c>
      <c r="BF978" t="str">
        <f>HYPERLINK("http://dx.doi.org/10.5194/tc-17-3847-2023","http://dx.doi.org/10.5194/tc-17-3847-2023")</f>
        <v>http://dx.doi.org/10.5194/tc-17-3847-2023</v>
      </c>
      <c r="BG978" t="s">
        <v>74</v>
      </c>
      <c r="BH978" t="s">
        <v>74</v>
      </c>
      <c r="BI978">
        <v>20</v>
      </c>
      <c r="BJ978" t="s">
        <v>984</v>
      </c>
      <c r="BK978" t="s">
        <v>100</v>
      </c>
      <c r="BL978" t="s">
        <v>985</v>
      </c>
      <c r="BM978" t="s">
        <v>18382</v>
      </c>
      <c r="BN978" t="s">
        <v>74</v>
      </c>
      <c r="BO978" t="s">
        <v>131</v>
      </c>
      <c r="BP978" t="s">
        <v>74</v>
      </c>
      <c r="BQ978" t="s">
        <v>74</v>
      </c>
      <c r="BR978" t="s">
        <v>104</v>
      </c>
      <c r="BS978" t="s">
        <v>18383</v>
      </c>
      <c r="BT978" t="str">
        <f>HYPERLINK("https%3A%2F%2Fwww.webofscience.com%2Fwos%2Fwoscc%2Ffull-record%2FWOS:001161781000001","View Full Record in Web of Science")</f>
        <v>View Full Record in Web of Science</v>
      </c>
    </row>
    <row r="979" spans="1:72" x14ac:dyDescent="0.15">
      <c r="A979" t="s">
        <v>72</v>
      </c>
      <c r="B979" t="s">
        <v>18384</v>
      </c>
      <c r="C979" t="s">
        <v>74</v>
      </c>
      <c r="D979" t="s">
        <v>74</v>
      </c>
      <c r="E979" t="s">
        <v>74</v>
      </c>
      <c r="F979" t="s">
        <v>18385</v>
      </c>
      <c r="G979" t="s">
        <v>74</v>
      </c>
      <c r="H979" t="s">
        <v>74</v>
      </c>
      <c r="I979" t="s">
        <v>18386</v>
      </c>
      <c r="J979" t="s">
        <v>4622</v>
      </c>
      <c r="K979" t="s">
        <v>74</v>
      </c>
      <c r="L979" t="s">
        <v>74</v>
      </c>
      <c r="M979" t="s">
        <v>78</v>
      </c>
      <c r="N979" t="s">
        <v>79</v>
      </c>
      <c r="O979" t="s">
        <v>74</v>
      </c>
      <c r="P979" t="s">
        <v>74</v>
      </c>
      <c r="Q979" t="s">
        <v>74</v>
      </c>
      <c r="R979" t="s">
        <v>74</v>
      </c>
      <c r="S979" t="s">
        <v>74</v>
      </c>
      <c r="T979" t="s">
        <v>18387</v>
      </c>
      <c r="U979" t="s">
        <v>18388</v>
      </c>
      <c r="V979" t="s">
        <v>18389</v>
      </c>
      <c r="W979" t="s">
        <v>18390</v>
      </c>
      <c r="X979" t="s">
        <v>18391</v>
      </c>
      <c r="Y979" t="s">
        <v>18392</v>
      </c>
      <c r="Z979" t="s">
        <v>18393</v>
      </c>
      <c r="AA979" t="s">
        <v>18394</v>
      </c>
      <c r="AB979" t="s">
        <v>18395</v>
      </c>
      <c r="AC979" t="s">
        <v>18396</v>
      </c>
      <c r="AD979" t="s">
        <v>18397</v>
      </c>
      <c r="AE979" t="s">
        <v>18398</v>
      </c>
      <c r="AF979" t="s">
        <v>74</v>
      </c>
      <c r="AG979">
        <v>56</v>
      </c>
      <c r="AH979">
        <v>0</v>
      </c>
      <c r="AI979">
        <v>0</v>
      </c>
      <c r="AJ979">
        <v>2</v>
      </c>
      <c r="AK979">
        <v>3</v>
      </c>
      <c r="AL979" t="s">
        <v>2554</v>
      </c>
      <c r="AM979" t="s">
        <v>2294</v>
      </c>
      <c r="AN979" t="s">
        <v>2555</v>
      </c>
      <c r="AO979" t="s">
        <v>4635</v>
      </c>
      <c r="AP979" t="s">
        <v>4636</v>
      </c>
      <c r="AQ979" t="s">
        <v>74</v>
      </c>
      <c r="AR979" t="s">
        <v>4637</v>
      </c>
      <c r="AS979" t="s">
        <v>4638</v>
      </c>
      <c r="AT979" t="s">
        <v>18380</v>
      </c>
      <c r="AU979">
        <v>2023</v>
      </c>
      <c r="AV979">
        <v>19</v>
      </c>
      <c r="AW979">
        <v>9</v>
      </c>
      <c r="AX979" t="s">
        <v>74</v>
      </c>
      <c r="AY979" t="s">
        <v>74</v>
      </c>
      <c r="AZ979" t="s">
        <v>74</v>
      </c>
      <c r="BA979" t="s">
        <v>74</v>
      </c>
      <c r="BB979" t="s">
        <v>74</v>
      </c>
      <c r="BC979" t="s">
        <v>74</v>
      </c>
      <c r="BD979">
        <v>20230287</v>
      </c>
      <c r="BE979" t="s">
        <v>18399</v>
      </c>
      <c r="BF979" t="str">
        <f>HYPERLINK("http://dx.doi.org/10.1098/rsbl.2023.0287","http://dx.doi.org/10.1098/rsbl.2023.0287")</f>
        <v>http://dx.doi.org/10.1098/rsbl.2023.0287</v>
      </c>
      <c r="BG979" t="s">
        <v>74</v>
      </c>
      <c r="BH979" t="s">
        <v>74</v>
      </c>
      <c r="BI979">
        <v>6</v>
      </c>
      <c r="BJ979" t="s">
        <v>4640</v>
      </c>
      <c r="BK979" t="s">
        <v>100</v>
      </c>
      <c r="BL979" t="s">
        <v>4641</v>
      </c>
      <c r="BM979" t="s">
        <v>18400</v>
      </c>
      <c r="BN979">
        <v>37670611</v>
      </c>
      <c r="BO979" t="s">
        <v>17275</v>
      </c>
      <c r="BP979" t="s">
        <v>74</v>
      </c>
      <c r="BQ979" t="s">
        <v>74</v>
      </c>
      <c r="BR979" t="s">
        <v>104</v>
      </c>
      <c r="BS979" t="s">
        <v>18401</v>
      </c>
      <c r="BT979" t="str">
        <f>HYPERLINK("https%3A%2F%2Fwww.webofscience.com%2Fwos%2Fwoscc%2Ffull-record%2FWOS:001144766700001","View Full Record in Web of Science")</f>
        <v>View Full Record in Web of Science</v>
      </c>
    </row>
    <row r="980" spans="1:72" x14ac:dyDescent="0.15">
      <c r="A980" t="s">
        <v>72</v>
      </c>
      <c r="B980" t="s">
        <v>18402</v>
      </c>
      <c r="C980" t="s">
        <v>74</v>
      </c>
      <c r="D980" t="s">
        <v>74</v>
      </c>
      <c r="E980" t="s">
        <v>74</v>
      </c>
      <c r="F980" t="s">
        <v>18403</v>
      </c>
      <c r="G980" t="s">
        <v>74</v>
      </c>
      <c r="H980" t="s">
        <v>74</v>
      </c>
      <c r="I980" t="s">
        <v>18404</v>
      </c>
      <c r="J980" t="s">
        <v>2668</v>
      </c>
      <c r="K980" t="s">
        <v>74</v>
      </c>
      <c r="L980" t="s">
        <v>74</v>
      </c>
      <c r="M980" t="s">
        <v>78</v>
      </c>
      <c r="N980" t="s">
        <v>79</v>
      </c>
      <c r="O980" t="s">
        <v>74</v>
      </c>
      <c r="P980" t="s">
        <v>74</v>
      </c>
      <c r="Q980" t="s">
        <v>74</v>
      </c>
      <c r="R980" t="s">
        <v>74</v>
      </c>
      <c r="S980" t="s">
        <v>74</v>
      </c>
      <c r="T980" t="s">
        <v>18405</v>
      </c>
      <c r="U980" t="s">
        <v>18406</v>
      </c>
      <c r="V980" t="s">
        <v>18407</v>
      </c>
      <c r="W980" t="s">
        <v>18408</v>
      </c>
      <c r="X980" t="s">
        <v>18409</v>
      </c>
      <c r="Y980" t="s">
        <v>18410</v>
      </c>
      <c r="Z980" t="s">
        <v>18411</v>
      </c>
      <c r="AA980" t="s">
        <v>74</v>
      </c>
      <c r="AB980" t="s">
        <v>74</v>
      </c>
      <c r="AC980" t="s">
        <v>18412</v>
      </c>
      <c r="AD980" t="s">
        <v>18413</v>
      </c>
      <c r="AE980" t="s">
        <v>18414</v>
      </c>
      <c r="AF980" t="s">
        <v>74</v>
      </c>
      <c r="AG980">
        <v>116</v>
      </c>
      <c r="AH980">
        <v>1</v>
      </c>
      <c r="AI980">
        <v>1</v>
      </c>
      <c r="AJ980">
        <v>2</v>
      </c>
      <c r="AK980">
        <v>2</v>
      </c>
      <c r="AL980" t="s">
        <v>947</v>
      </c>
      <c r="AM980" t="s">
        <v>948</v>
      </c>
      <c r="AN980" t="s">
        <v>949</v>
      </c>
      <c r="AO980" t="s">
        <v>2679</v>
      </c>
      <c r="AP980" t="s">
        <v>2680</v>
      </c>
      <c r="AQ980" t="s">
        <v>74</v>
      </c>
      <c r="AR980" t="s">
        <v>2681</v>
      </c>
      <c r="AS980" t="s">
        <v>2682</v>
      </c>
      <c r="AT980" t="s">
        <v>10516</v>
      </c>
      <c r="AU980">
        <v>2023</v>
      </c>
      <c r="AV980">
        <v>629</v>
      </c>
      <c r="AW980" t="s">
        <v>74</v>
      </c>
      <c r="AX980" t="s">
        <v>74</v>
      </c>
      <c r="AY980" t="s">
        <v>74</v>
      </c>
      <c r="AZ980" t="s">
        <v>74</v>
      </c>
      <c r="BA980" t="s">
        <v>74</v>
      </c>
      <c r="BB980" t="s">
        <v>74</v>
      </c>
      <c r="BC980" t="s">
        <v>74</v>
      </c>
      <c r="BD980">
        <v>111789</v>
      </c>
      <c r="BE980" t="s">
        <v>18415</v>
      </c>
      <c r="BF980" t="str">
        <f>HYPERLINK("http://dx.doi.org/10.1016/j.palaeo.2023.111789","http://dx.doi.org/10.1016/j.palaeo.2023.111789")</f>
        <v>http://dx.doi.org/10.1016/j.palaeo.2023.111789</v>
      </c>
      <c r="BG980" t="s">
        <v>74</v>
      </c>
      <c r="BH980" t="s">
        <v>15880</v>
      </c>
      <c r="BI980">
        <v>22</v>
      </c>
      <c r="BJ980" t="s">
        <v>2684</v>
      </c>
      <c r="BK980" t="s">
        <v>100</v>
      </c>
      <c r="BL980" t="s">
        <v>2685</v>
      </c>
      <c r="BM980" t="s">
        <v>18416</v>
      </c>
      <c r="BN980" t="s">
        <v>74</v>
      </c>
      <c r="BO980" t="s">
        <v>74</v>
      </c>
      <c r="BP980" t="s">
        <v>74</v>
      </c>
      <c r="BQ980" t="s">
        <v>74</v>
      </c>
      <c r="BR980" t="s">
        <v>104</v>
      </c>
      <c r="BS980" t="s">
        <v>18417</v>
      </c>
      <c r="BT980" t="str">
        <f>HYPERLINK("https%3A%2F%2Fwww.webofscience.com%2Fwos%2Fwoscc%2Ffull-record%2FWOS:001078583800001","View Full Record in Web of Science")</f>
        <v>View Full Record in Web of Science</v>
      </c>
    </row>
    <row r="981" spans="1:72" x14ac:dyDescent="0.15">
      <c r="A981" t="s">
        <v>72</v>
      </c>
      <c r="B981" t="s">
        <v>18418</v>
      </c>
      <c r="C981" t="s">
        <v>74</v>
      </c>
      <c r="D981" t="s">
        <v>74</v>
      </c>
      <c r="E981" t="s">
        <v>74</v>
      </c>
      <c r="F981" t="s">
        <v>18419</v>
      </c>
      <c r="G981" t="s">
        <v>74</v>
      </c>
      <c r="H981" t="s">
        <v>74</v>
      </c>
      <c r="I981" t="s">
        <v>18420</v>
      </c>
      <c r="J981" t="s">
        <v>1746</v>
      </c>
      <c r="K981" t="s">
        <v>74</v>
      </c>
      <c r="L981" t="s">
        <v>74</v>
      </c>
      <c r="M981" t="s">
        <v>78</v>
      </c>
      <c r="N981" t="s">
        <v>79</v>
      </c>
      <c r="O981" t="s">
        <v>74</v>
      </c>
      <c r="P981" t="s">
        <v>74</v>
      </c>
      <c r="Q981" t="s">
        <v>74</v>
      </c>
      <c r="R981" t="s">
        <v>74</v>
      </c>
      <c r="S981" t="s">
        <v>74</v>
      </c>
      <c r="T981" t="s">
        <v>18421</v>
      </c>
      <c r="U981" t="s">
        <v>18422</v>
      </c>
      <c r="V981" t="s">
        <v>18423</v>
      </c>
      <c r="W981" t="s">
        <v>18424</v>
      </c>
      <c r="X981" t="s">
        <v>18425</v>
      </c>
      <c r="Y981" t="s">
        <v>18426</v>
      </c>
      <c r="Z981" t="s">
        <v>18427</v>
      </c>
      <c r="AA981" t="s">
        <v>18428</v>
      </c>
      <c r="AB981" t="s">
        <v>18429</v>
      </c>
      <c r="AC981" t="s">
        <v>18430</v>
      </c>
      <c r="AD981" t="s">
        <v>18431</v>
      </c>
      <c r="AE981" t="s">
        <v>18432</v>
      </c>
      <c r="AF981" t="s">
        <v>74</v>
      </c>
      <c r="AG981">
        <v>95</v>
      </c>
      <c r="AH981">
        <v>0</v>
      </c>
      <c r="AI981">
        <v>0</v>
      </c>
      <c r="AJ981">
        <v>3</v>
      </c>
      <c r="AK981">
        <v>3</v>
      </c>
      <c r="AL981" t="s">
        <v>1758</v>
      </c>
      <c r="AM981" t="s">
        <v>1759</v>
      </c>
      <c r="AN981" t="s">
        <v>1760</v>
      </c>
      <c r="AO981" t="s">
        <v>74</v>
      </c>
      <c r="AP981" t="s">
        <v>1761</v>
      </c>
      <c r="AQ981" t="s">
        <v>74</v>
      </c>
      <c r="AR981" t="s">
        <v>1762</v>
      </c>
      <c r="AS981" t="s">
        <v>1763</v>
      </c>
      <c r="AT981" t="s">
        <v>18380</v>
      </c>
      <c r="AU981">
        <v>2023</v>
      </c>
      <c r="AV981">
        <v>10</v>
      </c>
      <c r="AW981" t="s">
        <v>74</v>
      </c>
      <c r="AX981" t="s">
        <v>74</v>
      </c>
      <c r="AY981" t="s">
        <v>74</v>
      </c>
      <c r="AZ981" t="s">
        <v>74</v>
      </c>
      <c r="BA981" t="s">
        <v>74</v>
      </c>
      <c r="BB981" t="s">
        <v>74</v>
      </c>
      <c r="BC981" t="s">
        <v>74</v>
      </c>
      <c r="BD981">
        <v>1231083</v>
      </c>
      <c r="BE981" t="s">
        <v>18433</v>
      </c>
      <c r="BF981" t="str">
        <f>HYPERLINK("http://dx.doi.org/10.3389/fmars.2023.1231083","http://dx.doi.org/10.3389/fmars.2023.1231083")</f>
        <v>http://dx.doi.org/10.3389/fmars.2023.1231083</v>
      </c>
      <c r="BG981" t="s">
        <v>74</v>
      </c>
      <c r="BH981" t="s">
        <v>74</v>
      </c>
      <c r="BI981">
        <v>14</v>
      </c>
      <c r="BJ981" t="s">
        <v>1135</v>
      </c>
      <c r="BK981" t="s">
        <v>100</v>
      </c>
      <c r="BL981" t="s">
        <v>1136</v>
      </c>
      <c r="BM981" t="s">
        <v>18434</v>
      </c>
      <c r="BN981" t="s">
        <v>74</v>
      </c>
      <c r="BO981" t="s">
        <v>131</v>
      </c>
      <c r="BP981" t="s">
        <v>74</v>
      </c>
      <c r="BQ981" t="s">
        <v>74</v>
      </c>
      <c r="BR981" t="s">
        <v>104</v>
      </c>
      <c r="BS981" t="s">
        <v>18435</v>
      </c>
      <c r="BT981" t="str">
        <f>HYPERLINK("https%3A%2F%2Fwww.webofscience.com%2Fwos%2Fwoscc%2Ffull-record%2FWOS:001069009800001","View Full Record in Web of Science")</f>
        <v>View Full Record in Web of Science</v>
      </c>
    </row>
    <row r="982" spans="1:72" x14ac:dyDescent="0.15">
      <c r="A982" t="s">
        <v>72</v>
      </c>
      <c r="B982" t="s">
        <v>18436</v>
      </c>
      <c r="C982" t="s">
        <v>74</v>
      </c>
      <c r="D982" t="s">
        <v>74</v>
      </c>
      <c r="E982" t="s">
        <v>74</v>
      </c>
      <c r="F982" t="s">
        <v>18437</v>
      </c>
      <c r="G982" t="s">
        <v>74</v>
      </c>
      <c r="H982" t="s">
        <v>74</v>
      </c>
      <c r="I982" t="s">
        <v>18438</v>
      </c>
      <c r="J982" t="s">
        <v>18439</v>
      </c>
      <c r="K982" t="s">
        <v>74</v>
      </c>
      <c r="L982" t="s">
        <v>74</v>
      </c>
      <c r="M982" t="s">
        <v>78</v>
      </c>
      <c r="N982" t="s">
        <v>79</v>
      </c>
      <c r="O982" t="s">
        <v>74</v>
      </c>
      <c r="P982" t="s">
        <v>74</v>
      </c>
      <c r="Q982" t="s">
        <v>74</v>
      </c>
      <c r="R982" t="s">
        <v>74</v>
      </c>
      <c r="S982" t="s">
        <v>74</v>
      </c>
      <c r="T982" t="s">
        <v>18440</v>
      </c>
      <c r="U982" t="s">
        <v>18441</v>
      </c>
      <c r="V982" t="s">
        <v>18442</v>
      </c>
      <c r="W982" t="s">
        <v>18443</v>
      </c>
      <c r="X982" t="s">
        <v>74</v>
      </c>
      <c r="Y982" t="s">
        <v>18444</v>
      </c>
      <c r="Z982" t="s">
        <v>18445</v>
      </c>
      <c r="AA982" t="s">
        <v>18446</v>
      </c>
      <c r="AB982" t="s">
        <v>18447</v>
      </c>
      <c r="AC982" t="s">
        <v>18448</v>
      </c>
      <c r="AD982" t="s">
        <v>18449</v>
      </c>
      <c r="AE982" t="s">
        <v>18450</v>
      </c>
      <c r="AF982" t="s">
        <v>74</v>
      </c>
      <c r="AG982">
        <v>45</v>
      </c>
      <c r="AH982">
        <v>0</v>
      </c>
      <c r="AI982">
        <v>0</v>
      </c>
      <c r="AJ982">
        <v>5</v>
      </c>
      <c r="AK982">
        <v>5</v>
      </c>
      <c r="AL982" t="s">
        <v>947</v>
      </c>
      <c r="AM982" t="s">
        <v>948</v>
      </c>
      <c r="AN982" t="s">
        <v>949</v>
      </c>
      <c r="AO982" t="s">
        <v>18451</v>
      </c>
      <c r="AP982" t="s">
        <v>74</v>
      </c>
      <c r="AQ982" t="s">
        <v>74</v>
      </c>
      <c r="AR982" t="s">
        <v>18452</v>
      </c>
      <c r="AS982" t="s">
        <v>18453</v>
      </c>
      <c r="AT982" t="s">
        <v>4525</v>
      </c>
      <c r="AU982">
        <v>2023</v>
      </c>
      <c r="AV982">
        <v>39</v>
      </c>
      <c r="AW982" t="s">
        <v>74</v>
      </c>
      <c r="AX982" t="s">
        <v>74</v>
      </c>
      <c r="AY982" t="s">
        <v>74</v>
      </c>
      <c r="AZ982" t="s">
        <v>74</v>
      </c>
      <c r="BA982" t="s">
        <v>74</v>
      </c>
      <c r="BB982" t="s">
        <v>74</v>
      </c>
      <c r="BC982" t="s">
        <v>74</v>
      </c>
      <c r="BD982">
        <v>101160</v>
      </c>
      <c r="BE982" t="s">
        <v>18454</v>
      </c>
      <c r="BF982" t="str">
        <f>HYPERLINK("http://dx.doi.org/10.1016/j.fpsl.2023.101160","http://dx.doi.org/10.1016/j.fpsl.2023.101160")</f>
        <v>http://dx.doi.org/10.1016/j.fpsl.2023.101160</v>
      </c>
      <c r="BG982" t="s">
        <v>74</v>
      </c>
      <c r="BH982" t="s">
        <v>15880</v>
      </c>
      <c r="BI982">
        <v>10</v>
      </c>
      <c r="BJ982" t="s">
        <v>6029</v>
      </c>
      <c r="BK982" t="s">
        <v>100</v>
      </c>
      <c r="BL982" t="s">
        <v>6029</v>
      </c>
      <c r="BM982" t="s">
        <v>18455</v>
      </c>
      <c r="BN982" t="s">
        <v>74</v>
      </c>
      <c r="BO982" t="s">
        <v>74</v>
      </c>
      <c r="BP982" t="s">
        <v>74</v>
      </c>
      <c r="BQ982" t="s">
        <v>74</v>
      </c>
      <c r="BR982" t="s">
        <v>104</v>
      </c>
      <c r="BS982" t="s">
        <v>18456</v>
      </c>
      <c r="BT982" t="str">
        <f>HYPERLINK("https%3A%2F%2Fwww.webofscience.com%2Fwos%2Fwoscc%2Ffull-record%2FWOS:001073809100001","View Full Record in Web of Science")</f>
        <v>View Full Record in Web of Science</v>
      </c>
    </row>
    <row r="983" spans="1:72" x14ac:dyDescent="0.15">
      <c r="A983" t="s">
        <v>72</v>
      </c>
      <c r="B983" t="s">
        <v>18457</v>
      </c>
      <c r="C983" t="s">
        <v>74</v>
      </c>
      <c r="D983" t="s">
        <v>74</v>
      </c>
      <c r="E983" t="s">
        <v>74</v>
      </c>
      <c r="F983" t="s">
        <v>18458</v>
      </c>
      <c r="G983" t="s">
        <v>74</v>
      </c>
      <c r="H983" t="s">
        <v>74</v>
      </c>
      <c r="I983" t="s">
        <v>18459</v>
      </c>
      <c r="J983" t="s">
        <v>2809</v>
      </c>
      <c r="K983" t="s">
        <v>74</v>
      </c>
      <c r="L983" t="s">
        <v>74</v>
      </c>
      <c r="M983" t="s">
        <v>78</v>
      </c>
      <c r="N983" t="s">
        <v>79</v>
      </c>
      <c r="O983" t="s">
        <v>74</v>
      </c>
      <c r="P983" t="s">
        <v>74</v>
      </c>
      <c r="Q983" t="s">
        <v>74</v>
      </c>
      <c r="R983" t="s">
        <v>74</v>
      </c>
      <c r="S983" t="s">
        <v>74</v>
      </c>
      <c r="T983" t="s">
        <v>74</v>
      </c>
      <c r="U983" t="s">
        <v>18460</v>
      </c>
      <c r="V983" t="s">
        <v>18461</v>
      </c>
      <c r="W983" t="s">
        <v>18462</v>
      </c>
      <c r="X983" t="s">
        <v>18463</v>
      </c>
      <c r="Y983" t="s">
        <v>18464</v>
      </c>
      <c r="Z983" t="s">
        <v>18465</v>
      </c>
      <c r="AA983" t="s">
        <v>4266</v>
      </c>
      <c r="AB983" t="s">
        <v>18466</v>
      </c>
      <c r="AC983" t="s">
        <v>18467</v>
      </c>
      <c r="AD983" t="s">
        <v>18468</v>
      </c>
      <c r="AE983" t="s">
        <v>18469</v>
      </c>
      <c r="AF983" t="s">
        <v>74</v>
      </c>
      <c r="AG983">
        <v>47</v>
      </c>
      <c r="AH983">
        <v>0</v>
      </c>
      <c r="AI983">
        <v>0</v>
      </c>
      <c r="AJ983">
        <v>1</v>
      </c>
      <c r="AK983">
        <v>1</v>
      </c>
      <c r="AL983" t="s">
        <v>1838</v>
      </c>
      <c r="AM983" t="s">
        <v>1839</v>
      </c>
      <c r="AN983" t="s">
        <v>1840</v>
      </c>
      <c r="AO983" t="s">
        <v>2818</v>
      </c>
      <c r="AP983" t="s">
        <v>2819</v>
      </c>
      <c r="AQ983" t="s">
        <v>74</v>
      </c>
      <c r="AR983" t="s">
        <v>2809</v>
      </c>
      <c r="AS983" t="s">
        <v>2820</v>
      </c>
      <c r="AT983" t="s">
        <v>18470</v>
      </c>
      <c r="AU983">
        <v>2023</v>
      </c>
      <c r="AV983">
        <v>17</v>
      </c>
      <c r="AW983">
        <v>9</v>
      </c>
      <c r="AX983" t="s">
        <v>74</v>
      </c>
      <c r="AY983" t="s">
        <v>74</v>
      </c>
      <c r="AZ983" t="s">
        <v>74</v>
      </c>
      <c r="BA983" t="s">
        <v>74</v>
      </c>
      <c r="BB983">
        <v>3785</v>
      </c>
      <c r="BC983">
        <v>3801</v>
      </c>
      <c r="BD983" t="s">
        <v>74</v>
      </c>
      <c r="BE983" t="s">
        <v>18471</v>
      </c>
      <c r="BF983" t="str">
        <f>HYPERLINK("http://dx.doi.org/10.5194/tc-17-3785-2023","http://dx.doi.org/10.5194/tc-17-3785-2023")</f>
        <v>http://dx.doi.org/10.5194/tc-17-3785-2023</v>
      </c>
      <c r="BG983" t="s">
        <v>74</v>
      </c>
      <c r="BH983" t="s">
        <v>74</v>
      </c>
      <c r="BI983">
        <v>17</v>
      </c>
      <c r="BJ983" t="s">
        <v>984</v>
      </c>
      <c r="BK983" t="s">
        <v>100</v>
      </c>
      <c r="BL983" t="s">
        <v>985</v>
      </c>
      <c r="BM983" t="s">
        <v>18472</v>
      </c>
      <c r="BN983" t="s">
        <v>74</v>
      </c>
      <c r="BO983" t="s">
        <v>18473</v>
      </c>
      <c r="BP983" t="s">
        <v>74</v>
      </c>
      <c r="BQ983" t="s">
        <v>74</v>
      </c>
      <c r="BR983" t="s">
        <v>104</v>
      </c>
      <c r="BS983" t="s">
        <v>18474</v>
      </c>
      <c r="BT983" t="str">
        <f>HYPERLINK("https%3A%2F%2Fwww.webofscience.com%2Fwos%2Fwoscc%2Ffull-record%2FWOS:001161811400001","View Full Record in Web of Science")</f>
        <v>View Full Record in Web of Science</v>
      </c>
    </row>
    <row r="984" spans="1:72" x14ac:dyDescent="0.15">
      <c r="A984" t="s">
        <v>72</v>
      </c>
      <c r="B984" t="s">
        <v>18475</v>
      </c>
      <c r="C984" t="s">
        <v>74</v>
      </c>
      <c r="D984" t="s">
        <v>74</v>
      </c>
      <c r="E984" t="s">
        <v>74</v>
      </c>
      <c r="F984" t="s">
        <v>18476</v>
      </c>
      <c r="G984" t="s">
        <v>74</v>
      </c>
      <c r="H984" t="s">
        <v>74</v>
      </c>
      <c r="I984" t="s">
        <v>18477</v>
      </c>
      <c r="J984" t="s">
        <v>7849</v>
      </c>
      <c r="K984" t="s">
        <v>74</v>
      </c>
      <c r="L984" t="s">
        <v>74</v>
      </c>
      <c r="M984" t="s">
        <v>78</v>
      </c>
      <c r="N984" t="s">
        <v>79</v>
      </c>
      <c r="O984" t="s">
        <v>74</v>
      </c>
      <c r="P984" t="s">
        <v>74</v>
      </c>
      <c r="Q984" t="s">
        <v>74</v>
      </c>
      <c r="R984" t="s">
        <v>74</v>
      </c>
      <c r="S984" t="s">
        <v>74</v>
      </c>
      <c r="T984" t="s">
        <v>18478</v>
      </c>
      <c r="U984" t="s">
        <v>18479</v>
      </c>
      <c r="V984" t="s">
        <v>18480</v>
      </c>
      <c r="W984" t="s">
        <v>18481</v>
      </c>
      <c r="X984" t="s">
        <v>18482</v>
      </c>
      <c r="Y984" t="s">
        <v>18483</v>
      </c>
      <c r="Z984" t="s">
        <v>18484</v>
      </c>
      <c r="AA984" t="s">
        <v>74</v>
      </c>
      <c r="AB984" t="s">
        <v>18485</v>
      </c>
      <c r="AC984" t="s">
        <v>18486</v>
      </c>
      <c r="AD984" t="s">
        <v>18487</v>
      </c>
      <c r="AE984" t="s">
        <v>18488</v>
      </c>
      <c r="AF984" t="s">
        <v>74</v>
      </c>
      <c r="AG984">
        <v>80</v>
      </c>
      <c r="AH984">
        <v>0</v>
      </c>
      <c r="AI984">
        <v>0</v>
      </c>
      <c r="AJ984">
        <v>6</v>
      </c>
      <c r="AK984">
        <v>6</v>
      </c>
      <c r="AL984" t="s">
        <v>3013</v>
      </c>
      <c r="AM984" t="s">
        <v>3014</v>
      </c>
      <c r="AN984" t="s">
        <v>3015</v>
      </c>
      <c r="AO984" t="s">
        <v>7862</v>
      </c>
      <c r="AP984" t="s">
        <v>7863</v>
      </c>
      <c r="AQ984" t="s">
        <v>74</v>
      </c>
      <c r="AR984" t="s">
        <v>7864</v>
      </c>
      <c r="AS984" t="s">
        <v>7865</v>
      </c>
      <c r="AT984" t="s">
        <v>4525</v>
      </c>
      <c r="AU984">
        <v>2023</v>
      </c>
      <c r="AV984">
        <v>188</v>
      </c>
      <c r="AW984" t="s">
        <v>74</v>
      </c>
      <c r="AX984" t="s">
        <v>74</v>
      </c>
      <c r="AY984" t="s">
        <v>74</v>
      </c>
      <c r="AZ984" t="s">
        <v>74</v>
      </c>
      <c r="BA984" t="s">
        <v>74</v>
      </c>
      <c r="BB984" t="s">
        <v>74</v>
      </c>
      <c r="BC984" t="s">
        <v>74</v>
      </c>
      <c r="BD984">
        <v>107910</v>
      </c>
      <c r="BE984" t="s">
        <v>18489</v>
      </c>
      <c r="BF984" t="str">
        <f>HYPERLINK("http://dx.doi.org/10.1016/j.ympev.2023.107910","http://dx.doi.org/10.1016/j.ympev.2023.107910")</f>
        <v>http://dx.doi.org/10.1016/j.ympev.2023.107910</v>
      </c>
      <c r="BG984" t="s">
        <v>74</v>
      </c>
      <c r="BH984" t="s">
        <v>15880</v>
      </c>
      <c r="BI984">
        <v>11</v>
      </c>
      <c r="BJ984" t="s">
        <v>7867</v>
      </c>
      <c r="BK984" t="s">
        <v>100</v>
      </c>
      <c r="BL984" t="s">
        <v>7867</v>
      </c>
      <c r="BM984" t="s">
        <v>18490</v>
      </c>
      <c r="BN984">
        <v>37640170</v>
      </c>
      <c r="BO984" t="s">
        <v>2452</v>
      </c>
      <c r="BP984" t="s">
        <v>74</v>
      </c>
      <c r="BQ984" t="s">
        <v>74</v>
      </c>
      <c r="BR984" t="s">
        <v>104</v>
      </c>
      <c r="BS984" t="s">
        <v>18491</v>
      </c>
      <c r="BT984" t="str">
        <f>HYPERLINK("https%3A%2F%2Fwww.webofscience.com%2Fwos%2Fwoscc%2Ffull-record%2FWOS:001076334000001","View Full Record in Web of Science")</f>
        <v>View Full Record in Web of Science</v>
      </c>
    </row>
    <row r="985" spans="1:72" x14ac:dyDescent="0.15">
      <c r="A985" t="s">
        <v>72</v>
      </c>
      <c r="B985" t="s">
        <v>18492</v>
      </c>
      <c r="C985" t="s">
        <v>74</v>
      </c>
      <c r="D985" t="s">
        <v>74</v>
      </c>
      <c r="E985" t="s">
        <v>74</v>
      </c>
      <c r="F985" t="s">
        <v>18493</v>
      </c>
      <c r="G985" t="s">
        <v>74</v>
      </c>
      <c r="H985" t="s">
        <v>74</v>
      </c>
      <c r="I985" t="s">
        <v>18494</v>
      </c>
      <c r="J985" t="s">
        <v>1746</v>
      </c>
      <c r="K985" t="s">
        <v>74</v>
      </c>
      <c r="L985" t="s">
        <v>74</v>
      </c>
      <c r="M985" t="s">
        <v>78</v>
      </c>
      <c r="N985" t="s">
        <v>79</v>
      </c>
      <c r="O985" t="s">
        <v>74</v>
      </c>
      <c r="P985" t="s">
        <v>74</v>
      </c>
      <c r="Q985" t="s">
        <v>74</v>
      </c>
      <c r="R985" t="s">
        <v>74</v>
      </c>
      <c r="S985" t="s">
        <v>74</v>
      </c>
      <c r="T985" t="s">
        <v>18495</v>
      </c>
      <c r="U985" t="s">
        <v>18496</v>
      </c>
      <c r="V985" t="s">
        <v>18497</v>
      </c>
      <c r="W985" t="s">
        <v>18498</v>
      </c>
      <c r="X985" t="s">
        <v>18499</v>
      </c>
      <c r="Y985" t="s">
        <v>18500</v>
      </c>
      <c r="Z985" t="s">
        <v>18501</v>
      </c>
      <c r="AA985" t="s">
        <v>18502</v>
      </c>
      <c r="AB985" t="s">
        <v>18503</v>
      </c>
      <c r="AC985" t="s">
        <v>18504</v>
      </c>
      <c r="AD985" t="s">
        <v>18505</v>
      </c>
      <c r="AE985" t="s">
        <v>18506</v>
      </c>
      <c r="AF985" t="s">
        <v>74</v>
      </c>
      <c r="AG985">
        <v>103</v>
      </c>
      <c r="AH985">
        <v>0</v>
      </c>
      <c r="AI985">
        <v>0</v>
      </c>
      <c r="AJ985">
        <v>9</v>
      </c>
      <c r="AK985">
        <v>9</v>
      </c>
      <c r="AL985" t="s">
        <v>1758</v>
      </c>
      <c r="AM985" t="s">
        <v>1759</v>
      </c>
      <c r="AN985" t="s">
        <v>1760</v>
      </c>
      <c r="AO985" t="s">
        <v>74</v>
      </c>
      <c r="AP985" t="s">
        <v>1761</v>
      </c>
      <c r="AQ985" t="s">
        <v>74</v>
      </c>
      <c r="AR985" t="s">
        <v>1762</v>
      </c>
      <c r="AS985" t="s">
        <v>1763</v>
      </c>
      <c r="AT985" t="s">
        <v>18470</v>
      </c>
      <c r="AU985">
        <v>2023</v>
      </c>
      <c r="AV985">
        <v>10</v>
      </c>
      <c r="AW985" t="s">
        <v>74</v>
      </c>
      <c r="AX985" t="s">
        <v>74</v>
      </c>
      <c r="AY985" t="s">
        <v>74</v>
      </c>
      <c r="AZ985" t="s">
        <v>74</v>
      </c>
      <c r="BA985" t="s">
        <v>74</v>
      </c>
      <c r="BB985" t="s">
        <v>74</v>
      </c>
      <c r="BC985" t="s">
        <v>74</v>
      </c>
      <c r="BD985">
        <v>1118226</v>
      </c>
      <c r="BE985" t="s">
        <v>18507</v>
      </c>
      <c r="BF985" t="str">
        <f>HYPERLINK("http://dx.doi.org/10.3389/fmars.2023.1118226","http://dx.doi.org/10.3389/fmars.2023.1118226")</f>
        <v>http://dx.doi.org/10.3389/fmars.2023.1118226</v>
      </c>
      <c r="BG985" t="s">
        <v>74</v>
      </c>
      <c r="BH985" t="s">
        <v>74</v>
      </c>
      <c r="BI985">
        <v>23</v>
      </c>
      <c r="BJ985" t="s">
        <v>1135</v>
      </c>
      <c r="BK985" t="s">
        <v>100</v>
      </c>
      <c r="BL985" t="s">
        <v>1136</v>
      </c>
      <c r="BM985" t="s">
        <v>18508</v>
      </c>
      <c r="BN985" t="s">
        <v>74</v>
      </c>
      <c r="BO985" t="s">
        <v>131</v>
      </c>
      <c r="BP985" t="s">
        <v>74</v>
      </c>
      <c r="BQ985" t="s">
        <v>74</v>
      </c>
      <c r="BR985" t="s">
        <v>104</v>
      </c>
      <c r="BS985" t="s">
        <v>18509</v>
      </c>
      <c r="BT985" t="str">
        <f>HYPERLINK("https%3A%2F%2Fwww.webofscience.com%2Fwos%2Fwoscc%2Ffull-record%2FWOS:001068226900001","View Full Record in Web of Science")</f>
        <v>View Full Record in Web of Science</v>
      </c>
    </row>
    <row r="986" spans="1:72" x14ac:dyDescent="0.15">
      <c r="A986" t="s">
        <v>72</v>
      </c>
      <c r="B986" t="s">
        <v>18510</v>
      </c>
      <c r="C986" t="s">
        <v>74</v>
      </c>
      <c r="D986" t="s">
        <v>74</v>
      </c>
      <c r="E986" t="s">
        <v>74</v>
      </c>
      <c r="F986" t="s">
        <v>18511</v>
      </c>
      <c r="G986" t="s">
        <v>74</v>
      </c>
      <c r="H986" t="s">
        <v>74</v>
      </c>
      <c r="I986" t="s">
        <v>18512</v>
      </c>
      <c r="J986" t="s">
        <v>3384</v>
      </c>
      <c r="K986" t="s">
        <v>74</v>
      </c>
      <c r="L986" t="s">
        <v>74</v>
      </c>
      <c r="M986" t="s">
        <v>78</v>
      </c>
      <c r="N986" t="s">
        <v>79</v>
      </c>
      <c r="O986" t="s">
        <v>74</v>
      </c>
      <c r="P986" t="s">
        <v>74</v>
      </c>
      <c r="Q986" t="s">
        <v>74</v>
      </c>
      <c r="R986" t="s">
        <v>74</v>
      </c>
      <c r="S986" t="s">
        <v>74</v>
      </c>
      <c r="T986" t="s">
        <v>74</v>
      </c>
      <c r="U986" t="s">
        <v>18513</v>
      </c>
      <c r="V986" t="s">
        <v>18514</v>
      </c>
      <c r="W986" t="s">
        <v>18515</v>
      </c>
      <c r="X986" t="s">
        <v>18516</v>
      </c>
      <c r="Y986" t="s">
        <v>18517</v>
      </c>
      <c r="Z986" t="s">
        <v>18518</v>
      </c>
      <c r="AA986" t="s">
        <v>18519</v>
      </c>
      <c r="AB986" t="s">
        <v>18520</v>
      </c>
      <c r="AC986" t="s">
        <v>18521</v>
      </c>
      <c r="AD986" t="s">
        <v>18522</v>
      </c>
      <c r="AE986" t="s">
        <v>18523</v>
      </c>
      <c r="AF986" t="s">
        <v>74</v>
      </c>
      <c r="AG986">
        <v>66</v>
      </c>
      <c r="AH986">
        <v>0</v>
      </c>
      <c r="AI986">
        <v>0</v>
      </c>
      <c r="AJ986">
        <v>1</v>
      </c>
      <c r="AK986">
        <v>7</v>
      </c>
      <c r="AL986" t="s">
        <v>3057</v>
      </c>
      <c r="AM986" t="s">
        <v>3058</v>
      </c>
      <c r="AN986" t="s">
        <v>3059</v>
      </c>
      <c r="AO986" t="s">
        <v>74</v>
      </c>
      <c r="AP986" t="s">
        <v>3396</v>
      </c>
      <c r="AQ986" t="s">
        <v>74</v>
      </c>
      <c r="AR986" t="s">
        <v>3397</v>
      </c>
      <c r="AS986" t="s">
        <v>3398</v>
      </c>
      <c r="AT986" t="s">
        <v>18470</v>
      </c>
      <c r="AU986">
        <v>2023</v>
      </c>
      <c r="AV986">
        <v>14</v>
      </c>
      <c r="AW986">
        <v>1</v>
      </c>
      <c r="AX986" t="s">
        <v>74</v>
      </c>
      <c r="AY986" t="s">
        <v>74</v>
      </c>
      <c r="AZ986" t="s">
        <v>74</v>
      </c>
      <c r="BA986" t="s">
        <v>74</v>
      </c>
      <c r="BB986" t="s">
        <v>74</v>
      </c>
      <c r="BC986" t="s">
        <v>74</v>
      </c>
      <c r="BD986">
        <v>5432</v>
      </c>
      <c r="BE986" t="s">
        <v>18524</v>
      </c>
      <c r="BF986" t="str">
        <f>HYPERLINK("http://dx.doi.org/10.1038/s41467-023-40951-1","http://dx.doi.org/10.1038/s41467-023-40951-1")</f>
        <v>http://dx.doi.org/10.1038/s41467-023-40951-1</v>
      </c>
      <c r="BG986" t="s">
        <v>74</v>
      </c>
      <c r="BH986" t="s">
        <v>74</v>
      </c>
      <c r="BI986">
        <v>8</v>
      </c>
      <c r="BJ986" t="s">
        <v>1035</v>
      </c>
      <c r="BK986" t="s">
        <v>100</v>
      </c>
      <c r="BL986" t="s">
        <v>1036</v>
      </c>
      <c r="BM986" t="s">
        <v>18525</v>
      </c>
      <c r="BN986">
        <v>37669925</v>
      </c>
      <c r="BO986" t="s">
        <v>200</v>
      </c>
      <c r="BP986" t="s">
        <v>74</v>
      </c>
      <c r="BQ986" t="s">
        <v>74</v>
      </c>
      <c r="BR986" t="s">
        <v>104</v>
      </c>
      <c r="BS986" t="s">
        <v>18526</v>
      </c>
      <c r="BT986" t="str">
        <f>HYPERLINK("https%3A%2F%2Fwww.webofscience.com%2Fwos%2Fwoscc%2Ffull-record%2FWOS:001063751200006","View Full Record in Web of Science")</f>
        <v>View Full Record in Web of Science</v>
      </c>
    </row>
    <row r="987" spans="1:72" x14ac:dyDescent="0.15">
      <c r="A987" t="s">
        <v>72</v>
      </c>
      <c r="B987" t="s">
        <v>18527</v>
      </c>
      <c r="C987" t="s">
        <v>74</v>
      </c>
      <c r="D987" t="s">
        <v>74</v>
      </c>
      <c r="E987" t="s">
        <v>74</v>
      </c>
      <c r="F987" t="s">
        <v>18528</v>
      </c>
      <c r="G987" t="s">
        <v>74</v>
      </c>
      <c r="H987" t="s">
        <v>74</v>
      </c>
      <c r="I987" t="s">
        <v>18529</v>
      </c>
      <c r="J987" t="s">
        <v>18530</v>
      </c>
      <c r="K987" t="s">
        <v>74</v>
      </c>
      <c r="L987" t="s">
        <v>74</v>
      </c>
      <c r="M987" t="s">
        <v>78</v>
      </c>
      <c r="N987" t="s">
        <v>79</v>
      </c>
      <c r="O987" t="s">
        <v>74</v>
      </c>
      <c r="P987" t="s">
        <v>74</v>
      </c>
      <c r="Q987" t="s">
        <v>74</v>
      </c>
      <c r="R987" t="s">
        <v>74</v>
      </c>
      <c r="S987" t="s">
        <v>74</v>
      </c>
      <c r="T987" t="s">
        <v>74</v>
      </c>
      <c r="U987" t="s">
        <v>18531</v>
      </c>
      <c r="V987" t="s">
        <v>18532</v>
      </c>
      <c r="W987" t="s">
        <v>18533</v>
      </c>
      <c r="X987" t="s">
        <v>18534</v>
      </c>
      <c r="Y987" t="s">
        <v>18535</v>
      </c>
      <c r="Z987" t="s">
        <v>18536</v>
      </c>
      <c r="AA987" t="s">
        <v>18537</v>
      </c>
      <c r="AB987" t="s">
        <v>18538</v>
      </c>
      <c r="AC987" t="s">
        <v>18539</v>
      </c>
      <c r="AD987" t="s">
        <v>18540</v>
      </c>
      <c r="AE987" t="s">
        <v>18541</v>
      </c>
      <c r="AF987" t="s">
        <v>74</v>
      </c>
      <c r="AG987">
        <v>74</v>
      </c>
      <c r="AH987">
        <v>0</v>
      </c>
      <c r="AI987">
        <v>0</v>
      </c>
      <c r="AJ987">
        <v>13</v>
      </c>
      <c r="AK987">
        <v>23</v>
      </c>
      <c r="AL987" t="s">
        <v>9537</v>
      </c>
      <c r="AM987" t="s">
        <v>2294</v>
      </c>
      <c r="AN987" t="s">
        <v>9538</v>
      </c>
      <c r="AO987" t="s">
        <v>18542</v>
      </c>
      <c r="AP987" t="s">
        <v>74</v>
      </c>
      <c r="AQ987" t="s">
        <v>74</v>
      </c>
      <c r="AR987" t="s">
        <v>18530</v>
      </c>
      <c r="AS987" t="s">
        <v>18543</v>
      </c>
      <c r="AT987" t="s">
        <v>18470</v>
      </c>
      <c r="AU987">
        <v>2023</v>
      </c>
      <c r="AV987">
        <v>11</v>
      </c>
      <c r="AW987">
        <v>1</v>
      </c>
      <c r="AX987" t="s">
        <v>74</v>
      </c>
      <c r="AY987" t="s">
        <v>74</v>
      </c>
      <c r="AZ987" t="s">
        <v>74</v>
      </c>
      <c r="BA987" t="s">
        <v>74</v>
      </c>
      <c r="BB987" t="s">
        <v>74</v>
      </c>
      <c r="BC987" t="s">
        <v>74</v>
      </c>
      <c r="BD987">
        <v>200</v>
      </c>
      <c r="BE987" t="s">
        <v>18544</v>
      </c>
      <c r="BF987" t="str">
        <f>HYPERLINK("http://dx.doi.org/10.1186/s40168-023-01643-6","http://dx.doi.org/10.1186/s40168-023-01643-6")</f>
        <v>http://dx.doi.org/10.1186/s40168-023-01643-6</v>
      </c>
      <c r="BG987" t="s">
        <v>74</v>
      </c>
      <c r="BH987" t="s">
        <v>74</v>
      </c>
      <c r="BI987">
        <v>19</v>
      </c>
      <c r="BJ987" t="s">
        <v>1084</v>
      </c>
      <c r="BK987" t="s">
        <v>100</v>
      </c>
      <c r="BL987" t="s">
        <v>1084</v>
      </c>
      <c r="BM987" t="s">
        <v>18545</v>
      </c>
      <c r="BN987">
        <v>37667346</v>
      </c>
      <c r="BO987" t="s">
        <v>9546</v>
      </c>
      <c r="BP987" t="s">
        <v>74</v>
      </c>
      <c r="BQ987" t="s">
        <v>74</v>
      </c>
      <c r="BR987" t="s">
        <v>104</v>
      </c>
      <c r="BS987" t="s">
        <v>18546</v>
      </c>
      <c r="BT987" t="str">
        <f>HYPERLINK("https%3A%2F%2Fwww.webofscience.com%2Fwos%2Fwoscc%2Ffull-record%2FWOS:001059711100001","View Full Record in Web of Science")</f>
        <v>View Full Record in Web of Science</v>
      </c>
    </row>
    <row r="988" spans="1:72" x14ac:dyDescent="0.15">
      <c r="A988" t="s">
        <v>72</v>
      </c>
      <c r="B988" t="s">
        <v>18547</v>
      </c>
      <c r="C988" t="s">
        <v>74</v>
      </c>
      <c r="D988" t="s">
        <v>74</v>
      </c>
      <c r="E988" t="s">
        <v>74</v>
      </c>
      <c r="F988" t="s">
        <v>18548</v>
      </c>
      <c r="G988" t="s">
        <v>74</v>
      </c>
      <c r="H988" t="s">
        <v>74</v>
      </c>
      <c r="I988" t="s">
        <v>18549</v>
      </c>
      <c r="J988" t="s">
        <v>2915</v>
      </c>
      <c r="K988" t="s">
        <v>74</v>
      </c>
      <c r="L988" t="s">
        <v>74</v>
      </c>
      <c r="M988" t="s">
        <v>78</v>
      </c>
      <c r="N988" t="s">
        <v>1547</v>
      </c>
      <c r="O988" t="s">
        <v>74</v>
      </c>
      <c r="P988" t="s">
        <v>74</v>
      </c>
      <c r="Q988" t="s">
        <v>74</v>
      </c>
      <c r="R988" t="s">
        <v>74</v>
      </c>
      <c r="S988" t="s">
        <v>74</v>
      </c>
      <c r="T988" t="s">
        <v>18550</v>
      </c>
      <c r="U988" t="s">
        <v>18551</v>
      </c>
      <c r="V988" t="s">
        <v>18552</v>
      </c>
      <c r="W988" t="s">
        <v>18553</v>
      </c>
      <c r="X988" t="s">
        <v>2150</v>
      </c>
      <c r="Y988" t="s">
        <v>18554</v>
      </c>
      <c r="Z988" t="s">
        <v>15366</v>
      </c>
      <c r="AA988" t="s">
        <v>18555</v>
      </c>
      <c r="AB988" t="s">
        <v>18556</v>
      </c>
      <c r="AC988" t="s">
        <v>18557</v>
      </c>
      <c r="AD988" t="s">
        <v>1450</v>
      </c>
      <c r="AE988" t="s">
        <v>18558</v>
      </c>
      <c r="AF988" t="s">
        <v>74</v>
      </c>
      <c r="AG988">
        <v>42</v>
      </c>
      <c r="AH988">
        <v>0</v>
      </c>
      <c r="AI988">
        <v>0</v>
      </c>
      <c r="AJ988">
        <v>2</v>
      </c>
      <c r="AK988">
        <v>2</v>
      </c>
      <c r="AL988" t="s">
        <v>1782</v>
      </c>
      <c r="AM988" t="s">
        <v>1783</v>
      </c>
      <c r="AN988" t="s">
        <v>1784</v>
      </c>
      <c r="AO988" t="s">
        <v>2928</v>
      </c>
      <c r="AP988" t="s">
        <v>2929</v>
      </c>
      <c r="AQ988" t="s">
        <v>74</v>
      </c>
      <c r="AR988" t="s">
        <v>2930</v>
      </c>
      <c r="AS988" t="s">
        <v>2931</v>
      </c>
      <c r="AT988" t="s">
        <v>18559</v>
      </c>
      <c r="AU988">
        <v>2023</v>
      </c>
      <c r="AV988" t="s">
        <v>74</v>
      </c>
      <c r="AW988" t="s">
        <v>74</v>
      </c>
      <c r="AX988" t="s">
        <v>74</v>
      </c>
      <c r="AY988" t="s">
        <v>74</v>
      </c>
      <c r="AZ988" t="s">
        <v>74</v>
      </c>
      <c r="BA988" t="s">
        <v>74</v>
      </c>
      <c r="BB988" t="s">
        <v>74</v>
      </c>
      <c r="BC988" t="s">
        <v>74</v>
      </c>
      <c r="BD988" t="s">
        <v>74</v>
      </c>
      <c r="BE988" t="s">
        <v>18560</v>
      </c>
      <c r="BF988" t="str">
        <f>HYPERLINK("http://dx.doi.org/10.1017/jog.2023.53","http://dx.doi.org/10.1017/jog.2023.53")</f>
        <v>http://dx.doi.org/10.1017/jog.2023.53</v>
      </c>
      <c r="BG988" t="s">
        <v>74</v>
      </c>
      <c r="BH988" t="s">
        <v>15880</v>
      </c>
      <c r="BI988">
        <v>13</v>
      </c>
      <c r="BJ988" t="s">
        <v>984</v>
      </c>
      <c r="BK988" t="s">
        <v>100</v>
      </c>
      <c r="BL988" t="s">
        <v>985</v>
      </c>
      <c r="BM988" t="s">
        <v>18561</v>
      </c>
      <c r="BN988" t="s">
        <v>74</v>
      </c>
      <c r="BO988" t="s">
        <v>131</v>
      </c>
      <c r="BP988" t="s">
        <v>74</v>
      </c>
      <c r="BQ988" t="s">
        <v>74</v>
      </c>
      <c r="BR988" t="s">
        <v>104</v>
      </c>
      <c r="BS988" t="s">
        <v>18562</v>
      </c>
      <c r="BT988" t="str">
        <f>HYPERLINK("https%3A%2F%2Fwww.webofscience.com%2Fwos%2Fwoscc%2Ffull-record%2FWOS:001092679400001","View Full Record in Web of Science")</f>
        <v>View Full Record in Web of Science</v>
      </c>
    </row>
    <row r="989" spans="1:72" x14ac:dyDescent="0.15">
      <c r="A989" t="s">
        <v>72</v>
      </c>
      <c r="B989" t="s">
        <v>18563</v>
      </c>
      <c r="C989" t="s">
        <v>74</v>
      </c>
      <c r="D989" t="s">
        <v>74</v>
      </c>
      <c r="E989" t="s">
        <v>74</v>
      </c>
      <c r="F989" t="s">
        <v>18564</v>
      </c>
      <c r="G989" t="s">
        <v>74</v>
      </c>
      <c r="H989" t="s">
        <v>74</v>
      </c>
      <c r="I989" t="s">
        <v>18565</v>
      </c>
      <c r="J989" t="s">
        <v>4870</v>
      </c>
      <c r="K989" t="s">
        <v>74</v>
      </c>
      <c r="L989" t="s">
        <v>74</v>
      </c>
      <c r="M989" t="s">
        <v>78</v>
      </c>
      <c r="N989" t="s">
        <v>79</v>
      </c>
      <c r="O989" t="s">
        <v>74</v>
      </c>
      <c r="P989" t="s">
        <v>74</v>
      </c>
      <c r="Q989" t="s">
        <v>74</v>
      </c>
      <c r="R989" t="s">
        <v>74</v>
      </c>
      <c r="S989" t="s">
        <v>74</v>
      </c>
      <c r="T989" t="s">
        <v>74</v>
      </c>
      <c r="U989" t="s">
        <v>18566</v>
      </c>
      <c r="V989" t="s">
        <v>18567</v>
      </c>
      <c r="W989" t="s">
        <v>18568</v>
      </c>
      <c r="X989" t="s">
        <v>18569</v>
      </c>
      <c r="Y989" t="s">
        <v>18570</v>
      </c>
      <c r="Z989" t="s">
        <v>74</v>
      </c>
      <c r="AA989" t="s">
        <v>18571</v>
      </c>
      <c r="AB989" t="s">
        <v>18572</v>
      </c>
      <c r="AC989" t="s">
        <v>18573</v>
      </c>
      <c r="AD989" t="s">
        <v>18574</v>
      </c>
      <c r="AE989" t="s">
        <v>18575</v>
      </c>
      <c r="AF989" t="s">
        <v>74</v>
      </c>
      <c r="AG989">
        <v>77</v>
      </c>
      <c r="AH989">
        <v>3</v>
      </c>
      <c r="AI989">
        <v>4</v>
      </c>
      <c r="AJ989">
        <v>28</v>
      </c>
      <c r="AK989">
        <v>30</v>
      </c>
      <c r="AL989" t="s">
        <v>3057</v>
      </c>
      <c r="AM989" t="s">
        <v>3058</v>
      </c>
      <c r="AN989" t="s">
        <v>3059</v>
      </c>
      <c r="AO989" t="s">
        <v>4881</v>
      </c>
      <c r="AP989" t="s">
        <v>4882</v>
      </c>
      <c r="AQ989" t="s">
        <v>74</v>
      </c>
      <c r="AR989" t="s">
        <v>4883</v>
      </c>
      <c r="AS989" t="s">
        <v>4884</v>
      </c>
      <c r="AT989" t="s">
        <v>18576</v>
      </c>
      <c r="AU989">
        <v>2023</v>
      </c>
      <c r="AV989">
        <v>16</v>
      </c>
      <c r="AW989">
        <v>9</v>
      </c>
      <c r="AX989" t="s">
        <v>74</v>
      </c>
      <c r="AY989" t="s">
        <v>74</v>
      </c>
      <c r="AZ989" t="s">
        <v>74</v>
      </c>
      <c r="BA989" t="s">
        <v>74</v>
      </c>
      <c r="BB989">
        <v>768</v>
      </c>
      <c r="BC989" t="s">
        <v>4088</v>
      </c>
      <c r="BD989" t="s">
        <v>74</v>
      </c>
      <c r="BE989" t="s">
        <v>18577</v>
      </c>
      <c r="BF989" t="str">
        <f>HYPERLINK("http://dx.doi.org/10.1038/s41561-023-01254-8","http://dx.doi.org/10.1038/s41561-023-01254-8")</f>
        <v>http://dx.doi.org/10.1038/s41561-023-01254-8</v>
      </c>
      <c r="BG989" t="s">
        <v>74</v>
      </c>
      <c r="BH989" t="s">
        <v>15880</v>
      </c>
      <c r="BI989">
        <v>18</v>
      </c>
      <c r="BJ989" t="s">
        <v>535</v>
      </c>
      <c r="BK989" t="s">
        <v>100</v>
      </c>
      <c r="BL989" t="s">
        <v>536</v>
      </c>
      <c r="BM989" t="s">
        <v>18578</v>
      </c>
      <c r="BN989">
        <v>37692903</v>
      </c>
      <c r="BO989" t="s">
        <v>10419</v>
      </c>
      <c r="BP989" t="s">
        <v>74</v>
      </c>
      <c r="BQ989" t="s">
        <v>74</v>
      </c>
      <c r="BR989" t="s">
        <v>104</v>
      </c>
      <c r="BS989" t="s">
        <v>18579</v>
      </c>
      <c r="BT989" t="str">
        <f>HYPERLINK("https%3A%2F%2Fwww.webofscience.com%2Fwos%2Fwoscc%2Ffull-record%2FWOS:001059010600003","View Full Record in Web of Science")</f>
        <v>View Full Record in Web of Science</v>
      </c>
    </row>
    <row r="990" spans="1:72" x14ac:dyDescent="0.15">
      <c r="A990" t="s">
        <v>72</v>
      </c>
      <c r="B990" t="s">
        <v>18580</v>
      </c>
      <c r="C990" t="s">
        <v>74</v>
      </c>
      <c r="D990" t="s">
        <v>74</v>
      </c>
      <c r="E990" t="s">
        <v>74</v>
      </c>
      <c r="F990" t="s">
        <v>18581</v>
      </c>
      <c r="G990" t="s">
        <v>74</v>
      </c>
      <c r="H990" t="s">
        <v>74</v>
      </c>
      <c r="I990" t="s">
        <v>18582</v>
      </c>
      <c r="J990" t="s">
        <v>3384</v>
      </c>
      <c r="K990" t="s">
        <v>74</v>
      </c>
      <c r="L990" t="s">
        <v>74</v>
      </c>
      <c r="M990" t="s">
        <v>78</v>
      </c>
      <c r="N990" t="s">
        <v>79</v>
      </c>
      <c r="O990" t="s">
        <v>74</v>
      </c>
      <c r="P990" t="s">
        <v>74</v>
      </c>
      <c r="Q990" t="s">
        <v>74</v>
      </c>
      <c r="R990" t="s">
        <v>74</v>
      </c>
      <c r="S990" t="s">
        <v>74</v>
      </c>
      <c r="T990" t="s">
        <v>74</v>
      </c>
      <c r="U990" t="s">
        <v>18583</v>
      </c>
      <c r="V990" t="s">
        <v>18584</v>
      </c>
      <c r="W990" t="s">
        <v>18585</v>
      </c>
      <c r="X990" t="s">
        <v>18586</v>
      </c>
      <c r="Y990" t="s">
        <v>18587</v>
      </c>
      <c r="Z990" t="s">
        <v>18588</v>
      </c>
      <c r="AA990" t="s">
        <v>18589</v>
      </c>
      <c r="AB990" t="s">
        <v>18590</v>
      </c>
      <c r="AC990" t="s">
        <v>18591</v>
      </c>
      <c r="AD990" t="s">
        <v>18592</v>
      </c>
      <c r="AE990" t="s">
        <v>18593</v>
      </c>
      <c r="AF990" t="s">
        <v>74</v>
      </c>
      <c r="AG990">
        <v>75</v>
      </c>
      <c r="AH990">
        <v>3</v>
      </c>
      <c r="AI990">
        <v>3</v>
      </c>
      <c r="AJ990">
        <v>9</v>
      </c>
      <c r="AK990">
        <v>10</v>
      </c>
      <c r="AL990" t="s">
        <v>3057</v>
      </c>
      <c r="AM990" t="s">
        <v>3058</v>
      </c>
      <c r="AN990" t="s">
        <v>3059</v>
      </c>
      <c r="AO990" t="s">
        <v>74</v>
      </c>
      <c r="AP990" t="s">
        <v>3396</v>
      </c>
      <c r="AQ990" t="s">
        <v>74</v>
      </c>
      <c r="AR990" t="s">
        <v>3397</v>
      </c>
      <c r="AS990" t="s">
        <v>3398</v>
      </c>
      <c r="AT990" t="s">
        <v>18594</v>
      </c>
      <c r="AU990">
        <v>2023</v>
      </c>
      <c r="AV990">
        <v>14</v>
      </c>
      <c r="AW990">
        <v>1</v>
      </c>
      <c r="AX990" t="s">
        <v>74</v>
      </c>
      <c r="AY990" t="s">
        <v>74</v>
      </c>
      <c r="AZ990" t="s">
        <v>74</v>
      </c>
      <c r="BA990" t="s">
        <v>74</v>
      </c>
      <c r="BB990" t="s">
        <v>74</v>
      </c>
      <c r="BC990" t="s">
        <v>74</v>
      </c>
      <c r="BD990">
        <v>5368</v>
      </c>
      <c r="BE990" t="s">
        <v>18595</v>
      </c>
      <c r="BF990" t="str">
        <f>HYPERLINK("http://dx.doi.org/10.1038/s41467-023-41040-z","http://dx.doi.org/10.1038/s41467-023-41040-z")</f>
        <v>http://dx.doi.org/10.1038/s41467-023-41040-z</v>
      </c>
      <c r="BG990" t="s">
        <v>74</v>
      </c>
      <c r="BH990" t="s">
        <v>74</v>
      </c>
      <c r="BI990">
        <v>15</v>
      </c>
      <c r="BJ990" t="s">
        <v>1035</v>
      </c>
      <c r="BK990" t="s">
        <v>100</v>
      </c>
      <c r="BL990" t="s">
        <v>1036</v>
      </c>
      <c r="BM990" t="s">
        <v>18596</v>
      </c>
      <c r="BN990">
        <v>37666831</v>
      </c>
      <c r="BO990" t="s">
        <v>18597</v>
      </c>
      <c r="BP990" t="s">
        <v>74</v>
      </c>
      <c r="BQ990" t="s">
        <v>74</v>
      </c>
      <c r="BR990" t="s">
        <v>104</v>
      </c>
      <c r="BS990" t="s">
        <v>18598</v>
      </c>
      <c r="BT990" t="str">
        <f>HYPERLINK("https%3A%2F%2Fwww.webofscience.com%2Fwos%2Fwoscc%2Ffull-record%2FWOS:001072382600022","View Full Record in Web of Science")</f>
        <v>View Full Record in Web of Science</v>
      </c>
    </row>
    <row r="991" spans="1:72" x14ac:dyDescent="0.15">
      <c r="A991" t="s">
        <v>72</v>
      </c>
      <c r="B991" t="s">
        <v>18599</v>
      </c>
      <c r="C991" t="s">
        <v>74</v>
      </c>
      <c r="D991" t="s">
        <v>74</v>
      </c>
      <c r="E991" t="s">
        <v>74</v>
      </c>
      <c r="F991" t="s">
        <v>18600</v>
      </c>
      <c r="G991" t="s">
        <v>74</v>
      </c>
      <c r="H991" t="s">
        <v>74</v>
      </c>
      <c r="I991" t="s">
        <v>18601</v>
      </c>
      <c r="J991" t="s">
        <v>2624</v>
      </c>
      <c r="K991" t="s">
        <v>74</v>
      </c>
      <c r="L991" t="s">
        <v>74</v>
      </c>
      <c r="M991" t="s">
        <v>78</v>
      </c>
      <c r="N991" t="s">
        <v>79</v>
      </c>
      <c r="O991" t="s">
        <v>74</v>
      </c>
      <c r="P991" t="s">
        <v>74</v>
      </c>
      <c r="Q991" t="s">
        <v>74</v>
      </c>
      <c r="R991" t="s">
        <v>74</v>
      </c>
      <c r="S991" t="s">
        <v>74</v>
      </c>
      <c r="T991" t="s">
        <v>18602</v>
      </c>
      <c r="U991" t="s">
        <v>18603</v>
      </c>
      <c r="V991" t="s">
        <v>18604</v>
      </c>
      <c r="W991" t="s">
        <v>18605</v>
      </c>
      <c r="X991" t="s">
        <v>18606</v>
      </c>
      <c r="Y991" t="s">
        <v>18607</v>
      </c>
      <c r="Z991" t="s">
        <v>18608</v>
      </c>
      <c r="AA991" t="s">
        <v>74</v>
      </c>
      <c r="AB991" t="s">
        <v>74</v>
      </c>
      <c r="AC991" t="s">
        <v>18609</v>
      </c>
      <c r="AD991" t="s">
        <v>18610</v>
      </c>
      <c r="AE991" t="s">
        <v>18611</v>
      </c>
      <c r="AF991" t="s">
        <v>74</v>
      </c>
      <c r="AG991">
        <v>112</v>
      </c>
      <c r="AH991">
        <v>1</v>
      </c>
      <c r="AI991">
        <v>1</v>
      </c>
      <c r="AJ991">
        <v>4</v>
      </c>
      <c r="AK991">
        <v>4</v>
      </c>
      <c r="AL991" t="s">
        <v>947</v>
      </c>
      <c r="AM991" t="s">
        <v>948</v>
      </c>
      <c r="AN991" t="s">
        <v>949</v>
      </c>
      <c r="AO991" t="s">
        <v>2637</v>
      </c>
      <c r="AP991" t="s">
        <v>2638</v>
      </c>
      <c r="AQ991" t="s">
        <v>74</v>
      </c>
      <c r="AR991" t="s">
        <v>2624</v>
      </c>
      <c r="AS991" t="s">
        <v>2639</v>
      </c>
      <c r="AT991" t="s">
        <v>10516</v>
      </c>
      <c r="AU991">
        <v>2023</v>
      </c>
      <c r="AV991">
        <v>440</v>
      </c>
      <c r="AW991" t="s">
        <v>74</v>
      </c>
      <c r="AX991" t="s">
        <v>74</v>
      </c>
      <c r="AY991" t="s">
        <v>74</v>
      </c>
      <c r="AZ991" t="s">
        <v>74</v>
      </c>
      <c r="BA991" t="s">
        <v>74</v>
      </c>
      <c r="BB991" t="s">
        <v>74</v>
      </c>
      <c r="BC991" t="s">
        <v>74</v>
      </c>
      <c r="BD991">
        <v>108886</v>
      </c>
      <c r="BE991" t="s">
        <v>18612</v>
      </c>
      <c r="BF991" t="str">
        <f>HYPERLINK("http://dx.doi.org/10.1016/j.geomorph.2023.108886","http://dx.doi.org/10.1016/j.geomorph.2023.108886")</f>
        <v>http://dx.doi.org/10.1016/j.geomorph.2023.108886</v>
      </c>
      <c r="BG991" t="s">
        <v>74</v>
      </c>
      <c r="BH991" t="s">
        <v>15880</v>
      </c>
      <c r="BI991">
        <v>18</v>
      </c>
      <c r="BJ991" t="s">
        <v>984</v>
      </c>
      <c r="BK991" t="s">
        <v>100</v>
      </c>
      <c r="BL991" t="s">
        <v>985</v>
      </c>
      <c r="BM991" t="s">
        <v>18613</v>
      </c>
      <c r="BN991" t="s">
        <v>74</v>
      </c>
      <c r="BO991" t="s">
        <v>74</v>
      </c>
      <c r="BP991" t="s">
        <v>74</v>
      </c>
      <c r="BQ991" t="s">
        <v>74</v>
      </c>
      <c r="BR991" t="s">
        <v>104</v>
      </c>
      <c r="BS991" t="s">
        <v>18614</v>
      </c>
      <c r="BT991" t="str">
        <f>HYPERLINK("https%3A%2F%2Fwww.webofscience.com%2Fwos%2Fwoscc%2Ffull-record%2FWOS:001078483600001","View Full Record in Web of Science")</f>
        <v>View Full Record in Web of Science</v>
      </c>
    </row>
    <row r="992" spans="1:72" x14ac:dyDescent="0.15">
      <c r="A992" t="s">
        <v>72</v>
      </c>
      <c r="B992" t="s">
        <v>18615</v>
      </c>
      <c r="C992" t="s">
        <v>74</v>
      </c>
      <c r="D992" t="s">
        <v>74</v>
      </c>
      <c r="E992" t="s">
        <v>74</v>
      </c>
      <c r="F992" t="s">
        <v>18616</v>
      </c>
      <c r="G992" t="s">
        <v>74</v>
      </c>
      <c r="H992" t="s">
        <v>74</v>
      </c>
      <c r="I992" t="s">
        <v>18617</v>
      </c>
      <c r="J992" t="s">
        <v>3989</v>
      </c>
      <c r="K992" t="s">
        <v>74</v>
      </c>
      <c r="L992" t="s">
        <v>74</v>
      </c>
      <c r="M992" t="s">
        <v>78</v>
      </c>
      <c r="N992" t="s">
        <v>79</v>
      </c>
      <c r="O992" t="s">
        <v>74</v>
      </c>
      <c r="P992" t="s">
        <v>74</v>
      </c>
      <c r="Q992" t="s">
        <v>74</v>
      </c>
      <c r="R992" t="s">
        <v>74</v>
      </c>
      <c r="S992" t="s">
        <v>74</v>
      </c>
      <c r="T992" t="s">
        <v>18618</v>
      </c>
      <c r="U992" t="s">
        <v>18619</v>
      </c>
      <c r="V992" t="s">
        <v>18620</v>
      </c>
      <c r="W992" t="s">
        <v>18621</v>
      </c>
      <c r="X992" t="s">
        <v>18622</v>
      </c>
      <c r="Y992" t="s">
        <v>18623</v>
      </c>
      <c r="Z992" t="s">
        <v>18624</v>
      </c>
      <c r="AA992" t="s">
        <v>74</v>
      </c>
      <c r="AB992" t="s">
        <v>18625</v>
      </c>
      <c r="AC992" t="s">
        <v>18626</v>
      </c>
      <c r="AD992" t="s">
        <v>18626</v>
      </c>
      <c r="AE992" t="s">
        <v>18626</v>
      </c>
      <c r="AF992" t="s">
        <v>74</v>
      </c>
      <c r="AG992">
        <v>112</v>
      </c>
      <c r="AH992">
        <v>3</v>
      </c>
      <c r="AI992">
        <v>3</v>
      </c>
      <c r="AJ992">
        <v>12</v>
      </c>
      <c r="AK992">
        <v>13</v>
      </c>
      <c r="AL992" t="s">
        <v>1560</v>
      </c>
      <c r="AM992" t="s">
        <v>976</v>
      </c>
      <c r="AN992" t="s">
        <v>1561</v>
      </c>
      <c r="AO992" t="s">
        <v>4000</v>
      </c>
      <c r="AP992" t="s">
        <v>4001</v>
      </c>
      <c r="AQ992" t="s">
        <v>74</v>
      </c>
      <c r="AR992" t="s">
        <v>4002</v>
      </c>
      <c r="AS992" t="s">
        <v>4003</v>
      </c>
      <c r="AT992" t="s">
        <v>4004</v>
      </c>
      <c r="AU992">
        <v>2024</v>
      </c>
      <c r="AV992">
        <v>133</v>
      </c>
      <c r="AW992">
        <v>1</v>
      </c>
      <c r="AX992" t="s">
        <v>74</v>
      </c>
      <c r="AY992" t="s">
        <v>74</v>
      </c>
      <c r="AZ992" t="s">
        <v>4005</v>
      </c>
      <c r="BA992" t="s">
        <v>74</v>
      </c>
      <c r="BB992">
        <v>153</v>
      </c>
      <c r="BC992">
        <v>168</v>
      </c>
      <c r="BD992" t="s">
        <v>74</v>
      </c>
      <c r="BE992" t="s">
        <v>18627</v>
      </c>
      <c r="BF992" t="str">
        <f>HYPERLINK("http://dx.doi.org/10.1093/aob/mcad132","http://dx.doi.org/10.1093/aob/mcad132")</f>
        <v>http://dx.doi.org/10.1093/aob/mcad132</v>
      </c>
      <c r="BG992" t="s">
        <v>74</v>
      </c>
      <c r="BH992" t="s">
        <v>15880</v>
      </c>
      <c r="BI992">
        <v>16</v>
      </c>
      <c r="BJ992" t="s">
        <v>1887</v>
      </c>
      <c r="BK992" t="s">
        <v>100</v>
      </c>
      <c r="BL992" t="s">
        <v>1887</v>
      </c>
      <c r="BM992" t="s">
        <v>4007</v>
      </c>
      <c r="BN992">
        <v>37665952</v>
      </c>
      <c r="BO992" t="s">
        <v>103</v>
      </c>
      <c r="BP992" t="s">
        <v>74</v>
      </c>
      <c r="BQ992" t="s">
        <v>74</v>
      </c>
      <c r="BR992" t="s">
        <v>104</v>
      </c>
      <c r="BS992" t="s">
        <v>18628</v>
      </c>
      <c r="BT992" t="str">
        <f>HYPERLINK("https%3A%2F%2Fwww.webofscience.com%2Fwos%2Fwoscc%2Ffull-record%2FWOS:001071421000001","View Full Record in Web of Science")</f>
        <v>View Full Record in Web of Science</v>
      </c>
    </row>
    <row r="993" spans="1:72" x14ac:dyDescent="0.15">
      <c r="A993" t="s">
        <v>72</v>
      </c>
      <c r="B993" t="s">
        <v>18629</v>
      </c>
      <c r="C993" t="s">
        <v>74</v>
      </c>
      <c r="D993" t="s">
        <v>74</v>
      </c>
      <c r="E993" t="s">
        <v>74</v>
      </c>
      <c r="F993" t="s">
        <v>18630</v>
      </c>
      <c r="G993" t="s">
        <v>74</v>
      </c>
      <c r="H993" t="s">
        <v>18631</v>
      </c>
      <c r="I993" t="s">
        <v>18632</v>
      </c>
      <c r="J993" t="s">
        <v>18633</v>
      </c>
      <c r="K993" t="s">
        <v>74</v>
      </c>
      <c r="L993" t="s">
        <v>74</v>
      </c>
      <c r="M993" t="s">
        <v>78</v>
      </c>
      <c r="N993" t="s">
        <v>79</v>
      </c>
      <c r="O993" t="s">
        <v>74</v>
      </c>
      <c r="P993" t="s">
        <v>74</v>
      </c>
      <c r="Q993" t="s">
        <v>74</v>
      </c>
      <c r="R993" t="s">
        <v>74</v>
      </c>
      <c r="S993" t="s">
        <v>74</v>
      </c>
      <c r="T993" t="s">
        <v>74</v>
      </c>
      <c r="U993" t="s">
        <v>18634</v>
      </c>
      <c r="V993" t="s">
        <v>18635</v>
      </c>
      <c r="W993" t="s">
        <v>18636</v>
      </c>
      <c r="X993" t="s">
        <v>18637</v>
      </c>
      <c r="Y993" t="s">
        <v>18638</v>
      </c>
      <c r="Z993" t="s">
        <v>18639</v>
      </c>
      <c r="AA993" t="s">
        <v>18640</v>
      </c>
      <c r="AB993" t="s">
        <v>18641</v>
      </c>
      <c r="AC993" t="s">
        <v>18642</v>
      </c>
      <c r="AD993" t="s">
        <v>18643</v>
      </c>
      <c r="AE993" t="s">
        <v>18644</v>
      </c>
      <c r="AF993" t="s">
        <v>74</v>
      </c>
      <c r="AG993">
        <v>107</v>
      </c>
      <c r="AH993">
        <v>0</v>
      </c>
      <c r="AI993">
        <v>0</v>
      </c>
      <c r="AJ993">
        <v>3</v>
      </c>
      <c r="AK993">
        <v>3</v>
      </c>
      <c r="AL993" t="s">
        <v>1101</v>
      </c>
      <c r="AM993" t="s">
        <v>1102</v>
      </c>
      <c r="AN993" t="s">
        <v>1103</v>
      </c>
      <c r="AO993" t="s">
        <v>18645</v>
      </c>
      <c r="AP993" t="s">
        <v>18646</v>
      </c>
      <c r="AQ993" t="s">
        <v>74</v>
      </c>
      <c r="AR993" t="s">
        <v>18633</v>
      </c>
      <c r="AS993" t="s">
        <v>18647</v>
      </c>
      <c r="AT993" t="s">
        <v>954</v>
      </c>
      <c r="AU993">
        <v>2024</v>
      </c>
      <c r="AV993">
        <v>53</v>
      </c>
      <c r="AW993">
        <v>1</v>
      </c>
      <c r="AX993" t="s">
        <v>74</v>
      </c>
      <c r="AY993" t="s">
        <v>74</v>
      </c>
      <c r="AZ993" t="s">
        <v>74</v>
      </c>
      <c r="BA993" t="s">
        <v>74</v>
      </c>
      <c r="BB993">
        <v>71</v>
      </c>
      <c r="BC993">
        <v>87</v>
      </c>
      <c r="BD993" t="s">
        <v>74</v>
      </c>
      <c r="BE993" t="s">
        <v>18648</v>
      </c>
      <c r="BF993" t="str">
        <f>HYPERLINK("http://dx.doi.org/10.1111/bor.12633","http://dx.doi.org/10.1111/bor.12633")</f>
        <v>http://dx.doi.org/10.1111/bor.12633</v>
      </c>
      <c r="BG993" t="s">
        <v>74</v>
      </c>
      <c r="BH993" t="s">
        <v>15880</v>
      </c>
      <c r="BI993">
        <v>17</v>
      </c>
      <c r="BJ993" t="s">
        <v>984</v>
      </c>
      <c r="BK993" t="s">
        <v>100</v>
      </c>
      <c r="BL993" t="s">
        <v>985</v>
      </c>
      <c r="BM993" t="s">
        <v>18649</v>
      </c>
      <c r="BN993" t="s">
        <v>74</v>
      </c>
      <c r="BO993" t="s">
        <v>103</v>
      </c>
      <c r="BP993" t="s">
        <v>74</v>
      </c>
      <c r="BQ993" t="s">
        <v>74</v>
      </c>
      <c r="BR993" t="s">
        <v>104</v>
      </c>
      <c r="BS993" t="s">
        <v>18650</v>
      </c>
      <c r="BT993" t="str">
        <f>HYPERLINK("https%3A%2F%2Fwww.webofscience.com%2Fwos%2Fwoscc%2Ffull-record%2FWOS:001061818600001","View Full Record in Web of Science")</f>
        <v>View Full Record in Web of Science</v>
      </c>
    </row>
    <row r="994" spans="1:72" x14ac:dyDescent="0.15">
      <c r="A994" t="s">
        <v>72</v>
      </c>
      <c r="B994" t="s">
        <v>18651</v>
      </c>
      <c r="C994" t="s">
        <v>74</v>
      </c>
      <c r="D994" t="s">
        <v>74</v>
      </c>
      <c r="E994" t="s">
        <v>74</v>
      </c>
      <c r="F994" t="s">
        <v>18652</v>
      </c>
      <c r="G994" t="s">
        <v>74</v>
      </c>
      <c r="H994" t="s">
        <v>74</v>
      </c>
      <c r="I994" t="s">
        <v>18653</v>
      </c>
      <c r="J994" t="s">
        <v>18654</v>
      </c>
      <c r="K994" t="s">
        <v>74</v>
      </c>
      <c r="L994" t="s">
        <v>74</v>
      </c>
      <c r="M994" t="s">
        <v>78</v>
      </c>
      <c r="N994" t="s">
        <v>79</v>
      </c>
      <c r="O994" t="s">
        <v>74</v>
      </c>
      <c r="P994" t="s">
        <v>74</v>
      </c>
      <c r="Q994" t="s">
        <v>74</v>
      </c>
      <c r="R994" t="s">
        <v>74</v>
      </c>
      <c r="S994" t="s">
        <v>74</v>
      </c>
      <c r="T994" t="s">
        <v>18655</v>
      </c>
      <c r="U994" t="s">
        <v>18656</v>
      </c>
      <c r="V994" t="s">
        <v>18657</v>
      </c>
      <c r="W994" t="s">
        <v>18658</v>
      </c>
      <c r="X994" t="s">
        <v>18659</v>
      </c>
      <c r="Y994" t="s">
        <v>18660</v>
      </c>
      <c r="Z994" t="s">
        <v>7428</v>
      </c>
      <c r="AA994" t="s">
        <v>18661</v>
      </c>
      <c r="AB994" t="s">
        <v>18662</v>
      </c>
      <c r="AC994" t="s">
        <v>18663</v>
      </c>
      <c r="AD994" t="s">
        <v>18664</v>
      </c>
      <c r="AE994" t="s">
        <v>18665</v>
      </c>
      <c r="AF994" t="s">
        <v>74</v>
      </c>
      <c r="AG994">
        <v>69</v>
      </c>
      <c r="AH994">
        <v>2</v>
      </c>
      <c r="AI994">
        <v>2</v>
      </c>
      <c r="AJ994">
        <v>9</v>
      </c>
      <c r="AK994">
        <v>10</v>
      </c>
      <c r="AL994" t="s">
        <v>1101</v>
      </c>
      <c r="AM994" t="s">
        <v>1102</v>
      </c>
      <c r="AN994" t="s">
        <v>1103</v>
      </c>
      <c r="AO994" t="s">
        <v>74</v>
      </c>
      <c r="AP994" t="s">
        <v>18666</v>
      </c>
      <c r="AQ994" t="s">
        <v>74</v>
      </c>
      <c r="AR994" t="s">
        <v>18654</v>
      </c>
      <c r="AS994" t="s">
        <v>18667</v>
      </c>
      <c r="AT994" t="s">
        <v>954</v>
      </c>
      <c r="AU994">
        <v>2024</v>
      </c>
      <c r="AV994">
        <v>6</v>
      </c>
      <c r="AW994">
        <v>1</v>
      </c>
      <c r="AX994" t="s">
        <v>74</v>
      </c>
      <c r="AY994" t="s">
        <v>74</v>
      </c>
      <c r="AZ994" t="s">
        <v>74</v>
      </c>
      <c r="BA994" t="s">
        <v>74</v>
      </c>
      <c r="BB994">
        <v>148</v>
      </c>
      <c r="BC994">
        <v>161</v>
      </c>
      <c r="BD994" t="s">
        <v>74</v>
      </c>
      <c r="BE994" t="s">
        <v>18668</v>
      </c>
      <c r="BF994" t="str">
        <f>HYPERLINK("http://dx.doi.org/10.1002/ppp3.10415","http://dx.doi.org/10.1002/ppp3.10415")</f>
        <v>http://dx.doi.org/10.1002/ppp3.10415</v>
      </c>
      <c r="BG994" t="s">
        <v>74</v>
      </c>
      <c r="BH994" t="s">
        <v>15880</v>
      </c>
      <c r="BI994">
        <v>14</v>
      </c>
      <c r="BJ994" t="s">
        <v>18669</v>
      </c>
      <c r="BK994" t="s">
        <v>100</v>
      </c>
      <c r="BL994" t="s">
        <v>18670</v>
      </c>
      <c r="BM994" t="s">
        <v>18671</v>
      </c>
      <c r="BN994" t="s">
        <v>74</v>
      </c>
      <c r="BO994" t="s">
        <v>131</v>
      </c>
      <c r="BP994" t="s">
        <v>74</v>
      </c>
      <c r="BQ994" t="s">
        <v>74</v>
      </c>
      <c r="BR994" t="s">
        <v>104</v>
      </c>
      <c r="BS994" t="s">
        <v>18672</v>
      </c>
      <c r="BT994" t="str">
        <f>HYPERLINK("https%3A%2F%2Fwww.webofscience.com%2Fwos%2Fwoscc%2Ffull-record%2FWOS:001058229300001","View Full Record in Web of Science")</f>
        <v>View Full Record in Web of Science</v>
      </c>
    </row>
    <row r="995" spans="1:72" x14ac:dyDescent="0.15">
      <c r="A995" t="s">
        <v>72</v>
      </c>
      <c r="B995" t="s">
        <v>18673</v>
      </c>
      <c r="C995" t="s">
        <v>74</v>
      </c>
      <c r="D995" t="s">
        <v>74</v>
      </c>
      <c r="E995" t="s">
        <v>74</v>
      </c>
      <c r="F995" t="s">
        <v>18674</v>
      </c>
      <c r="G995" t="s">
        <v>74</v>
      </c>
      <c r="H995" t="s">
        <v>74</v>
      </c>
      <c r="I995" t="s">
        <v>18675</v>
      </c>
      <c r="J995" t="s">
        <v>991</v>
      </c>
      <c r="K995" t="s">
        <v>74</v>
      </c>
      <c r="L995" t="s">
        <v>74</v>
      </c>
      <c r="M995" t="s">
        <v>78</v>
      </c>
      <c r="N995" t="s">
        <v>79</v>
      </c>
      <c r="O995" t="s">
        <v>74</v>
      </c>
      <c r="P995" t="s">
        <v>74</v>
      </c>
      <c r="Q995" t="s">
        <v>74</v>
      </c>
      <c r="R995" t="s">
        <v>74</v>
      </c>
      <c r="S995" t="s">
        <v>74</v>
      </c>
      <c r="T995" t="s">
        <v>18676</v>
      </c>
      <c r="U995" t="s">
        <v>18677</v>
      </c>
      <c r="V995" t="s">
        <v>18678</v>
      </c>
      <c r="W995" t="s">
        <v>18679</v>
      </c>
      <c r="X995" t="s">
        <v>18680</v>
      </c>
      <c r="Y995" t="s">
        <v>18681</v>
      </c>
      <c r="Z995" t="s">
        <v>18682</v>
      </c>
      <c r="AA995" t="s">
        <v>74</v>
      </c>
      <c r="AB995" t="s">
        <v>18683</v>
      </c>
      <c r="AC995" t="s">
        <v>18684</v>
      </c>
      <c r="AD995" t="s">
        <v>18685</v>
      </c>
      <c r="AE995" t="s">
        <v>18686</v>
      </c>
      <c r="AF995" t="s">
        <v>74</v>
      </c>
      <c r="AG995">
        <v>141</v>
      </c>
      <c r="AH995">
        <v>0</v>
      </c>
      <c r="AI995">
        <v>0</v>
      </c>
      <c r="AJ995">
        <v>4</v>
      </c>
      <c r="AK995">
        <v>4</v>
      </c>
      <c r="AL995" t="s">
        <v>947</v>
      </c>
      <c r="AM995" t="s">
        <v>948</v>
      </c>
      <c r="AN995" t="s">
        <v>949</v>
      </c>
      <c r="AO995" t="s">
        <v>1004</v>
      </c>
      <c r="AP995" t="s">
        <v>1005</v>
      </c>
      <c r="AQ995" t="s">
        <v>74</v>
      </c>
      <c r="AR995" t="s">
        <v>1006</v>
      </c>
      <c r="AS995" t="s">
        <v>1007</v>
      </c>
      <c r="AT995" t="s">
        <v>17714</v>
      </c>
      <c r="AU995">
        <v>2023</v>
      </c>
      <c r="AV995">
        <v>903</v>
      </c>
      <c r="AW995" t="s">
        <v>74</v>
      </c>
      <c r="AX995" t="s">
        <v>74</v>
      </c>
      <c r="AY995" t="s">
        <v>74</v>
      </c>
      <c r="AZ995" t="s">
        <v>74</v>
      </c>
      <c r="BA995" t="s">
        <v>74</v>
      </c>
      <c r="BB995" t="s">
        <v>74</v>
      </c>
      <c r="BC995" t="s">
        <v>74</v>
      </c>
      <c r="BD995">
        <v>166577</v>
      </c>
      <c r="BE995" t="s">
        <v>18687</v>
      </c>
      <c r="BF995" t="str">
        <f>HYPERLINK("http://dx.doi.org/10.1016/j.scitotenv.2023.166577","http://dx.doi.org/10.1016/j.scitotenv.2023.166577")</f>
        <v>http://dx.doi.org/10.1016/j.scitotenv.2023.166577</v>
      </c>
      <c r="BG995" t="s">
        <v>74</v>
      </c>
      <c r="BH995" t="s">
        <v>15880</v>
      </c>
      <c r="BI995">
        <v>13</v>
      </c>
      <c r="BJ995" t="s">
        <v>1010</v>
      </c>
      <c r="BK995" t="s">
        <v>100</v>
      </c>
      <c r="BL995" t="s">
        <v>1011</v>
      </c>
      <c r="BM995" t="s">
        <v>18688</v>
      </c>
      <c r="BN995">
        <v>37633374</v>
      </c>
      <c r="BO995" t="s">
        <v>74</v>
      </c>
      <c r="BP995" t="s">
        <v>74</v>
      </c>
      <c r="BQ995" t="s">
        <v>74</v>
      </c>
      <c r="BR995" t="s">
        <v>104</v>
      </c>
      <c r="BS995" t="s">
        <v>18689</v>
      </c>
      <c r="BT995" t="str">
        <f>HYPERLINK("https%3A%2F%2Fwww.webofscience.com%2Fwos%2Fwoscc%2Ffull-record%2FWOS:001077544200001","View Full Record in Web of Science")</f>
        <v>View Full Record in Web of Science</v>
      </c>
    </row>
    <row r="996" spans="1:72" x14ac:dyDescent="0.15">
      <c r="A996" t="s">
        <v>72</v>
      </c>
      <c r="B996" t="s">
        <v>18690</v>
      </c>
      <c r="C996" t="s">
        <v>74</v>
      </c>
      <c r="D996" t="s">
        <v>74</v>
      </c>
      <c r="E996" t="s">
        <v>74</v>
      </c>
      <c r="F996" t="s">
        <v>18691</v>
      </c>
      <c r="G996" t="s">
        <v>74</v>
      </c>
      <c r="H996" t="s">
        <v>74</v>
      </c>
      <c r="I996" t="s">
        <v>18692</v>
      </c>
      <c r="J996" t="s">
        <v>18693</v>
      </c>
      <c r="K996" t="s">
        <v>74</v>
      </c>
      <c r="L996" t="s">
        <v>74</v>
      </c>
      <c r="M996" t="s">
        <v>78</v>
      </c>
      <c r="N996" t="s">
        <v>79</v>
      </c>
      <c r="O996" t="s">
        <v>74</v>
      </c>
      <c r="P996" t="s">
        <v>74</v>
      </c>
      <c r="Q996" t="s">
        <v>74</v>
      </c>
      <c r="R996" t="s">
        <v>74</v>
      </c>
      <c r="S996" t="s">
        <v>74</v>
      </c>
      <c r="T996" t="s">
        <v>18694</v>
      </c>
      <c r="U996" t="s">
        <v>18695</v>
      </c>
      <c r="V996" t="s">
        <v>18696</v>
      </c>
      <c r="W996" t="s">
        <v>18697</v>
      </c>
      <c r="X996" t="s">
        <v>18698</v>
      </c>
      <c r="Y996" t="s">
        <v>18699</v>
      </c>
      <c r="Z996" t="s">
        <v>18700</v>
      </c>
      <c r="AA996" t="s">
        <v>18701</v>
      </c>
      <c r="AB996" t="s">
        <v>18702</v>
      </c>
      <c r="AC996" t="s">
        <v>18703</v>
      </c>
      <c r="AD996" t="s">
        <v>18703</v>
      </c>
      <c r="AE996" t="s">
        <v>18704</v>
      </c>
      <c r="AF996" t="s">
        <v>74</v>
      </c>
      <c r="AG996">
        <v>64</v>
      </c>
      <c r="AH996">
        <v>0</v>
      </c>
      <c r="AI996">
        <v>0</v>
      </c>
      <c r="AJ996">
        <v>4</v>
      </c>
      <c r="AK996">
        <v>5</v>
      </c>
      <c r="AL996" t="s">
        <v>9202</v>
      </c>
      <c r="AM996" t="s">
        <v>1783</v>
      </c>
      <c r="AN996" t="s">
        <v>9203</v>
      </c>
      <c r="AO996" t="s">
        <v>74</v>
      </c>
      <c r="AP996" t="s">
        <v>18705</v>
      </c>
      <c r="AQ996" t="s">
        <v>74</v>
      </c>
      <c r="AR996" t="s">
        <v>18693</v>
      </c>
      <c r="AS996" t="s">
        <v>18706</v>
      </c>
      <c r="AT996" t="s">
        <v>18576</v>
      </c>
      <c r="AU996">
        <v>2023</v>
      </c>
      <c r="AV996">
        <v>9</v>
      </c>
      <c r="AW996">
        <v>9</v>
      </c>
      <c r="AX996" t="s">
        <v>74</v>
      </c>
      <c r="AY996" t="s">
        <v>74</v>
      </c>
      <c r="AZ996" t="s">
        <v>74</v>
      </c>
      <c r="BA996" t="s">
        <v>74</v>
      </c>
      <c r="BB996" t="s">
        <v>74</v>
      </c>
      <c r="BC996" t="s">
        <v>74</v>
      </c>
      <c r="BD996" t="s">
        <v>18707</v>
      </c>
      <c r="BE996" t="s">
        <v>18708</v>
      </c>
      <c r="BF996" t="str">
        <f>HYPERLINK("http://dx.doi.org/10.1016/j.heliyon.2023.e19711","http://dx.doi.org/10.1016/j.heliyon.2023.e19711")</f>
        <v>http://dx.doi.org/10.1016/j.heliyon.2023.e19711</v>
      </c>
      <c r="BG996" t="s">
        <v>74</v>
      </c>
      <c r="BH996" t="s">
        <v>15880</v>
      </c>
      <c r="BI996">
        <v>15</v>
      </c>
      <c r="BJ996" t="s">
        <v>1035</v>
      </c>
      <c r="BK996" t="s">
        <v>100</v>
      </c>
      <c r="BL996" t="s">
        <v>1036</v>
      </c>
      <c r="BM996" t="s">
        <v>18709</v>
      </c>
      <c r="BN996">
        <v>37809680</v>
      </c>
      <c r="BO996" t="s">
        <v>265</v>
      </c>
      <c r="BP996" t="s">
        <v>74</v>
      </c>
      <c r="BQ996" t="s">
        <v>74</v>
      </c>
      <c r="BR996" t="s">
        <v>104</v>
      </c>
      <c r="BS996" t="s">
        <v>18710</v>
      </c>
      <c r="BT996" t="str">
        <f>HYPERLINK("https%3A%2F%2Fwww.webofscience.com%2Fwos%2Fwoscc%2Ffull-record%2FWOS:001074658500001","View Full Record in Web of Science")</f>
        <v>View Full Record in Web of Science</v>
      </c>
    </row>
    <row r="997" spans="1:72" x14ac:dyDescent="0.15">
      <c r="A997" t="s">
        <v>72</v>
      </c>
      <c r="B997" t="s">
        <v>18711</v>
      </c>
      <c r="C997" t="s">
        <v>74</v>
      </c>
      <c r="D997" t="s">
        <v>74</v>
      </c>
      <c r="E997" t="s">
        <v>74</v>
      </c>
      <c r="F997" t="s">
        <v>18712</v>
      </c>
      <c r="G997" t="s">
        <v>74</v>
      </c>
      <c r="H997" t="s">
        <v>74</v>
      </c>
      <c r="I997" t="s">
        <v>18713</v>
      </c>
      <c r="J997" t="s">
        <v>8659</v>
      </c>
      <c r="K997" t="s">
        <v>74</v>
      </c>
      <c r="L997" t="s">
        <v>74</v>
      </c>
      <c r="M997" t="s">
        <v>78</v>
      </c>
      <c r="N997" t="s">
        <v>79</v>
      </c>
      <c r="O997" t="s">
        <v>74</v>
      </c>
      <c r="P997" t="s">
        <v>74</v>
      </c>
      <c r="Q997" t="s">
        <v>74</v>
      </c>
      <c r="R997" t="s">
        <v>74</v>
      </c>
      <c r="S997" t="s">
        <v>74</v>
      </c>
      <c r="T997" t="s">
        <v>18714</v>
      </c>
      <c r="U997" t="s">
        <v>18715</v>
      </c>
      <c r="V997" t="s">
        <v>18716</v>
      </c>
      <c r="W997" t="s">
        <v>18717</v>
      </c>
      <c r="X997" t="s">
        <v>18718</v>
      </c>
      <c r="Y997" t="s">
        <v>18719</v>
      </c>
      <c r="Z997" t="s">
        <v>18720</v>
      </c>
      <c r="AA997" t="s">
        <v>8667</v>
      </c>
      <c r="AB997" t="s">
        <v>74</v>
      </c>
      <c r="AC997" t="s">
        <v>18721</v>
      </c>
      <c r="AD997" t="s">
        <v>18721</v>
      </c>
      <c r="AE997" t="s">
        <v>18722</v>
      </c>
      <c r="AF997" t="s">
        <v>74</v>
      </c>
      <c r="AG997">
        <v>66</v>
      </c>
      <c r="AH997">
        <v>0</v>
      </c>
      <c r="AI997">
        <v>0</v>
      </c>
      <c r="AJ997">
        <v>13</v>
      </c>
      <c r="AK997">
        <v>19</v>
      </c>
      <c r="AL997" t="s">
        <v>119</v>
      </c>
      <c r="AM997" t="s">
        <v>120</v>
      </c>
      <c r="AN997" t="s">
        <v>121</v>
      </c>
      <c r="AO997" t="s">
        <v>8671</v>
      </c>
      <c r="AP997" t="s">
        <v>8672</v>
      </c>
      <c r="AQ997" t="s">
        <v>74</v>
      </c>
      <c r="AR997" t="s">
        <v>8673</v>
      </c>
      <c r="AS997" t="s">
        <v>8674</v>
      </c>
      <c r="AT997" t="s">
        <v>18723</v>
      </c>
      <c r="AU997">
        <v>2023</v>
      </c>
      <c r="AV997">
        <v>44</v>
      </c>
      <c r="AW997">
        <v>17</v>
      </c>
      <c r="AX997" t="s">
        <v>74</v>
      </c>
      <c r="AY997" t="s">
        <v>74</v>
      </c>
      <c r="AZ997" t="s">
        <v>74</v>
      </c>
      <c r="BA997" t="s">
        <v>74</v>
      </c>
      <c r="BB997">
        <v>5420</v>
      </c>
      <c r="BC997">
        <v>5447</v>
      </c>
      <c r="BD997" t="s">
        <v>74</v>
      </c>
      <c r="BE997" t="s">
        <v>18724</v>
      </c>
      <c r="BF997" t="str">
        <f>HYPERLINK("http://dx.doi.org/10.1080/01431161.2023.2249596","http://dx.doi.org/10.1080/01431161.2023.2249596")</f>
        <v>http://dx.doi.org/10.1080/01431161.2023.2249596</v>
      </c>
      <c r="BG997" t="s">
        <v>74</v>
      </c>
      <c r="BH997" t="s">
        <v>74</v>
      </c>
      <c r="BI997">
        <v>28</v>
      </c>
      <c r="BJ997" t="s">
        <v>8676</v>
      </c>
      <c r="BK997" t="s">
        <v>100</v>
      </c>
      <c r="BL997" t="s">
        <v>8676</v>
      </c>
      <c r="BM997" t="s">
        <v>18725</v>
      </c>
      <c r="BN997" t="s">
        <v>74</v>
      </c>
      <c r="BO997" t="s">
        <v>103</v>
      </c>
      <c r="BP997" t="s">
        <v>74</v>
      </c>
      <c r="BQ997" t="s">
        <v>74</v>
      </c>
      <c r="BR997" t="s">
        <v>104</v>
      </c>
      <c r="BS997" t="s">
        <v>18726</v>
      </c>
      <c r="BT997" t="str">
        <f>HYPERLINK("https%3A%2F%2Fwww.webofscience.com%2Fwos%2Fwoscc%2Ffull-record%2FWOS:001058072100001","View Full Record in Web of Science")</f>
        <v>View Full Record in Web of Science</v>
      </c>
    </row>
    <row r="998" spans="1:72" x14ac:dyDescent="0.15">
      <c r="A998" t="s">
        <v>72</v>
      </c>
      <c r="B998" t="s">
        <v>18727</v>
      </c>
      <c r="C998" t="s">
        <v>74</v>
      </c>
      <c r="D998" t="s">
        <v>74</v>
      </c>
      <c r="E998" t="s">
        <v>74</v>
      </c>
      <c r="F998" t="s">
        <v>18728</v>
      </c>
      <c r="G998" t="s">
        <v>74</v>
      </c>
      <c r="H998" t="s">
        <v>74</v>
      </c>
      <c r="I998" t="s">
        <v>18729</v>
      </c>
      <c r="J998" t="s">
        <v>1243</v>
      </c>
      <c r="K998" t="s">
        <v>74</v>
      </c>
      <c r="L998" t="s">
        <v>74</v>
      </c>
      <c r="M998" t="s">
        <v>78</v>
      </c>
      <c r="N998" t="s">
        <v>79</v>
      </c>
      <c r="O998" t="s">
        <v>74</v>
      </c>
      <c r="P998" t="s">
        <v>74</v>
      </c>
      <c r="Q998" t="s">
        <v>74</v>
      </c>
      <c r="R998" t="s">
        <v>74</v>
      </c>
      <c r="S998" t="s">
        <v>74</v>
      </c>
      <c r="T998" t="s">
        <v>18730</v>
      </c>
      <c r="U998" t="s">
        <v>18731</v>
      </c>
      <c r="V998" t="s">
        <v>18732</v>
      </c>
      <c r="W998" t="s">
        <v>18733</v>
      </c>
      <c r="X998" t="s">
        <v>18734</v>
      </c>
      <c r="Y998" t="s">
        <v>18735</v>
      </c>
      <c r="Z998" t="s">
        <v>18736</v>
      </c>
      <c r="AA998" t="s">
        <v>18737</v>
      </c>
      <c r="AB998" t="s">
        <v>74</v>
      </c>
      <c r="AC998" t="s">
        <v>18738</v>
      </c>
      <c r="AD998" t="s">
        <v>18739</v>
      </c>
      <c r="AE998" t="s">
        <v>18740</v>
      </c>
      <c r="AF998" t="s">
        <v>74</v>
      </c>
      <c r="AG998">
        <v>72</v>
      </c>
      <c r="AH998">
        <v>1</v>
      </c>
      <c r="AI998">
        <v>1</v>
      </c>
      <c r="AJ998">
        <v>1</v>
      </c>
      <c r="AK998">
        <v>1</v>
      </c>
      <c r="AL998" t="s">
        <v>1075</v>
      </c>
      <c r="AM998" t="s">
        <v>1076</v>
      </c>
      <c r="AN998" t="s">
        <v>1077</v>
      </c>
      <c r="AO998" t="s">
        <v>1256</v>
      </c>
      <c r="AP998" t="s">
        <v>1257</v>
      </c>
      <c r="AQ998" t="s">
        <v>74</v>
      </c>
      <c r="AR998" t="s">
        <v>1258</v>
      </c>
      <c r="AS998" t="s">
        <v>1259</v>
      </c>
      <c r="AT998" t="s">
        <v>18576</v>
      </c>
      <c r="AU998">
        <v>2023</v>
      </c>
      <c r="AV998">
        <v>46</v>
      </c>
      <c r="AW998">
        <v>9</v>
      </c>
      <c r="AX998" t="s">
        <v>74</v>
      </c>
      <c r="AY998" t="s">
        <v>74</v>
      </c>
      <c r="AZ998" t="s">
        <v>74</v>
      </c>
      <c r="BA998" t="s">
        <v>74</v>
      </c>
      <c r="BB998">
        <v>849</v>
      </c>
      <c r="BC998">
        <v>863</v>
      </c>
      <c r="BD998" t="s">
        <v>74</v>
      </c>
      <c r="BE998" t="s">
        <v>18741</v>
      </c>
      <c r="BF998" t="str">
        <f>HYPERLINK("http://dx.doi.org/10.1007/s00300-023-03169-x","http://dx.doi.org/10.1007/s00300-023-03169-x")</f>
        <v>http://dx.doi.org/10.1007/s00300-023-03169-x</v>
      </c>
      <c r="BG998" t="s">
        <v>74</v>
      </c>
      <c r="BH998" t="s">
        <v>74</v>
      </c>
      <c r="BI998">
        <v>15</v>
      </c>
      <c r="BJ998" t="s">
        <v>1261</v>
      </c>
      <c r="BK998" t="s">
        <v>100</v>
      </c>
      <c r="BL998" t="s">
        <v>913</v>
      </c>
      <c r="BM998" t="s">
        <v>18742</v>
      </c>
      <c r="BN998" t="s">
        <v>74</v>
      </c>
      <c r="BO998" t="s">
        <v>74</v>
      </c>
      <c r="BP998" t="s">
        <v>74</v>
      </c>
      <c r="BQ998" t="s">
        <v>74</v>
      </c>
      <c r="BR998" t="s">
        <v>104</v>
      </c>
      <c r="BS998" t="s">
        <v>18743</v>
      </c>
      <c r="BT998" t="str">
        <f>HYPERLINK("https%3A%2F%2Fwww.webofscience.com%2Fwos%2Fwoscc%2Ffull-record%2FWOS:001188739000001","View Full Record in Web of Science")</f>
        <v>View Full Record in Web of Science</v>
      </c>
    </row>
    <row r="999" spans="1:72" x14ac:dyDescent="0.15">
      <c r="A999" t="s">
        <v>72</v>
      </c>
      <c r="B999" t="s">
        <v>18744</v>
      </c>
      <c r="C999" t="s">
        <v>74</v>
      </c>
      <c r="D999" t="s">
        <v>74</v>
      </c>
      <c r="E999" t="s">
        <v>74</v>
      </c>
      <c r="F999" t="s">
        <v>18745</v>
      </c>
      <c r="G999" t="s">
        <v>74</v>
      </c>
      <c r="H999" t="s">
        <v>74</v>
      </c>
      <c r="I999" t="s">
        <v>18746</v>
      </c>
      <c r="J999" t="s">
        <v>4933</v>
      </c>
      <c r="K999" t="s">
        <v>74</v>
      </c>
      <c r="L999" t="s">
        <v>74</v>
      </c>
      <c r="M999" t="s">
        <v>78</v>
      </c>
      <c r="N999" t="s">
        <v>79</v>
      </c>
      <c r="O999" t="s">
        <v>74</v>
      </c>
      <c r="P999" t="s">
        <v>74</v>
      </c>
      <c r="Q999" t="s">
        <v>74</v>
      </c>
      <c r="R999" t="s">
        <v>74</v>
      </c>
      <c r="S999" t="s">
        <v>74</v>
      </c>
      <c r="T999" t="s">
        <v>74</v>
      </c>
      <c r="U999" t="s">
        <v>18747</v>
      </c>
      <c r="V999" t="s">
        <v>18748</v>
      </c>
      <c r="W999" t="s">
        <v>18749</v>
      </c>
      <c r="X999" t="s">
        <v>18750</v>
      </c>
      <c r="Y999" t="s">
        <v>18751</v>
      </c>
      <c r="Z999" t="s">
        <v>18752</v>
      </c>
      <c r="AA999" t="s">
        <v>18753</v>
      </c>
      <c r="AB999" t="s">
        <v>18754</v>
      </c>
      <c r="AC999" t="s">
        <v>18755</v>
      </c>
      <c r="AD999" t="s">
        <v>18756</v>
      </c>
      <c r="AE999" t="s">
        <v>18757</v>
      </c>
      <c r="AF999" t="s">
        <v>74</v>
      </c>
      <c r="AG999">
        <v>87</v>
      </c>
      <c r="AH999">
        <v>3</v>
      </c>
      <c r="AI999">
        <v>3</v>
      </c>
      <c r="AJ999">
        <v>2</v>
      </c>
      <c r="AK999">
        <v>2</v>
      </c>
      <c r="AL999" t="s">
        <v>3057</v>
      </c>
      <c r="AM999" t="s">
        <v>3058</v>
      </c>
      <c r="AN999" t="s">
        <v>3059</v>
      </c>
      <c r="AO999" t="s">
        <v>4945</v>
      </c>
      <c r="AP999" t="s">
        <v>4946</v>
      </c>
      <c r="AQ999" t="s">
        <v>74</v>
      </c>
      <c r="AR999" t="s">
        <v>4947</v>
      </c>
      <c r="AS999" t="s">
        <v>4948</v>
      </c>
      <c r="AT999" t="s">
        <v>18576</v>
      </c>
      <c r="AU999">
        <v>2023</v>
      </c>
      <c r="AV999">
        <v>13</v>
      </c>
      <c r="AW999">
        <v>9</v>
      </c>
      <c r="AX999" t="s">
        <v>74</v>
      </c>
      <c r="AY999" t="s">
        <v>74</v>
      </c>
      <c r="AZ999" t="s">
        <v>74</v>
      </c>
      <c r="BA999" t="s">
        <v>74</v>
      </c>
      <c r="BB999">
        <v>975</v>
      </c>
      <c r="BC999" t="s">
        <v>4088</v>
      </c>
      <c r="BD999" t="s">
        <v>74</v>
      </c>
      <c r="BE999" t="s">
        <v>18758</v>
      </c>
      <c r="BF999" t="str">
        <f>HYPERLINK("http://dx.doi.org/10.1038/s41558-023-01768-4","http://dx.doi.org/10.1038/s41558-023-01768-4")</f>
        <v>http://dx.doi.org/10.1038/s41558-023-01768-4</v>
      </c>
      <c r="BG999" t="s">
        <v>74</v>
      </c>
      <c r="BH999" t="s">
        <v>74</v>
      </c>
      <c r="BI999">
        <v>24</v>
      </c>
      <c r="BJ999" t="s">
        <v>4951</v>
      </c>
      <c r="BK999" t="s">
        <v>456</v>
      </c>
      <c r="BL999" t="s">
        <v>2383</v>
      </c>
      <c r="BM999" t="s">
        <v>18759</v>
      </c>
      <c r="BN999" t="s">
        <v>74</v>
      </c>
      <c r="BO999" t="s">
        <v>103</v>
      </c>
      <c r="BP999" t="s">
        <v>74</v>
      </c>
      <c r="BQ999" t="s">
        <v>74</v>
      </c>
      <c r="BR999" t="s">
        <v>104</v>
      </c>
      <c r="BS999" t="s">
        <v>18760</v>
      </c>
      <c r="BT999" t="str">
        <f>HYPERLINK("https%3A%2F%2Fwww.webofscience.com%2Fwos%2Fwoscc%2Ffull-record%2FWOS:001188289700001","View Full Record in Web of Science")</f>
        <v>View Full Record in Web of Science</v>
      </c>
    </row>
    <row r="1000" spans="1:72" x14ac:dyDescent="0.15">
      <c r="A1000" t="s">
        <v>72</v>
      </c>
      <c r="B1000" t="s">
        <v>18761</v>
      </c>
      <c r="C1000" t="s">
        <v>74</v>
      </c>
      <c r="D1000" t="s">
        <v>74</v>
      </c>
      <c r="E1000" t="s">
        <v>74</v>
      </c>
      <c r="F1000" t="s">
        <v>18762</v>
      </c>
      <c r="G1000" t="s">
        <v>74</v>
      </c>
      <c r="H1000" t="s">
        <v>74</v>
      </c>
      <c r="I1000" t="s">
        <v>18763</v>
      </c>
      <c r="J1000" t="s">
        <v>3045</v>
      </c>
      <c r="K1000" t="s">
        <v>74</v>
      </c>
      <c r="L1000" t="s">
        <v>74</v>
      </c>
      <c r="M1000" t="s">
        <v>78</v>
      </c>
      <c r="N1000" t="s">
        <v>79</v>
      </c>
      <c r="O1000" t="s">
        <v>74</v>
      </c>
      <c r="P1000" t="s">
        <v>74</v>
      </c>
      <c r="Q1000" t="s">
        <v>74</v>
      </c>
      <c r="R1000" t="s">
        <v>74</v>
      </c>
      <c r="S1000" t="s">
        <v>74</v>
      </c>
      <c r="T1000" t="s">
        <v>74</v>
      </c>
      <c r="U1000" t="s">
        <v>18764</v>
      </c>
      <c r="V1000" t="s">
        <v>18765</v>
      </c>
      <c r="W1000" t="s">
        <v>18766</v>
      </c>
      <c r="X1000" t="s">
        <v>2696</v>
      </c>
      <c r="Y1000" t="s">
        <v>18767</v>
      </c>
      <c r="Z1000" t="s">
        <v>18768</v>
      </c>
      <c r="AA1000" t="s">
        <v>10741</v>
      </c>
      <c r="AB1000" t="s">
        <v>18769</v>
      </c>
      <c r="AC1000" t="s">
        <v>18770</v>
      </c>
      <c r="AD1000" t="s">
        <v>18771</v>
      </c>
      <c r="AE1000" t="s">
        <v>18772</v>
      </c>
      <c r="AF1000" t="s">
        <v>74</v>
      </c>
      <c r="AG1000">
        <v>70</v>
      </c>
      <c r="AH1000">
        <v>0</v>
      </c>
      <c r="AI1000">
        <v>0</v>
      </c>
      <c r="AJ1000">
        <v>2</v>
      </c>
      <c r="AK1000">
        <v>2</v>
      </c>
      <c r="AL1000" t="s">
        <v>3057</v>
      </c>
      <c r="AM1000" t="s">
        <v>3058</v>
      </c>
      <c r="AN1000" t="s">
        <v>3059</v>
      </c>
      <c r="AO1000" t="s">
        <v>3060</v>
      </c>
      <c r="AP1000" t="s">
        <v>74</v>
      </c>
      <c r="AQ1000" t="s">
        <v>74</v>
      </c>
      <c r="AR1000" t="s">
        <v>3061</v>
      </c>
      <c r="AS1000" t="s">
        <v>3062</v>
      </c>
      <c r="AT1000" t="s">
        <v>18773</v>
      </c>
      <c r="AU1000">
        <v>2023</v>
      </c>
      <c r="AV1000">
        <v>13</v>
      </c>
      <c r="AW1000">
        <v>1</v>
      </c>
      <c r="AX1000" t="s">
        <v>74</v>
      </c>
      <c r="AY1000" t="s">
        <v>74</v>
      </c>
      <c r="AZ1000" t="s">
        <v>74</v>
      </c>
      <c r="BA1000" t="s">
        <v>74</v>
      </c>
      <c r="BB1000" t="s">
        <v>74</v>
      </c>
      <c r="BC1000" t="s">
        <v>74</v>
      </c>
      <c r="BD1000">
        <v>14378</v>
      </c>
      <c r="BE1000" t="s">
        <v>18774</v>
      </c>
      <c r="BF1000" t="str">
        <f>HYPERLINK("http://dx.doi.org/10.1038/s41598-023-41070-z","http://dx.doi.org/10.1038/s41598-023-41070-z")</f>
        <v>http://dx.doi.org/10.1038/s41598-023-41070-z</v>
      </c>
      <c r="BG1000" t="s">
        <v>74</v>
      </c>
      <c r="BH1000" t="s">
        <v>74</v>
      </c>
      <c r="BI1000">
        <v>14</v>
      </c>
      <c r="BJ1000" t="s">
        <v>1035</v>
      </c>
      <c r="BK1000" t="s">
        <v>100</v>
      </c>
      <c r="BL1000" t="s">
        <v>1036</v>
      </c>
      <c r="BM1000" t="s">
        <v>18775</v>
      </c>
      <c r="BN1000">
        <v>37658120</v>
      </c>
      <c r="BO1000" t="s">
        <v>200</v>
      </c>
      <c r="BP1000" t="s">
        <v>74</v>
      </c>
      <c r="BQ1000" t="s">
        <v>74</v>
      </c>
      <c r="BR1000" t="s">
        <v>104</v>
      </c>
      <c r="BS1000" t="s">
        <v>18776</v>
      </c>
      <c r="BT1000" t="str">
        <f>HYPERLINK("https%3A%2F%2Fwww.webofscience.com%2Fwos%2Fwoscc%2Ffull-record%2FWOS:001127153800057","View Full Record in Web of Science")</f>
        <v>View Full Record in Web of Science</v>
      </c>
    </row>
    <row r="1001" spans="1:72" x14ac:dyDescent="0.15">
      <c r="A1001" t="s">
        <v>72</v>
      </c>
      <c r="B1001" t="s">
        <v>18777</v>
      </c>
      <c r="C1001" t="s">
        <v>74</v>
      </c>
      <c r="D1001" t="s">
        <v>74</v>
      </c>
      <c r="E1001" t="s">
        <v>74</v>
      </c>
      <c r="F1001" t="s">
        <v>18778</v>
      </c>
      <c r="G1001" t="s">
        <v>74</v>
      </c>
      <c r="H1001" t="s">
        <v>74</v>
      </c>
      <c r="I1001" t="s">
        <v>18779</v>
      </c>
      <c r="J1001" t="s">
        <v>6283</v>
      </c>
      <c r="K1001" t="s">
        <v>74</v>
      </c>
      <c r="L1001" t="s">
        <v>74</v>
      </c>
      <c r="M1001" t="s">
        <v>78</v>
      </c>
      <c r="N1001" t="s">
        <v>79</v>
      </c>
      <c r="O1001" t="s">
        <v>74</v>
      </c>
      <c r="P1001" t="s">
        <v>74</v>
      </c>
      <c r="Q1001" t="s">
        <v>74</v>
      </c>
      <c r="R1001" t="s">
        <v>74</v>
      </c>
      <c r="S1001" t="s">
        <v>74</v>
      </c>
      <c r="T1001" t="s">
        <v>74</v>
      </c>
      <c r="U1001" t="s">
        <v>18780</v>
      </c>
      <c r="V1001" t="s">
        <v>74</v>
      </c>
      <c r="W1001" t="s">
        <v>18781</v>
      </c>
      <c r="X1001" t="s">
        <v>18782</v>
      </c>
      <c r="Y1001" t="s">
        <v>18783</v>
      </c>
      <c r="Z1001" t="s">
        <v>18784</v>
      </c>
      <c r="AA1001" t="s">
        <v>18785</v>
      </c>
      <c r="AB1001" t="s">
        <v>18786</v>
      </c>
      <c r="AC1001" t="s">
        <v>18787</v>
      </c>
      <c r="AD1001" t="s">
        <v>18788</v>
      </c>
      <c r="AE1001" t="s">
        <v>18789</v>
      </c>
      <c r="AF1001" t="s">
        <v>74</v>
      </c>
      <c r="AG1001">
        <v>117</v>
      </c>
      <c r="AH1001">
        <v>5</v>
      </c>
      <c r="AI1001">
        <v>6</v>
      </c>
      <c r="AJ1001">
        <v>1</v>
      </c>
      <c r="AK1001">
        <v>1</v>
      </c>
      <c r="AL1001" t="s">
        <v>5117</v>
      </c>
      <c r="AM1001" t="s">
        <v>5118</v>
      </c>
      <c r="AN1001" t="s">
        <v>5119</v>
      </c>
      <c r="AO1001" t="s">
        <v>6296</v>
      </c>
      <c r="AP1001" t="s">
        <v>6297</v>
      </c>
      <c r="AQ1001" t="s">
        <v>74</v>
      </c>
      <c r="AR1001" t="s">
        <v>6298</v>
      </c>
      <c r="AS1001" t="s">
        <v>6299</v>
      </c>
      <c r="AT1001" t="s">
        <v>18576</v>
      </c>
      <c r="AU1001">
        <v>2023</v>
      </c>
      <c r="AV1001">
        <v>104</v>
      </c>
      <c r="AW1001">
        <v>9</v>
      </c>
      <c r="AX1001" t="s">
        <v>74</v>
      </c>
      <c r="AY1001" t="s">
        <v>18790</v>
      </c>
      <c r="AZ1001" t="s">
        <v>4005</v>
      </c>
      <c r="BA1001" t="s">
        <v>74</v>
      </c>
      <c r="BB1001" t="s">
        <v>18791</v>
      </c>
      <c r="BC1001" t="s">
        <v>18792</v>
      </c>
      <c r="BD1001" t="s">
        <v>74</v>
      </c>
      <c r="BE1001" t="s">
        <v>18793</v>
      </c>
      <c r="BF1001" t="str">
        <f>HYPERLINK("http://dx.doi.org/10.1175/BAMS-D-23-0077.1","http://dx.doi.org/10.1175/BAMS-D-23-0077.1")</f>
        <v>http://dx.doi.org/10.1175/BAMS-D-23-0077.1</v>
      </c>
      <c r="BG1001" t="s">
        <v>74</v>
      </c>
      <c r="BH1001" t="s">
        <v>74</v>
      </c>
      <c r="BI1001">
        <v>44</v>
      </c>
      <c r="BJ1001" t="s">
        <v>1522</v>
      </c>
      <c r="BK1001" t="s">
        <v>100</v>
      </c>
      <c r="BL1001" t="s">
        <v>1522</v>
      </c>
      <c r="BM1001" t="s">
        <v>18794</v>
      </c>
      <c r="BN1001" t="s">
        <v>74</v>
      </c>
      <c r="BO1001" t="s">
        <v>18795</v>
      </c>
      <c r="BP1001" t="s">
        <v>74</v>
      </c>
      <c r="BQ1001" t="s">
        <v>74</v>
      </c>
      <c r="BR1001" t="s">
        <v>104</v>
      </c>
      <c r="BS1001" t="s">
        <v>18796</v>
      </c>
      <c r="BT1001" t="str">
        <f>HYPERLINK("https%3A%2F%2Fwww.webofscience.com%2Fwos%2Fwoscc%2Ffull-record%2FWOS:001150608200006","View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2024-07-28T15:23:26Z</dcterms:created>
  <dcterms:modified xsi:type="dcterms:W3CDTF">2024-07-28T15:23:26Z</dcterms:modified>
</cp:coreProperties>
</file>